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Ekomonicky utvar\- Oddelenie  financne\MFT602\Capova\ROZPOČET2018\Zmeny rozpočtu\Zmena rozpočtu 25042018\"/>
    </mc:Choice>
  </mc:AlternateContent>
  <bookViews>
    <workbookView xWindow="0" yWindow="0" windowWidth="19440" windowHeight="11925" tabRatio="806"/>
  </bookViews>
  <sheets>
    <sheet name="Príjmy" sheetId="13" r:id="rId1"/>
    <sheet name="Výdavky" sheetId="14" r:id="rId2"/>
    <sheet name="Sumarizácia" sheetId="15" r:id="rId3"/>
  </sheets>
  <definedNames>
    <definedName name="Data" localSheetId="2">#REF!</definedName>
    <definedName name="Data" localSheetId="1">#REF!</definedName>
    <definedName name="Data">#REF!</definedName>
    <definedName name="Gatl">#REF!</definedName>
    <definedName name="_xlnm.Print_Area" localSheetId="0">Príjmy!$B$1:$I$429</definedName>
    <definedName name="_xlnm.Print_Area" localSheetId="2">Sumarizácia!$B$2:$L$43</definedName>
    <definedName name="_xlnm.Print_Area" localSheetId="1">Výdavky!$B$3:$S$1860</definedName>
  </definedNames>
  <calcPr calcId="152511" iterateCount="1"/>
</workbook>
</file>

<file path=xl/calcChain.xml><?xml version="1.0" encoding="utf-8"?>
<calcChain xmlns="http://schemas.openxmlformats.org/spreadsheetml/2006/main">
  <c r="J1521" i="14" l="1"/>
  <c r="R1532" i="14"/>
  <c r="R1533" i="14"/>
  <c r="R1534" i="14"/>
  <c r="R1535" i="14"/>
  <c r="K1535" i="14"/>
  <c r="S1535" i="14" s="1"/>
  <c r="Q1535" i="14"/>
  <c r="K1534" i="14"/>
  <c r="S1534" i="14" s="1"/>
  <c r="Q1534" i="14"/>
  <c r="K1533" i="14"/>
  <c r="S1533" i="14" s="1"/>
  <c r="Q1533" i="14"/>
  <c r="K1532" i="14"/>
  <c r="S1532" i="14" s="1"/>
  <c r="Q1532" i="14"/>
  <c r="H386" i="13" l="1"/>
  <c r="B1681" i="14"/>
  <c r="B1682" i="14" s="1"/>
  <c r="B1683" i="14" s="1"/>
  <c r="B1684" i="14" s="1"/>
  <c r="B1685" i="14" s="1"/>
  <c r="B1686" i="14" s="1"/>
  <c r="B1687" i="14" s="1"/>
  <c r="B1688" i="14" s="1"/>
  <c r="B1689" i="14" s="1"/>
  <c r="B1690" i="14" s="1"/>
  <c r="B1691" i="14" s="1"/>
  <c r="B1692" i="14" s="1"/>
  <c r="B1693" i="14" s="1"/>
  <c r="B1694" i="14" s="1"/>
  <c r="B1695" i="14" s="1"/>
  <c r="B1696" i="14" s="1"/>
  <c r="B1697" i="14" s="1"/>
  <c r="B1698" i="14" s="1"/>
  <c r="B1699" i="14" s="1"/>
  <c r="B1700" i="14" s="1"/>
  <c r="B1701" i="14" s="1"/>
  <c r="B1702" i="14" s="1"/>
  <c r="B1703" i="14" s="1"/>
  <c r="B1704" i="14" s="1"/>
  <c r="B1705" i="14" s="1"/>
  <c r="B1706" i="14" s="1"/>
  <c r="B1707" i="14" s="1"/>
  <c r="B1708" i="14" s="1"/>
  <c r="B1709" i="14" s="1"/>
  <c r="B1710" i="14" s="1"/>
  <c r="B1711" i="14" s="1"/>
  <c r="B1712" i="14" s="1"/>
  <c r="B1713" i="14" s="1"/>
  <c r="B1714" i="14" s="1"/>
  <c r="B1715" i="14" s="1"/>
  <c r="B1716" i="14" s="1"/>
  <c r="B1717" i="14" s="1"/>
  <c r="B1718" i="14" s="1"/>
  <c r="B1719" i="14" s="1"/>
  <c r="B1720" i="14" s="1"/>
  <c r="B1721" i="14" s="1"/>
  <c r="B1722" i="14" s="1"/>
  <c r="B1723" i="14" s="1"/>
  <c r="B1724" i="14" s="1"/>
  <c r="B1725" i="14" s="1"/>
  <c r="B1726" i="14" s="1"/>
  <c r="B1727" i="14" s="1"/>
  <c r="B1728" i="14" s="1"/>
  <c r="B1729" i="14" s="1"/>
  <c r="B1730" i="14" s="1"/>
  <c r="B1731" i="14" s="1"/>
  <c r="B1732" i="14" s="1"/>
  <c r="B1733" i="14" s="1"/>
  <c r="B1734" i="14" s="1"/>
  <c r="B1735" i="14" s="1"/>
  <c r="B1736" i="14" s="1"/>
  <c r="B1737" i="14" s="1"/>
  <c r="B1738" i="14" s="1"/>
  <c r="B1739" i="14" s="1"/>
  <c r="B1740" i="14" s="1"/>
  <c r="B1741" i="14" s="1"/>
  <c r="B1742" i="14" s="1"/>
  <c r="B1743" i="14" s="1"/>
  <c r="B1744" i="14" s="1"/>
  <c r="B1745" i="14" s="1"/>
  <c r="B1746" i="14" s="1"/>
  <c r="B1747" i="14" s="1"/>
  <c r="B1748" i="14" s="1"/>
  <c r="B1749" i="14" s="1"/>
  <c r="B1750" i="14" s="1"/>
  <c r="B1751" i="14" s="1"/>
  <c r="B1752" i="14" s="1"/>
  <c r="B1753" i="14" s="1"/>
  <c r="B1754" i="14" s="1"/>
  <c r="B1755" i="14" s="1"/>
  <c r="B1756" i="14" s="1"/>
  <c r="B1757" i="14" s="1"/>
  <c r="B1758" i="14" s="1"/>
  <c r="B1759" i="14" s="1"/>
  <c r="B1760" i="14" s="1"/>
  <c r="B1761" i="14" s="1"/>
  <c r="B1762" i="14" s="1"/>
  <c r="B1763" i="14" s="1"/>
  <c r="B1764" i="14" s="1"/>
  <c r="B1765" i="14" s="1"/>
  <c r="B1766" i="14" s="1"/>
  <c r="B1767" i="14" s="1"/>
  <c r="B1768" i="14" s="1"/>
  <c r="B1769" i="14" s="1"/>
  <c r="B1770" i="14" s="1"/>
  <c r="B1771" i="14" s="1"/>
  <c r="B1772" i="14" s="1"/>
  <c r="B1773" i="14" s="1"/>
  <c r="B1774" i="14" s="1"/>
  <c r="B1775" i="14" s="1"/>
  <c r="B1776" i="14" s="1"/>
  <c r="B1777" i="14" s="1"/>
  <c r="B1778" i="14" s="1"/>
  <c r="B1779" i="14" s="1"/>
  <c r="B1780" i="14" s="1"/>
  <c r="B1781" i="14" s="1"/>
  <c r="B1782" i="14" s="1"/>
  <c r="B1783" i="14" s="1"/>
  <c r="B1784" i="14" s="1"/>
  <c r="B1785" i="14" s="1"/>
  <c r="B1786" i="14" s="1"/>
  <c r="B1787" i="14" s="1"/>
  <c r="B1788" i="14" s="1"/>
  <c r="B1789" i="14" s="1"/>
  <c r="B1790" i="14" s="1"/>
  <c r="B1791" i="14" s="1"/>
  <c r="B1792" i="14" s="1"/>
  <c r="H385" i="13"/>
  <c r="M190" i="14"/>
  <c r="M188" i="14"/>
  <c r="O188" i="14" s="1"/>
  <c r="B115" i="14"/>
  <c r="B116" i="14"/>
  <c r="B117" i="14" s="1"/>
  <c r="B118" i="14" s="1"/>
  <c r="B119" i="14" s="1"/>
  <c r="B120" i="14" s="1"/>
  <c r="B121" i="14" s="1"/>
  <c r="B122" i="14" s="1"/>
  <c r="B123" i="14" s="1"/>
  <c r="B124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0" i="14" s="1"/>
  <c r="B141" i="14" s="1"/>
  <c r="B142" i="14" s="1"/>
  <c r="B143" i="14" s="1"/>
  <c r="B144" i="14" s="1"/>
  <c r="B145" i="14" s="1"/>
  <c r="B146" i="14" s="1"/>
  <c r="B147" i="14" s="1"/>
  <c r="B148" i="14" s="1"/>
  <c r="B149" i="14" s="1"/>
  <c r="B150" i="14" s="1"/>
  <c r="B151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0" i="14" s="1"/>
  <c r="B171" i="14" s="1"/>
  <c r="B172" i="14" s="1"/>
  <c r="B173" i="14" s="1"/>
  <c r="B174" i="14" s="1"/>
  <c r="B175" i="14" s="1"/>
  <c r="B176" i="14" s="1"/>
  <c r="B177" i="14" s="1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J711" i="14"/>
  <c r="R711" i="14" s="1"/>
  <c r="J710" i="14"/>
  <c r="J690" i="14"/>
  <c r="J689" i="14"/>
  <c r="R689" i="14" s="1"/>
  <c r="J681" i="14"/>
  <c r="R681" i="14" s="1"/>
  <c r="J680" i="14"/>
  <c r="J672" i="14"/>
  <c r="J671" i="14"/>
  <c r="R671" i="14" s="1"/>
  <c r="J638" i="14"/>
  <c r="R638" i="14" s="1"/>
  <c r="J637" i="14"/>
  <c r="R827" i="14"/>
  <c r="Q827" i="14"/>
  <c r="O827" i="14"/>
  <c r="K827" i="14"/>
  <c r="J849" i="14"/>
  <c r="J848" i="14"/>
  <c r="R848" i="14" s="1"/>
  <c r="L27" i="15"/>
  <c r="J1704" i="14"/>
  <c r="R1704" i="14" s="1"/>
  <c r="R1712" i="14"/>
  <c r="K1712" i="14"/>
  <c r="S1712" i="14" s="1"/>
  <c r="Q1712" i="14"/>
  <c r="L25" i="15"/>
  <c r="I395" i="13"/>
  <c r="J1748" i="14"/>
  <c r="J1745" i="14" s="1"/>
  <c r="R1755" i="14"/>
  <c r="Q1755" i="14"/>
  <c r="O1755" i="14"/>
  <c r="K1755" i="14"/>
  <c r="L39" i="15"/>
  <c r="L38" i="15"/>
  <c r="L37" i="15"/>
  <c r="L36" i="15"/>
  <c r="L34" i="15"/>
  <c r="L33" i="15"/>
  <c r="L31" i="15"/>
  <c r="L30" i="15"/>
  <c r="L29" i="15"/>
  <c r="L26" i="15"/>
  <c r="K23" i="15"/>
  <c r="K32" i="15"/>
  <c r="I18" i="15"/>
  <c r="R1844" i="14"/>
  <c r="R1845" i="14"/>
  <c r="R1847" i="14"/>
  <c r="R1848" i="14"/>
  <c r="R1850" i="14"/>
  <c r="R1851" i="14"/>
  <c r="R1853" i="14"/>
  <c r="R1854" i="14"/>
  <c r="R1855" i="14"/>
  <c r="R1856" i="14"/>
  <c r="R1859" i="14"/>
  <c r="R1860" i="14"/>
  <c r="R1684" i="14"/>
  <c r="R1685" i="14"/>
  <c r="R1687" i="14"/>
  <c r="R1688" i="14"/>
  <c r="R1689" i="14"/>
  <c r="R1690" i="14"/>
  <c r="R1691" i="14"/>
  <c r="R1695" i="14"/>
  <c r="R1699" i="14"/>
  <c r="R1700" i="14"/>
  <c r="R1701" i="14"/>
  <c r="R1702" i="14"/>
  <c r="R1703" i="14"/>
  <c r="R1705" i="14"/>
  <c r="R1706" i="14"/>
  <c r="R1707" i="14"/>
  <c r="R1708" i="14"/>
  <c r="R1709" i="14"/>
  <c r="R1710" i="14"/>
  <c r="R1711" i="14"/>
  <c r="R1716" i="14"/>
  <c r="R1717" i="14"/>
  <c r="R1719" i="14"/>
  <c r="R1720" i="14"/>
  <c r="R1721" i="14"/>
  <c r="R1722" i="14"/>
  <c r="R1725" i="14"/>
  <c r="R1726" i="14"/>
  <c r="R1728" i="14"/>
  <c r="R1729" i="14"/>
  <c r="R1730" i="14"/>
  <c r="R1731" i="14"/>
  <c r="R1732" i="14"/>
  <c r="R1736" i="14"/>
  <c r="R1737" i="14"/>
  <c r="R1738" i="14"/>
  <c r="R1741" i="14"/>
  <c r="R1742" i="14"/>
  <c r="R1743" i="14"/>
  <c r="R1746" i="14"/>
  <c r="R1747" i="14"/>
  <c r="R1749" i="14"/>
  <c r="R1750" i="14"/>
  <c r="R1751" i="14"/>
  <c r="R1752" i="14"/>
  <c r="R1753" i="14"/>
  <c r="R1754" i="14"/>
  <c r="R1758" i="14"/>
  <c r="R1759" i="14"/>
  <c r="R1760" i="14"/>
  <c r="R1761" i="14"/>
  <c r="R1764" i="14"/>
  <c r="R1766" i="14"/>
  <c r="R1768" i="14"/>
  <c r="R1770" i="14"/>
  <c r="R1772" i="14"/>
  <c r="R1773" i="14"/>
  <c r="R1775" i="14"/>
  <c r="R1776" i="14"/>
  <c r="R1777" i="14"/>
  <c r="R1778" i="14"/>
  <c r="R1779" i="14"/>
  <c r="R1780" i="14"/>
  <c r="R1781" i="14"/>
  <c r="R1784" i="14"/>
  <c r="R1787" i="14"/>
  <c r="R1788" i="14"/>
  <c r="R1790" i="14"/>
  <c r="R1791" i="14"/>
  <c r="R1792" i="14"/>
  <c r="R1793" i="14"/>
  <c r="R1794" i="14"/>
  <c r="R1797" i="14"/>
  <c r="R1800" i="14"/>
  <c r="R1802" i="14"/>
  <c r="R1805" i="14"/>
  <c r="R1806" i="14"/>
  <c r="R1808" i="14"/>
  <c r="R1809" i="14"/>
  <c r="R1810" i="14"/>
  <c r="R1811" i="14"/>
  <c r="R1814" i="14"/>
  <c r="R1815" i="14"/>
  <c r="R1817" i="14"/>
  <c r="R1818" i="14"/>
  <c r="R1819" i="14"/>
  <c r="R1820" i="14"/>
  <c r="R1821" i="14"/>
  <c r="R1822" i="14"/>
  <c r="R1577" i="14"/>
  <c r="R1578" i="14"/>
  <c r="R1581" i="14"/>
  <c r="R1582" i="14"/>
  <c r="R1583" i="14"/>
  <c r="R1585" i="14"/>
  <c r="R1586" i="14"/>
  <c r="R1588" i="14"/>
  <c r="R1589" i="14"/>
  <c r="R1590" i="14"/>
  <c r="R1591" i="14"/>
  <c r="R1592" i="14"/>
  <c r="R1593" i="14"/>
  <c r="R1594" i="14"/>
  <c r="R1595" i="14"/>
  <c r="R1596" i="14"/>
  <c r="R1598" i="14"/>
  <c r="R1599" i="14"/>
  <c r="R1600" i="14"/>
  <c r="R1601" i="14"/>
  <c r="R1602" i="14"/>
  <c r="R1603" i="14"/>
  <c r="R1604" i="14"/>
  <c r="R1605" i="14"/>
  <c r="R1606" i="14"/>
  <c r="R1609" i="14"/>
  <c r="R1613" i="14"/>
  <c r="R1616" i="14"/>
  <c r="R1617" i="14"/>
  <c r="R1618" i="14"/>
  <c r="R1620" i="14"/>
  <c r="R1621" i="14"/>
  <c r="R1622" i="14"/>
  <c r="R1625" i="14"/>
  <c r="R1628" i="14"/>
  <c r="R1631" i="14"/>
  <c r="R1632" i="14"/>
  <c r="R1633" i="14"/>
  <c r="R1635" i="14"/>
  <c r="R1636" i="14"/>
  <c r="R1638" i="14"/>
  <c r="R1639" i="14"/>
  <c r="R1642" i="14"/>
  <c r="R1645" i="14"/>
  <c r="R1649" i="14"/>
  <c r="R1653" i="14"/>
  <c r="R1654" i="14"/>
  <c r="R1655" i="14"/>
  <c r="R1656" i="14"/>
  <c r="R1659" i="14"/>
  <c r="R1660" i="14"/>
  <c r="R1662" i="14"/>
  <c r="R1663" i="14"/>
  <c r="R1664" i="14"/>
  <c r="R1665" i="14"/>
  <c r="R1666" i="14"/>
  <c r="R1667" i="14"/>
  <c r="R1668" i="14"/>
  <c r="R1671" i="14"/>
  <c r="R1522" i="14"/>
  <c r="R1523" i="14"/>
  <c r="R1524" i="14"/>
  <c r="R1525" i="14"/>
  <c r="R1526" i="14"/>
  <c r="R1527" i="14"/>
  <c r="R1528" i="14"/>
  <c r="R1529" i="14"/>
  <c r="R1530" i="14"/>
  <c r="R1531" i="14"/>
  <c r="R1538" i="14"/>
  <c r="R1539" i="14"/>
  <c r="R1540" i="14"/>
  <c r="R1542" i="14"/>
  <c r="R1544" i="14"/>
  <c r="R1545" i="14"/>
  <c r="R1546" i="14"/>
  <c r="R1547" i="14"/>
  <c r="R1550" i="14"/>
  <c r="R1551" i="14"/>
  <c r="R1554" i="14"/>
  <c r="R1557" i="14"/>
  <c r="R1365" i="14"/>
  <c r="R1366" i="14"/>
  <c r="R1369" i="14"/>
  <c r="R1370" i="14"/>
  <c r="R1371" i="14"/>
  <c r="R1372" i="14"/>
  <c r="R1373" i="14"/>
  <c r="R1374" i="14"/>
  <c r="R1375" i="14"/>
  <c r="R1376" i="14"/>
  <c r="R1377" i="14"/>
  <c r="R1378" i="14"/>
  <c r="R1379" i="14"/>
  <c r="R1380" i="14"/>
  <c r="R1384" i="14"/>
  <c r="R1385" i="14"/>
  <c r="R1388" i="14"/>
  <c r="R1389" i="14"/>
  <c r="R1390" i="14"/>
  <c r="R1392" i="14"/>
  <c r="R1393" i="14"/>
  <c r="R1395" i="14"/>
  <c r="R1398" i="14"/>
  <c r="R1401" i="14"/>
  <c r="R1403" i="14"/>
  <c r="R1404" i="14"/>
  <c r="R1406" i="14"/>
  <c r="R1407" i="14"/>
  <c r="R1408" i="14"/>
  <c r="R1409" i="14"/>
  <c r="R1410" i="14"/>
  <c r="R1411" i="14"/>
  <c r="R1415" i="14"/>
  <c r="R1417" i="14"/>
  <c r="R1418" i="14"/>
  <c r="R1420" i="14"/>
  <c r="R1421" i="14"/>
  <c r="R1423" i="14"/>
  <c r="R1424" i="14"/>
  <c r="R1425" i="14"/>
  <c r="R1426" i="14"/>
  <c r="R1427" i="14"/>
  <c r="R1430" i="14"/>
  <c r="R1433" i="14"/>
  <c r="R1434" i="14"/>
  <c r="R1436" i="14"/>
  <c r="R1437" i="14"/>
  <c r="R1438" i="14"/>
  <c r="R1439" i="14"/>
  <c r="R1440" i="14"/>
  <c r="R1444" i="14"/>
  <c r="R1445" i="14"/>
  <c r="R1446" i="14"/>
  <c r="R1447" i="14"/>
  <c r="R1448" i="14"/>
  <c r="R1450" i="14"/>
  <c r="R1451" i="14"/>
  <c r="R1452" i="14"/>
  <c r="R1453" i="14"/>
  <c r="R1455" i="14"/>
  <c r="R1456" i="14"/>
  <c r="R1458" i="14"/>
  <c r="R1459" i="14"/>
  <c r="R1460" i="14"/>
  <c r="R1461" i="14"/>
  <c r="R1462" i="14"/>
  <c r="R1463" i="14"/>
  <c r="R1464" i="14"/>
  <c r="R1465" i="14"/>
  <c r="R1468" i="14"/>
  <c r="R600" i="14"/>
  <c r="R603" i="14"/>
  <c r="R605" i="14"/>
  <c r="R606" i="14"/>
  <c r="R607" i="14"/>
  <c r="R608" i="14"/>
  <c r="R609" i="14"/>
  <c r="R610" i="14"/>
  <c r="R611" i="14"/>
  <c r="R612" i="14"/>
  <c r="R614" i="14"/>
  <c r="R615" i="14"/>
  <c r="R617" i="14"/>
  <c r="R618" i="14"/>
  <c r="R619" i="14"/>
  <c r="R620" i="14"/>
  <c r="R621" i="14"/>
  <c r="R622" i="14"/>
  <c r="R625" i="14"/>
  <c r="R628" i="14"/>
  <c r="R629" i="14"/>
  <c r="R631" i="14"/>
  <c r="R632" i="14"/>
  <c r="R633" i="14"/>
  <c r="R634" i="14"/>
  <c r="R635" i="14"/>
  <c r="R640" i="14"/>
  <c r="R641" i="14"/>
  <c r="R642" i="14"/>
  <c r="R643" i="14"/>
  <c r="R644" i="14"/>
  <c r="R646" i="14"/>
  <c r="R647" i="14"/>
  <c r="R649" i="14"/>
  <c r="R650" i="14"/>
  <c r="R651" i="14"/>
  <c r="R652" i="14"/>
  <c r="R654" i="14"/>
  <c r="R655" i="14"/>
  <c r="R657" i="14"/>
  <c r="R658" i="14"/>
  <c r="R659" i="14"/>
  <c r="R660" i="14"/>
  <c r="R662" i="14"/>
  <c r="R663" i="14"/>
  <c r="R665" i="14"/>
  <c r="R666" i="14"/>
  <c r="R667" i="14"/>
  <c r="R668" i="14"/>
  <c r="R669" i="14"/>
  <c r="R672" i="14"/>
  <c r="R674" i="14"/>
  <c r="R675" i="14"/>
  <c r="R676" i="14"/>
  <c r="R677" i="14"/>
  <c r="R678" i="14"/>
  <c r="R683" i="14"/>
  <c r="R684" i="14"/>
  <c r="R685" i="14"/>
  <c r="R686" i="14"/>
  <c r="R687" i="14"/>
  <c r="R690" i="14"/>
  <c r="R692" i="14"/>
  <c r="R693" i="14"/>
  <c r="R694" i="14"/>
  <c r="R695" i="14"/>
  <c r="R696" i="14"/>
  <c r="R698" i="14"/>
  <c r="R699" i="14"/>
  <c r="R701" i="14"/>
  <c r="R702" i="14"/>
  <c r="R703" i="14"/>
  <c r="R704" i="14"/>
  <c r="R705" i="14"/>
  <c r="R708" i="14"/>
  <c r="R713" i="14"/>
  <c r="R714" i="14"/>
  <c r="R715" i="14"/>
  <c r="R716" i="14"/>
  <c r="R718" i="14"/>
  <c r="R719" i="14"/>
  <c r="R721" i="14"/>
  <c r="R722" i="14"/>
  <c r="R723" i="14"/>
  <c r="R724" i="14"/>
  <c r="R726" i="14"/>
  <c r="R727" i="14"/>
  <c r="R729" i="14"/>
  <c r="R730" i="14"/>
  <c r="R731" i="14"/>
  <c r="R732" i="14"/>
  <c r="R734" i="14"/>
  <c r="R735" i="14"/>
  <c r="R737" i="14"/>
  <c r="R738" i="14"/>
  <c r="R739" i="14"/>
  <c r="R740" i="14"/>
  <c r="R742" i="14"/>
  <c r="R743" i="14"/>
  <c r="R745" i="14"/>
  <c r="R746" i="14"/>
  <c r="R747" i="14"/>
  <c r="R748" i="14"/>
  <c r="R749" i="14"/>
  <c r="R750" i="14"/>
  <c r="R752" i="14"/>
  <c r="R753" i="14"/>
  <c r="R755" i="14"/>
  <c r="R756" i="14"/>
  <c r="R757" i="14"/>
  <c r="R758" i="14"/>
  <c r="R759" i="14"/>
  <c r="R760" i="14"/>
  <c r="R763" i="14"/>
  <c r="R764" i="14"/>
  <c r="R767" i="14"/>
  <c r="R768" i="14"/>
  <c r="R770" i="14"/>
  <c r="R771" i="14"/>
  <c r="R772" i="14"/>
  <c r="R773" i="14"/>
  <c r="R775" i="14"/>
  <c r="R776" i="14"/>
  <c r="R778" i="14"/>
  <c r="R779" i="14"/>
  <c r="R780" i="14"/>
  <c r="R781" i="14"/>
  <c r="R782" i="14"/>
  <c r="R783" i="14"/>
  <c r="R784" i="14"/>
  <c r="R785" i="14"/>
  <c r="R786" i="14"/>
  <c r="R788" i="14"/>
  <c r="R789" i="14"/>
  <c r="R790" i="14"/>
  <c r="R791" i="14"/>
  <c r="R792" i="14"/>
  <c r="R793" i="14"/>
  <c r="R794" i="14"/>
  <c r="R796" i="14"/>
  <c r="R797" i="14"/>
  <c r="R799" i="14"/>
  <c r="R800" i="14"/>
  <c r="R801" i="14"/>
  <c r="R802" i="14"/>
  <c r="R803" i="14"/>
  <c r="R804" i="14"/>
  <c r="R805" i="14"/>
  <c r="R806" i="14"/>
  <c r="R808" i="14"/>
  <c r="R809" i="14"/>
  <c r="R810" i="14"/>
  <c r="R811" i="14"/>
  <c r="R812" i="14"/>
  <c r="R813" i="14"/>
  <c r="R816" i="14"/>
  <c r="R818" i="14"/>
  <c r="R819" i="14"/>
  <c r="R821" i="14"/>
  <c r="R822" i="14"/>
  <c r="R823" i="14"/>
  <c r="R824" i="14"/>
  <c r="R825" i="14"/>
  <c r="R826" i="14"/>
  <c r="R828" i="14"/>
  <c r="R829" i="14"/>
  <c r="R831" i="14"/>
  <c r="R832" i="14"/>
  <c r="R833" i="14"/>
  <c r="R834" i="14"/>
  <c r="R835" i="14"/>
  <c r="R836" i="14"/>
  <c r="R837" i="14"/>
  <c r="R839" i="14"/>
  <c r="R840" i="14"/>
  <c r="R842" i="14"/>
  <c r="R843" i="14"/>
  <c r="R844" i="14"/>
  <c r="R845" i="14"/>
  <c r="R846" i="14"/>
  <c r="R847" i="14"/>
  <c r="R849" i="14"/>
  <c r="R851" i="14"/>
  <c r="R852" i="14"/>
  <c r="R853" i="14"/>
  <c r="R854" i="14"/>
  <c r="R855" i="14"/>
  <c r="R856" i="14"/>
  <c r="R859" i="14"/>
  <c r="R861" i="14"/>
  <c r="R862" i="14"/>
  <c r="R864" i="14"/>
  <c r="R865" i="14"/>
  <c r="R866" i="14"/>
  <c r="R867" i="14"/>
  <c r="R868" i="14"/>
  <c r="R869" i="14"/>
  <c r="R870" i="14"/>
  <c r="R871" i="14"/>
  <c r="R873" i="14"/>
  <c r="R874" i="14"/>
  <c r="R875" i="14"/>
  <c r="R876" i="14"/>
  <c r="R877" i="14"/>
  <c r="R878" i="14"/>
  <c r="R879" i="14"/>
  <c r="R882" i="14"/>
  <c r="R884" i="14"/>
  <c r="R885" i="14"/>
  <c r="R887" i="14"/>
  <c r="R888" i="14"/>
  <c r="R889" i="14"/>
  <c r="R890" i="14"/>
  <c r="R891" i="14"/>
  <c r="R892" i="14"/>
  <c r="R893" i="14"/>
  <c r="R894" i="14"/>
  <c r="R896" i="14"/>
  <c r="R897" i="14"/>
  <c r="R898" i="14"/>
  <c r="R899" i="14"/>
  <c r="R900" i="14"/>
  <c r="R901" i="14"/>
  <c r="R903" i="14"/>
  <c r="R904" i="14"/>
  <c r="R906" i="14"/>
  <c r="R907" i="14"/>
  <c r="R908" i="14"/>
  <c r="R909" i="14"/>
  <c r="R910" i="14"/>
  <c r="R911" i="14"/>
  <c r="R912" i="14"/>
  <c r="R913" i="14"/>
  <c r="R914" i="14"/>
  <c r="R916" i="14"/>
  <c r="R917" i="14"/>
  <c r="R918" i="14"/>
  <c r="R919" i="14"/>
  <c r="R920" i="14"/>
  <c r="R921" i="14"/>
  <c r="R922" i="14"/>
  <c r="R924" i="14"/>
  <c r="R925" i="14"/>
  <c r="R927" i="14"/>
  <c r="R928" i="14"/>
  <c r="R929" i="14"/>
  <c r="R930" i="14"/>
  <c r="R931" i="14"/>
  <c r="R932" i="14"/>
  <c r="R933" i="14"/>
  <c r="R935" i="14"/>
  <c r="R936" i="14"/>
  <c r="R937" i="14"/>
  <c r="R938" i="14"/>
  <c r="R939" i="14"/>
  <c r="R943" i="14"/>
  <c r="R944" i="14"/>
  <c r="R945" i="14"/>
  <c r="R946" i="14"/>
  <c r="R947" i="14"/>
  <c r="R948" i="14"/>
  <c r="R949" i="14"/>
  <c r="R950" i="14"/>
  <c r="R952" i="14"/>
  <c r="R953" i="14"/>
  <c r="R955" i="14"/>
  <c r="R956" i="14"/>
  <c r="R957" i="14"/>
  <c r="R958" i="14"/>
  <c r="R959" i="14"/>
  <c r="R960" i="14"/>
  <c r="R962" i="14"/>
  <c r="R963" i="14"/>
  <c r="R965" i="14"/>
  <c r="R966" i="14"/>
  <c r="R967" i="14"/>
  <c r="R969" i="14"/>
  <c r="R970" i="14"/>
  <c r="R972" i="14"/>
  <c r="R973" i="14"/>
  <c r="R974" i="14"/>
  <c r="R975" i="14"/>
  <c r="R977" i="14"/>
  <c r="R978" i="14"/>
  <c r="R980" i="14"/>
  <c r="R981" i="14"/>
  <c r="R982" i="14"/>
  <c r="R983" i="14"/>
  <c r="R985" i="14"/>
  <c r="R986" i="14"/>
  <c r="R988" i="14"/>
  <c r="R989" i="14"/>
  <c r="R990" i="14"/>
  <c r="R991" i="14"/>
  <c r="R992" i="14"/>
  <c r="R994" i="14"/>
  <c r="R995" i="14"/>
  <c r="R997" i="14"/>
  <c r="R998" i="14"/>
  <c r="R999" i="14"/>
  <c r="R1000" i="14"/>
  <c r="R1002" i="14"/>
  <c r="R1003" i="14"/>
  <c r="R1005" i="14"/>
  <c r="R1006" i="14"/>
  <c r="R1007" i="14"/>
  <c r="R1008" i="14"/>
  <c r="R1010" i="14"/>
  <c r="R1011" i="14"/>
  <c r="R1013" i="14"/>
  <c r="R1014" i="14"/>
  <c r="R1015" i="14"/>
  <c r="R1016" i="14"/>
  <c r="R1018" i="14"/>
  <c r="R1019" i="14"/>
  <c r="R1021" i="14"/>
  <c r="R1022" i="14"/>
  <c r="R1023" i="14"/>
  <c r="R1024" i="14"/>
  <c r="R1026" i="14"/>
  <c r="R1027" i="14"/>
  <c r="R1029" i="14"/>
  <c r="R1030" i="14"/>
  <c r="R1031" i="14"/>
  <c r="R1032" i="14"/>
  <c r="R1034" i="14"/>
  <c r="R1035" i="14"/>
  <c r="R1037" i="14"/>
  <c r="R1038" i="14"/>
  <c r="R1039" i="14"/>
  <c r="R1040" i="14"/>
  <c r="R1041" i="14"/>
  <c r="R1042" i="14"/>
  <c r="R1043" i="14"/>
  <c r="R1047" i="14"/>
  <c r="R1048" i="14"/>
  <c r="R1049" i="14"/>
  <c r="R1050" i="14"/>
  <c r="R1051" i="14"/>
  <c r="R1054" i="14"/>
  <c r="R1055" i="14"/>
  <c r="R1057" i="14"/>
  <c r="R1058" i="14"/>
  <c r="R1059" i="14"/>
  <c r="R1060" i="14"/>
  <c r="R1062" i="14"/>
  <c r="R1063" i="14"/>
  <c r="R1065" i="14"/>
  <c r="R1066" i="14"/>
  <c r="R1067" i="14"/>
  <c r="R1069" i="14"/>
  <c r="R1070" i="14"/>
  <c r="R1072" i="14"/>
  <c r="R1073" i="14"/>
  <c r="R1074" i="14"/>
  <c r="R1076" i="14"/>
  <c r="R1077" i="14"/>
  <c r="R1079" i="14"/>
  <c r="R1080" i="14"/>
  <c r="R1081" i="14"/>
  <c r="R1083" i="14"/>
  <c r="R1084" i="14"/>
  <c r="R1086" i="14"/>
  <c r="R1087" i="14"/>
  <c r="R1088" i="14"/>
  <c r="R1090" i="14"/>
  <c r="R1091" i="14"/>
  <c r="R1093" i="14"/>
  <c r="R1094" i="14"/>
  <c r="R1095" i="14"/>
  <c r="R1096" i="14"/>
  <c r="R1098" i="14"/>
  <c r="R1099" i="14"/>
  <c r="R1101" i="14"/>
  <c r="R1102" i="14"/>
  <c r="R1103" i="14"/>
  <c r="R1105" i="14"/>
  <c r="R1106" i="14"/>
  <c r="R1108" i="14"/>
  <c r="R1109" i="14"/>
  <c r="R1110" i="14"/>
  <c r="R1112" i="14"/>
  <c r="R1113" i="14"/>
  <c r="R1115" i="14"/>
  <c r="R1116" i="14"/>
  <c r="R1117" i="14"/>
  <c r="R1118" i="14"/>
  <c r="R1120" i="14"/>
  <c r="R1121" i="14"/>
  <c r="R1123" i="14"/>
  <c r="R1124" i="14"/>
  <c r="R1125" i="14"/>
  <c r="R1127" i="14"/>
  <c r="R1128" i="14"/>
  <c r="R1129" i="14"/>
  <c r="R1130" i="14"/>
  <c r="R1131" i="14"/>
  <c r="R1132" i="14"/>
  <c r="R1134" i="14"/>
  <c r="R1135" i="14"/>
  <c r="R1137" i="14"/>
  <c r="R1138" i="14"/>
  <c r="R1139" i="14"/>
  <c r="R1141" i="14"/>
  <c r="R1142" i="14"/>
  <c r="R1144" i="14"/>
  <c r="R1145" i="14"/>
  <c r="R1146" i="14"/>
  <c r="R1148" i="14"/>
  <c r="R1149" i="14"/>
  <c r="R1151" i="14"/>
  <c r="R1152" i="14"/>
  <c r="R1153" i="14"/>
  <c r="R1154" i="14"/>
  <c r="R1156" i="14"/>
  <c r="R1157" i="14"/>
  <c r="R1159" i="14"/>
  <c r="R1160" i="14"/>
  <c r="R1161" i="14"/>
  <c r="R1162" i="14"/>
  <c r="R1163" i="14"/>
  <c r="R1164" i="14"/>
  <c r="R1165" i="14"/>
  <c r="R1167" i="14"/>
  <c r="R1168" i="14"/>
  <c r="R1169" i="14"/>
  <c r="R1170" i="14"/>
  <c r="R1171" i="14"/>
  <c r="R1173" i="14"/>
  <c r="R1174" i="14"/>
  <c r="R1176" i="14"/>
  <c r="R1177" i="14"/>
  <c r="R1178" i="14"/>
  <c r="R1179" i="14"/>
  <c r="R1180" i="14"/>
  <c r="R1181" i="14"/>
  <c r="R1182" i="14"/>
  <c r="R1184" i="14"/>
  <c r="R1185" i="14"/>
  <c r="R1186" i="14"/>
  <c r="R1187" i="14"/>
  <c r="R1188" i="14"/>
  <c r="R1191" i="14"/>
  <c r="R1193" i="14"/>
  <c r="R1195" i="14"/>
  <c r="R1196" i="14"/>
  <c r="R1198" i="14"/>
  <c r="R1199" i="14"/>
  <c r="R1200" i="14"/>
  <c r="R1201" i="14"/>
  <c r="R1202" i="14"/>
  <c r="R1203" i="14"/>
  <c r="R1205" i="14"/>
  <c r="R1206" i="14"/>
  <c r="R1207" i="14"/>
  <c r="R1208" i="14"/>
  <c r="R1211" i="14"/>
  <c r="R1213" i="14"/>
  <c r="R1214" i="14"/>
  <c r="R1216" i="14"/>
  <c r="R1217" i="14"/>
  <c r="R1218" i="14"/>
  <c r="R1219" i="14"/>
  <c r="R1220" i="14"/>
  <c r="R1221" i="14"/>
  <c r="R1222" i="14"/>
  <c r="R1224" i="14"/>
  <c r="R1225" i="14"/>
  <c r="R1226" i="14"/>
  <c r="R1227" i="14"/>
  <c r="R1228" i="14"/>
  <c r="R1230" i="14"/>
  <c r="R1231" i="14"/>
  <c r="R1233" i="14"/>
  <c r="R1234" i="14"/>
  <c r="R1235" i="14"/>
  <c r="R1236" i="14"/>
  <c r="R1237" i="14"/>
  <c r="R1238" i="14"/>
  <c r="R1239" i="14"/>
  <c r="R1240" i="14"/>
  <c r="R1242" i="14"/>
  <c r="R1243" i="14"/>
  <c r="R1244" i="14"/>
  <c r="R1245" i="14"/>
  <c r="R1246" i="14"/>
  <c r="R1247" i="14"/>
  <c r="R1249" i="14"/>
  <c r="R1250" i="14"/>
  <c r="R1252" i="14"/>
  <c r="R1253" i="14"/>
  <c r="R1254" i="14"/>
  <c r="R1255" i="14"/>
  <c r="R1256" i="14"/>
  <c r="R1257" i="14"/>
  <c r="R1258" i="14"/>
  <c r="R1260" i="14"/>
  <c r="R1261" i="14"/>
  <c r="R1262" i="14"/>
  <c r="R1263" i="14"/>
  <c r="R1264" i="14"/>
  <c r="R1265" i="14"/>
  <c r="R1267" i="14"/>
  <c r="R1268" i="14"/>
  <c r="R1270" i="14"/>
  <c r="R1271" i="14"/>
  <c r="R1272" i="14"/>
  <c r="R1273" i="14"/>
  <c r="R1274" i="14"/>
  <c r="R1275" i="14"/>
  <c r="R1277" i="14"/>
  <c r="R1278" i="14"/>
  <c r="R1279" i="14"/>
  <c r="R1280" i="14"/>
  <c r="R1281" i="14"/>
  <c r="R1282" i="14"/>
  <c r="R1285" i="14"/>
  <c r="R1286" i="14"/>
  <c r="R1288" i="14"/>
  <c r="R1290" i="14"/>
  <c r="R1292" i="14"/>
  <c r="R1293" i="14"/>
  <c r="R1295" i="14"/>
  <c r="R1296" i="14"/>
  <c r="R1297" i="14"/>
  <c r="R1298" i="14"/>
  <c r="R1299" i="14"/>
  <c r="R1301" i="14"/>
  <c r="R1302" i="14"/>
  <c r="R1304" i="14"/>
  <c r="R1305" i="14"/>
  <c r="R1306" i="14"/>
  <c r="R1307" i="14"/>
  <c r="R1308" i="14"/>
  <c r="R1309" i="14"/>
  <c r="R1310" i="14"/>
  <c r="R436" i="14"/>
  <c r="R440" i="14"/>
  <c r="R441" i="14"/>
  <c r="R442" i="14"/>
  <c r="R443" i="14"/>
  <c r="R444" i="14"/>
  <c r="R445" i="14"/>
  <c r="R447" i="14"/>
  <c r="R448" i="14"/>
  <c r="R450" i="14"/>
  <c r="R451" i="14"/>
  <c r="R452" i="14"/>
  <c r="R453" i="14"/>
  <c r="R454" i="14"/>
  <c r="R457" i="14"/>
  <c r="R458" i="14"/>
  <c r="R459" i="14"/>
  <c r="R460" i="14"/>
  <c r="R461" i="14"/>
  <c r="R464" i="14"/>
  <c r="R468" i="14"/>
  <c r="R469" i="14"/>
  <c r="R470" i="14"/>
  <c r="R471" i="14"/>
  <c r="R472" i="14"/>
  <c r="R473" i="14"/>
  <c r="R474" i="14"/>
  <c r="R475" i="14"/>
  <c r="R476" i="14"/>
  <c r="R477" i="14"/>
  <c r="R478" i="14"/>
  <c r="R479" i="14"/>
  <c r="R481" i="14"/>
  <c r="R482" i="14"/>
  <c r="R483" i="14"/>
  <c r="R484" i="14"/>
  <c r="R485" i="14"/>
  <c r="R486" i="14"/>
  <c r="R487" i="14"/>
  <c r="R488" i="14"/>
  <c r="R489" i="14"/>
  <c r="R490" i="14"/>
  <c r="R491" i="14"/>
  <c r="R492" i="14"/>
  <c r="R493" i="14"/>
  <c r="R494" i="14"/>
  <c r="R495" i="14"/>
  <c r="R496" i="14"/>
  <c r="R497" i="14"/>
  <c r="R498" i="14"/>
  <c r="R499" i="14"/>
  <c r="R500" i="14"/>
  <c r="R501" i="14"/>
  <c r="R502" i="14"/>
  <c r="R503" i="14"/>
  <c r="R504" i="14"/>
  <c r="R505" i="14"/>
  <c r="R506" i="14"/>
  <c r="R507" i="14"/>
  <c r="R508" i="14"/>
  <c r="R509" i="14"/>
  <c r="R510" i="14"/>
  <c r="R511" i="14"/>
  <c r="R512" i="14"/>
  <c r="R513" i="14"/>
  <c r="R514" i="14"/>
  <c r="R515" i="14"/>
  <c r="R516" i="14"/>
  <c r="R517" i="14"/>
  <c r="R518" i="14"/>
  <c r="R519" i="14"/>
  <c r="R520" i="14"/>
  <c r="R521" i="14"/>
  <c r="R522" i="14"/>
  <c r="R523" i="14"/>
  <c r="R524" i="14"/>
  <c r="R525" i="14"/>
  <c r="R526" i="14"/>
  <c r="R527" i="14"/>
  <c r="R528" i="14"/>
  <c r="R529" i="14"/>
  <c r="R530" i="14"/>
  <c r="R531" i="14"/>
  <c r="R532" i="14"/>
  <c r="R533" i="14"/>
  <c r="R534" i="14"/>
  <c r="R535" i="14"/>
  <c r="R536" i="14"/>
  <c r="R537" i="14"/>
  <c r="R538" i="14"/>
  <c r="R539" i="14"/>
  <c r="R330" i="14"/>
  <c r="R331" i="14"/>
  <c r="R333" i="14"/>
  <c r="R334" i="14"/>
  <c r="R335" i="14"/>
  <c r="R336" i="14"/>
  <c r="R337" i="14"/>
  <c r="R338" i="14"/>
  <c r="R339" i="14"/>
  <c r="R341" i="14"/>
  <c r="R342" i="14"/>
  <c r="R345" i="14"/>
  <c r="R347" i="14"/>
  <c r="R350" i="14"/>
  <c r="R353" i="14"/>
  <c r="R355" i="14"/>
  <c r="R356" i="14"/>
  <c r="R358" i="14"/>
  <c r="R359" i="14"/>
  <c r="R360" i="14"/>
  <c r="R361" i="14"/>
  <c r="R362" i="14"/>
  <c r="R363" i="14"/>
  <c r="R364" i="14"/>
  <c r="R367" i="14"/>
  <c r="R370" i="14"/>
  <c r="R373" i="14"/>
  <c r="R376" i="14"/>
  <c r="R379" i="14"/>
  <c r="R380" i="14"/>
  <c r="R383" i="14"/>
  <c r="R384" i="14"/>
  <c r="R385" i="14"/>
  <c r="R222" i="14"/>
  <c r="R224" i="14"/>
  <c r="R225" i="14"/>
  <c r="R227" i="14"/>
  <c r="R228" i="14"/>
  <c r="R230" i="14"/>
  <c r="R231" i="14"/>
  <c r="R232" i="14"/>
  <c r="R233" i="14"/>
  <c r="R234" i="14"/>
  <c r="R235" i="14"/>
  <c r="R237" i="14"/>
  <c r="R238" i="14"/>
  <c r="R240" i="14"/>
  <c r="R241" i="14"/>
  <c r="R242" i="14"/>
  <c r="R243" i="14"/>
  <c r="R244" i="14"/>
  <c r="R247" i="14"/>
  <c r="R248" i="14"/>
  <c r="R250" i="14"/>
  <c r="R251" i="14"/>
  <c r="R252" i="14"/>
  <c r="R253" i="14"/>
  <c r="R254" i="14"/>
  <c r="R257" i="14"/>
  <c r="R258" i="14"/>
  <c r="R260" i="14"/>
  <c r="R261" i="14"/>
  <c r="R262" i="14"/>
  <c r="R263" i="14"/>
  <c r="R264" i="14"/>
  <c r="R265" i="14"/>
  <c r="R268" i="14"/>
  <c r="R269" i="14"/>
  <c r="R270" i="14"/>
  <c r="R271" i="14"/>
  <c r="R272" i="14"/>
  <c r="R273" i="14"/>
  <c r="R276" i="14"/>
  <c r="R278" i="14"/>
  <c r="R279" i="14"/>
  <c r="R280" i="14"/>
  <c r="R284" i="14"/>
  <c r="R285" i="14"/>
  <c r="R286" i="14"/>
  <c r="R287" i="14"/>
  <c r="R117" i="14"/>
  <c r="R121" i="14"/>
  <c r="R124" i="14"/>
  <c r="R125" i="14"/>
  <c r="R127" i="14"/>
  <c r="R130" i="14"/>
  <c r="R131" i="14"/>
  <c r="R133" i="14"/>
  <c r="R134" i="14"/>
  <c r="R137" i="14"/>
  <c r="R138" i="14"/>
  <c r="R141" i="14"/>
  <c r="R142" i="14"/>
  <c r="R143" i="14"/>
  <c r="R144" i="14"/>
  <c r="R145" i="14"/>
  <c r="R146" i="14"/>
  <c r="R149" i="14"/>
  <c r="R151" i="14"/>
  <c r="R152" i="14"/>
  <c r="R153" i="14"/>
  <c r="R156" i="14"/>
  <c r="R157" i="14"/>
  <c r="R159" i="14"/>
  <c r="R160" i="14"/>
  <c r="R162" i="14"/>
  <c r="R163" i="14"/>
  <c r="R164" i="14"/>
  <c r="R165" i="14"/>
  <c r="R167" i="14"/>
  <c r="R168" i="14"/>
  <c r="R170" i="14"/>
  <c r="R173" i="14"/>
  <c r="R176" i="14"/>
  <c r="R178" i="14"/>
  <c r="R181" i="14"/>
  <c r="R182" i="14"/>
  <c r="R183" i="14"/>
  <c r="R184" i="14"/>
  <c r="R185" i="14"/>
  <c r="R188" i="14"/>
  <c r="R191" i="14"/>
  <c r="R189" i="14"/>
  <c r="R194" i="14"/>
  <c r="R195" i="14"/>
  <c r="R198" i="14"/>
  <c r="R77" i="14"/>
  <c r="R79" i="14"/>
  <c r="R81" i="14"/>
  <c r="R83" i="14"/>
  <c r="R84" i="14"/>
  <c r="R87" i="14"/>
  <c r="R90" i="14"/>
  <c r="O1860" i="14"/>
  <c r="S1860" i="14" s="1"/>
  <c r="O1859" i="14"/>
  <c r="S1859" i="14" s="1"/>
  <c r="O1856" i="14"/>
  <c r="O1855" i="14"/>
  <c r="O1854" i="14"/>
  <c r="O1853" i="14"/>
  <c r="O1852" i="14"/>
  <c r="O1851" i="14"/>
  <c r="O1850" i="14"/>
  <c r="O1848" i="14"/>
  <c r="O1847" i="14"/>
  <c r="O1846" i="14"/>
  <c r="O1845" i="14"/>
  <c r="O1844" i="14"/>
  <c r="O1843" i="14"/>
  <c r="O1842" i="14"/>
  <c r="N1858" i="14"/>
  <c r="P1858" i="14"/>
  <c r="P1857" i="14" s="1"/>
  <c r="P1849" i="14" s="1"/>
  <c r="P1841" i="14" s="1"/>
  <c r="P1840" i="14" s="1"/>
  <c r="K1858" i="14"/>
  <c r="K1857" i="14"/>
  <c r="K1856" i="14"/>
  <c r="K1855" i="14"/>
  <c r="K1854" i="14"/>
  <c r="K1853" i="14"/>
  <c r="K1851" i="14"/>
  <c r="K1850" i="14"/>
  <c r="K1848" i="14"/>
  <c r="K1845" i="14"/>
  <c r="K1844" i="14"/>
  <c r="J1843" i="14"/>
  <c r="R1843" i="14" s="1"/>
  <c r="J1846" i="14"/>
  <c r="R1846" i="14" s="1"/>
  <c r="J1852" i="14"/>
  <c r="O1822" i="14"/>
  <c r="O1821" i="14"/>
  <c r="O1820" i="14"/>
  <c r="O1819" i="14"/>
  <c r="O1818" i="14"/>
  <c r="O1817" i="14"/>
  <c r="O1816" i="14"/>
  <c r="O1815" i="14"/>
  <c r="O1814" i="14"/>
  <c r="O1813" i="14"/>
  <c r="O1812" i="14"/>
  <c r="O1811" i="14"/>
  <c r="O1810" i="14"/>
  <c r="O1809" i="14"/>
  <c r="O1808" i="14"/>
  <c r="O1807" i="14"/>
  <c r="O1806" i="14"/>
  <c r="O1805" i="14"/>
  <c r="O1804" i="14"/>
  <c r="O1803" i="14"/>
  <c r="O1802" i="14"/>
  <c r="O1801" i="14"/>
  <c r="O1800" i="14"/>
  <c r="O1799" i="14"/>
  <c r="O1798" i="14"/>
  <c r="O1797" i="14"/>
  <c r="O1796" i="14"/>
  <c r="O1795" i="14"/>
  <c r="O1794" i="14"/>
  <c r="O1793" i="14"/>
  <c r="O1792" i="14"/>
  <c r="O1791" i="14"/>
  <c r="O1790" i="14"/>
  <c r="O1789" i="14"/>
  <c r="O1788" i="14"/>
  <c r="O1787" i="14"/>
  <c r="O1786" i="14"/>
  <c r="O1785" i="14"/>
  <c r="O1784" i="14"/>
  <c r="O1781" i="14"/>
  <c r="O1780" i="14"/>
  <c r="O1779" i="14"/>
  <c r="O1778" i="14"/>
  <c r="O1777" i="14"/>
  <c r="O1776" i="14"/>
  <c r="O1775" i="14"/>
  <c r="O1774" i="14"/>
  <c r="O1773" i="14"/>
  <c r="O1772" i="14"/>
  <c r="O1770" i="14"/>
  <c r="O1769" i="14"/>
  <c r="O1768" i="14"/>
  <c r="O1767" i="14"/>
  <c r="O1766" i="14"/>
  <c r="O1764" i="14"/>
  <c r="O1763" i="14"/>
  <c r="O1762" i="14"/>
  <c r="O1761" i="14"/>
  <c r="O1760" i="14"/>
  <c r="O1759" i="14"/>
  <c r="O1758" i="14"/>
  <c r="O1757" i="14"/>
  <c r="O1756" i="14"/>
  <c r="O1754" i="14"/>
  <c r="O1753" i="14"/>
  <c r="O1752" i="14"/>
  <c r="O1751" i="14"/>
  <c r="O1750" i="14"/>
  <c r="O1749" i="14"/>
  <c r="O1748" i="14"/>
  <c r="O1747" i="14"/>
  <c r="O1746" i="14"/>
  <c r="O1745" i="14"/>
  <c r="O1744" i="14"/>
  <c r="O1743" i="14"/>
  <c r="O1742" i="14"/>
  <c r="O1741" i="14"/>
  <c r="O1740" i="14"/>
  <c r="O1739" i="14"/>
  <c r="O1738" i="14"/>
  <c r="O1737" i="14"/>
  <c r="O1736" i="14"/>
  <c r="O1735" i="14"/>
  <c r="O1734" i="14"/>
  <c r="O1733" i="14"/>
  <c r="O1732" i="14"/>
  <c r="O1731" i="14"/>
  <c r="O1730" i="14"/>
  <c r="O1729" i="14"/>
  <c r="O1728" i="14"/>
  <c r="O1727" i="14"/>
  <c r="O1726" i="14"/>
  <c r="O1725" i="14"/>
  <c r="O1724" i="14"/>
  <c r="O1723" i="14"/>
  <c r="O1722" i="14"/>
  <c r="O1721" i="14"/>
  <c r="O1720" i="14"/>
  <c r="O1719" i="14"/>
  <c r="O1718" i="14"/>
  <c r="O1717" i="14"/>
  <c r="O1716" i="14"/>
  <c r="O1715" i="14"/>
  <c r="O1714" i="14"/>
  <c r="O1713" i="14"/>
  <c r="O1711" i="14"/>
  <c r="O1710" i="14"/>
  <c r="O1709" i="14"/>
  <c r="O1708" i="14"/>
  <c r="O1707" i="14"/>
  <c r="O1706" i="14"/>
  <c r="O1705" i="14"/>
  <c r="O1704" i="14"/>
  <c r="O1703" i="14"/>
  <c r="O1702" i="14"/>
  <c r="O1701" i="14"/>
  <c r="O1700" i="14"/>
  <c r="O1699" i="14"/>
  <c r="O1698" i="14"/>
  <c r="O1697" i="14"/>
  <c r="O1696" i="14"/>
  <c r="O1695" i="14"/>
  <c r="O1694" i="14"/>
  <c r="O1693" i="14"/>
  <c r="O1692" i="14"/>
  <c r="O1691" i="14"/>
  <c r="O1690" i="14"/>
  <c r="O1689" i="14"/>
  <c r="O1688" i="14"/>
  <c r="O1687" i="14"/>
  <c r="O1686" i="14"/>
  <c r="O1685" i="14"/>
  <c r="O1684" i="14"/>
  <c r="O1683" i="14"/>
  <c r="O1682" i="14"/>
  <c r="N1783" i="14"/>
  <c r="R1783" i="14" s="1"/>
  <c r="K1822" i="14"/>
  <c r="S1822" i="14" s="1"/>
  <c r="K1821" i="14"/>
  <c r="S1821" i="14" s="1"/>
  <c r="K1820" i="14"/>
  <c r="K1819" i="14"/>
  <c r="K1818" i="14"/>
  <c r="S1818" i="14" s="1"/>
  <c r="K1817" i="14"/>
  <c r="K1815" i="14"/>
  <c r="K1814" i="14"/>
  <c r="K1811" i="14"/>
  <c r="K1810" i="14"/>
  <c r="K1809" i="14"/>
  <c r="K1808" i="14"/>
  <c r="K1806" i="14"/>
  <c r="K1805" i="14"/>
  <c r="K1802" i="14"/>
  <c r="K1800" i="14"/>
  <c r="K1797" i="14"/>
  <c r="K1794" i="14"/>
  <c r="K1793" i="14"/>
  <c r="K1792" i="14"/>
  <c r="K1791" i="14"/>
  <c r="K1790" i="14"/>
  <c r="K1788" i="14"/>
  <c r="K1787" i="14"/>
  <c r="S1787" i="14" s="1"/>
  <c r="K1784" i="14"/>
  <c r="K1783" i="14"/>
  <c r="K1782" i="14"/>
  <c r="K1781" i="14"/>
  <c r="S1781" i="14" s="1"/>
  <c r="K1780" i="14"/>
  <c r="K1779" i="14"/>
  <c r="S1779" i="14" s="1"/>
  <c r="K1778" i="14"/>
  <c r="K1777" i="14"/>
  <c r="S1777" i="14" s="1"/>
  <c r="K1776" i="14"/>
  <c r="S1776" i="14" s="1"/>
  <c r="K1775" i="14"/>
  <c r="S1775" i="14" s="1"/>
  <c r="K1773" i="14"/>
  <c r="K1772" i="14"/>
  <c r="K1770" i="14"/>
  <c r="K1768" i="14"/>
  <c r="K1766" i="14"/>
  <c r="K1764" i="14"/>
  <c r="K1754" i="14"/>
  <c r="K1753" i="14"/>
  <c r="K1752" i="14"/>
  <c r="K1751" i="14"/>
  <c r="K1750" i="14"/>
  <c r="K1749" i="14"/>
  <c r="K1747" i="14"/>
  <c r="K1746" i="14"/>
  <c r="S1746" i="14" s="1"/>
  <c r="K1743" i="14"/>
  <c r="K1742" i="14"/>
  <c r="K1741" i="14"/>
  <c r="K1738" i="14"/>
  <c r="S1738" i="14" s="1"/>
  <c r="K1737" i="14"/>
  <c r="S1737" i="14" s="1"/>
  <c r="K1736" i="14"/>
  <c r="S1736" i="14" s="1"/>
  <c r="K1732" i="14"/>
  <c r="K1731" i="14"/>
  <c r="K1730" i="14"/>
  <c r="K1729" i="14"/>
  <c r="K1728" i="14"/>
  <c r="K1726" i="14"/>
  <c r="S1726" i="14" s="1"/>
  <c r="K1725" i="14"/>
  <c r="S1725" i="14" s="1"/>
  <c r="K1722" i="14"/>
  <c r="K1721" i="14"/>
  <c r="K1720" i="14"/>
  <c r="K1719" i="14"/>
  <c r="K1717" i="14"/>
  <c r="K1716" i="14"/>
  <c r="K1711" i="14"/>
  <c r="K1710" i="14"/>
  <c r="K1709" i="14"/>
  <c r="K1708" i="14"/>
  <c r="K1707" i="14"/>
  <c r="K1706" i="14"/>
  <c r="K1705" i="14"/>
  <c r="K1703" i="14"/>
  <c r="K1702" i="14"/>
  <c r="K1701" i="14"/>
  <c r="K1700" i="14"/>
  <c r="K1695" i="14"/>
  <c r="K1691" i="14"/>
  <c r="K1690" i="14"/>
  <c r="K1689" i="14"/>
  <c r="K1688" i="14"/>
  <c r="K1687" i="14"/>
  <c r="K1685" i="14"/>
  <c r="K1684" i="14"/>
  <c r="J1686" i="14"/>
  <c r="R1686" i="14" s="1"/>
  <c r="J1694" i="14"/>
  <c r="J1718" i="14"/>
  <c r="J1715" i="14" s="1"/>
  <c r="J1714" i="14" s="1"/>
  <c r="J1727" i="14"/>
  <c r="J1735" i="14"/>
  <c r="R1735" i="14" s="1"/>
  <c r="J1740" i="14"/>
  <c r="J1757" i="14"/>
  <c r="R1757" i="14" s="1"/>
  <c r="J1763" i="14"/>
  <c r="J1767" i="14"/>
  <c r="R1767" i="14" s="1"/>
  <c r="J1769" i="14"/>
  <c r="R1769" i="14" s="1"/>
  <c r="J1774" i="14"/>
  <c r="R1774" i="14" s="1"/>
  <c r="J1789" i="14"/>
  <c r="J1796" i="14"/>
  <c r="J1799" i="14"/>
  <c r="R1799" i="14" s="1"/>
  <c r="J1801" i="14"/>
  <c r="J1807" i="14"/>
  <c r="J1816" i="14"/>
  <c r="O1671" i="14"/>
  <c r="O1668" i="14"/>
  <c r="O1667" i="14"/>
  <c r="O1666" i="14"/>
  <c r="O1665" i="14"/>
  <c r="O1664" i="14"/>
  <c r="O1663" i="14"/>
  <c r="O1662" i="14"/>
  <c r="O1661" i="14"/>
  <c r="O1660" i="14"/>
  <c r="O1659" i="14"/>
  <c r="O1656" i="14"/>
  <c r="S1656" i="14" s="1"/>
  <c r="O1655" i="14"/>
  <c r="O1654" i="14"/>
  <c r="S1654" i="14" s="1"/>
  <c r="O1653" i="14"/>
  <c r="O1652" i="14"/>
  <c r="O1651" i="14"/>
  <c r="O1650" i="14"/>
  <c r="O1649" i="14"/>
  <c r="O1648" i="14"/>
  <c r="O1647" i="14"/>
  <c r="O1646" i="14"/>
  <c r="O1645" i="14"/>
  <c r="O1644" i="14"/>
  <c r="O1643" i="14"/>
  <c r="O1642" i="14"/>
  <c r="S1642" i="14" s="1"/>
  <c r="O1639" i="14"/>
  <c r="O1638" i="14"/>
  <c r="O1637" i="14"/>
  <c r="O1636" i="14"/>
  <c r="O1635" i="14"/>
  <c r="O1634" i="14"/>
  <c r="O1633" i="14"/>
  <c r="O1632" i="14"/>
  <c r="O1631" i="14"/>
  <c r="O1630" i="14"/>
  <c r="O1628" i="14"/>
  <c r="O1625" i="14"/>
  <c r="O1624" i="14"/>
  <c r="O1620" i="14"/>
  <c r="S1620" i="14" s="1"/>
  <c r="O1618" i="14"/>
  <c r="O1617" i="14"/>
  <c r="O1616" i="14"/>
  <c r="O1613" i="14"/>
  <c r="O1612" i="14"/>
  <c r="O1609" i="14"/>
  <c r="O1606" i="14"/>
  <c r="O1605" i="14"/>
  <c r="O1604" i="14"/>
  <c r="O1603" i="14"/>
  <c r="O1602" i="14"/>
  <c r="O1601" i="14"/>
  <c r="O1600" i="14"/>
  <c r="O1599" i="14"/>
  <c r="O1598" i="14"/>
  <c r="O1597" i="14"/>
  <c r="O1596" i="14"/>
  <c r="O1595" i="14"/>
  <c r="S1595" i="14" s="1"/>
  <c r="O1594" i="14"/>
  <c r="O1593" i="14"/>
  <c r="O1592" i="14"/>
  <c r="O1591" i="14"/>
  <c r="O1590" i="14"/>
  <c r="O1589" i="14"/>
  <c r="O1588" i="14"/>
  <c r="O1587" i="14"/>
  <c r="O1586" i="14"/>
  <c r="O1585" i="14"/>
  <c r="O1583" i="14"/>
  <c r="O1582" i="14"/>
  <c r="O1581" i="14"/>
  <c r="O1578" i="14"/>
  <c r="O1577" i="14"/>
  <c r="O1576" i="14"/>
  <c r="N1580" i="14"/>
  <c r="N1608" i="14"/>
  <c r="R1608" i="14" s="1"/>
  <c r="N1615" i="14"/>
  <c r="N1619" i="14"/>
  <c r="R1619" i="14" s="1"/>
  <c r="N1627" i="14"/>
  <c r="R1627" i="14" s="1"/>
  <c r="N1641" i="14"/>
  <c r="R1641" i="14" s="1"/>
  <c r="N1670" i="14"/>
  <c r="K1671" i="14"/>
  <c r="S1671" i="14" s="1"/>
  <c r="K1670" i="14"/>
  <c r="K1669" i="14"/>
  <c r="K1666" i="14"/>
  <c r="K1662" i="14"/>
  <c r="K1656" i="14"/>
  <c r="K1655" i="14"/>
  <c r="S1655" i="14" s="1"/>
  <c r="K1654" i="14"/>
  <c r="K1653" i="14"/>
  <c r="K1649" i="14"/>
  <c r="K1645" i="14"/>
  <c r="S1645" i="14" s="1"/>
  <c r="K1642" i="14"/>
  <c r="K1641" i="14"/>
  <c r="K1640" i="14"/>
  <c r="K1639" i="14"/>
  <c r="K1638" i="14"/>
  <c r="K1636" i="14"/>
  <c r="S1636" i="14" s="1"/>
  <c r="K1633" i="14"/>
  <c r="K1631" i="14"/>
  <c r="K1628" i="14"/>
  <c r="S1628" i="14" s="1"/>
  <c r="K1627" i="14"/>
  <c r="K1626" i="14"/>
  <c r="K1625" i="14"/>
  <c r="K1622" i="14"/>
  <c r="K1621" i="14"/>
  <c r="K1620" i="14"/>
  <c r="K1619" i="14"/>
  <c r="K1618" i="14"/>
  <c r="S1618" i="14" s="1"/>
  <c r="K1617" i="14"/>
  <c r="S1617" i="14" s="1"/>
  <c r="K1616" i="14"/>
  <c r="K1615" i="14"/>
  <c r="K1614" i="14"/>
  <c r="K1609" i="14"/>
  <c r="S1609" i="14" s="1"/>
  <c r="K1608" i="14"/>
  <c r="K1607" i="14"/>
  <c r="K1606" i="14"/>
  <c r="K1605" i="14"/>
  <c r="K1603" i="14"/>
  <c r="K1602" i="14"/>
  <c r="K1601" i="14"/>
  <c r="K1599" i="14"/>
  <c r="S1599" i="14" s="1"/>
  <c r="K1598" i="14"/>
  <c r="K1596" i="14"/>
  <c r="S1596" i="14" s="1"/>
  <c r="K1595" i="14"/>
  <c r="K1594" i="14"/>
  <c r="K1593" i="14"/>
  <c r="K1591" i="14"/>
  <c r="K1590" i="14"/>
  <c r="K1588" i="14"/>
  <c r="S1588" i="14" s="1"/>
  <c r="K1586" i="14"/>
  <c r="K1585" i="14"/>
  <c r="K1583" i="14"/>
  <c r="S1583" i="14" s="1"/>
  <c r="K1582" i="14"/>
  <c r="S1582" i="14" s="1"/>
  <c r="K1581" i="14"/>
  <c r="K1580" i="14"/>
  <c r="K1579" i="14"/>
  <c r="K1578" i="14"/>
  <c r="K1577" i="14"/>
  <c r="J1576" i="14"/>
  <c r="R1576" i="14" s="1"/>
  <c r="J1587" i="14"/>
  <c r="R1587" i="14" s="1"/>
  <c r="J1597" i="14"/>
  <c r="R1597" i="14" s="1"/>
  <c r="J1612" i="14"/>
  <c r="J1624" i="14"/>
  <c r="J1630" i="14"/>
  <c r="J1634" i="14"/>
  <c r="R1634" i="14" s="1"/>
  <c r="J1637" i="14"/>
  <c r="R1637" i="14" s="1"/>
  <c r="J1644" i="14"/>
  <c r="J1643" i="14" s="1"/>
  <c r="R1643" i="14" s="1"/>
  <c r="J1648" i="14"/>
  <c r="R1648" i="14" s="1"/>
  <c r="J1652" i="14"/>
  <c r="J1651" i="14" s="1"/>
  <c r="J1661" i="14"/>
  <c r="R1661" i="14" s="1"/>
  <c r="O1557" i="14"/>
  <c r="S1557" i="14" s="1"/>
  <c r="O1554" i="14"/>
  <c r="O1553" i="14"/>
  <c r="O1552" i="14"/>
  <c r="O1551" i="14"/>
  <c r="S1551" i="14" s="1"/>
  <c r="O1550" i="14"/>
  <c r="O1547" i="14"/>
  <c r="O1546" i="14"/>
  <c r="O1545" i="14"/>
  <c r="O1544" i="14"/>
  <c r="O1543" i="14"/>
  <c r="O1542" i="14"/>
  <c r="O1540" i="14"/>
  <c r="O1539" i="14"/>
  <c r="O1538" i="14"/>
  <c r="O1537" i="14"/>
  <c r="O1536" i="14"/>
  <c r="O1531" i="14"/>
  <c r="O1530" i="14"/>
  <c r="O1529" i="14"/>
  <c r="O1528" i="14"/>
  <c r="O1527" i="14"/>
  <c r="O1526" i="14"/>
  <c r="O1525" i="14"/>
  <c r="O1524" i="14"/>
  <c r="S1524" i="14" s="1"/>
  <c r="O1523" i="14"/>
  <c r="O1522" i="14"/>
  <c r="O1521" i="14"/>
  <c r="O1520" i="14"/>
  <c r="N1549" i="14"/>
  <c r="R1549" i="14" s="1"/>
  <c r="N1556" i="14"/>
  <c r="R1556" i="14" s="1"/>
  <c r="K1557" i="14"/>
  <c r="K1556" i="14"/>
  <c r="K1555" i="14"/>
  <c r="K1554" i="14"/>
  <c r="K1551" i="14"/>
  <c r="K1550" i="14"/>
  <c r="K1549" i="14"/>
  <c r="K1548" i="14"/>
  <c r="K1546" i="14"/>
  <c r="K1542" i="14"/>
  <c r="S1542" i="14" s="1"/>
  <c r="K1538" i="14"/>
  <c r="K1531" i="14"/>
  <c r="K1530" i="14"/>
  <c r="K1528" i="14"/>
  <c r="K1526" i="14"/>
  <c r="K1525" i="14"/>
  <c r="K1524" i="14"/>
  <c r="K1523" i="14"/>
  <c r="K1522" i="14"/>
  <c r="J1537" i="14"/>
  <c r="J1543" i="14"/>
  <c r="J1553" i="14"/>
  <c r="R1553" i="14" s="1"/>
  <c r="O1468" i="14"/>
  <c r="O1465" i="14"/>
  <c r="O1464" i="14"/>
  <c r="O1463" i="14"/>
  <c r="O1462" i="14"/>
  <c r="O1461" i="14"/>
  <c r="O1460" i="14"/>
  <c r="O1459" i="14"/>
  <c r="O1458" i="14"/>
  <c r="O1457" i="14"/>
  <c r="O1456" i="14"/>
  <c r="O1455" i="14"/>
  <c r="O1453" i="14"/>
  <c r="O1452" i="14"/>
  <c r="O1451" i="14"/>
  <c r="O1448" i="14"/>
  <c r="O1447" i="14"/>
  <c r="O1446" i="14"/>
  <c r="O1445" i="14"/>
  <c r="O1444" i="14"/>
  <c r="O1440" i="14"/>
  <c r="O1439" i="14"/>
  <c r="O1438" i="14"/>
  <c r="O1437" i="14"/>
  <c r="O1436" i="14"/>
  <c r="O1435" i="14"/>
  <c r="O1434" i="14"/>
  <c r="O1433" i="14"/>
  <c r="O1432" i="14"/>
  <c r="O1431" i="14"/>
  <c r="O1430" i="14"/>
  <c r="O1427" i="14"/>
  <c r="O1426" i="14"/>
  <c r="O1425" i="14"/>
  <c r="O1424" i="14"/>
  <c r="O1423" i="14"/>
  <c r="O1422" i="14"/>
  <c r="O1421" i="14"/>
  <c r="O1420" i="14"/>
  <c r="O1418" i="14"/>
  <c r="O1417" i="14"/>
  <c r="O1415" i="14"/>
  <c r="O1411" i="14"/>
  <c r="O1410" i="14"/>
  <c r="O1409" i="14"/>
  <c r="O1408" i="14"/>
  <c r="O1407" i="14"/>
  <c r="O1406" i="14"/>
  <c r="O1405" i="14"/>
  <c r="O1404" i="14"/>
  <c r="O1403" i="14"/>
  <c r="O1402" i="14"/>
  <c r="O1401" i="14"/>
  <c r="O1398" i="14"/>
  <c r="O1397" i="14"/>
  <c r="O1393" i="14"/>
  <c r="O1392" i="14"/>
  <c r="O1390" i="14"/>
  <c r="O1389" i="14"/>
  <c r="O1388" i="14"/>
  <c r="O1387" i="14"/>
  <c r="O1385" i="14"/>
  <c r="O1384" i="14"/>
  <c r="O1383" i="14"/>
  <c r="O1382" i="14"/>
  <c r="O1380" i="14"/>
  <c r="O1379" i="14"/>
  <c r="O1378" i="14"/>
  <c r="O1377" i="14"/>
  <c r="O1376" i="14"/>
  <c r="O1375" i="14"/>
  <c r="O1374" i="14"/>
  <c r="O1373" i="14"/>
  <c r="O1372" i="14"/>
  <c r="O1371" i="14"/>
  <c r="O1370" i="14"/>
  <c r="O1369" i="14"/>
  <c r="O1368" i="14"/>
  <c r="O1367" i="14"/>
  <c r="O1366" i="14"/>
  <c r="O1365" i="14"/>
  <c r="O1364" i="14"/>
  <c r="O1363" i="14"/>
  <c r="N1394" i="14"/>
  <c r="N1391" i="14" s="1"/>
  <c r="N1400" i="14"/>
  <c r="N1414" i="14"/>
  <c r="R1414" i="14" s="1"/>
  <c r="N1416" i="14"/>
  <c r="N1429" i="14"/>
  <c r="N1428" i="14" s="1"/>
  <c r="N1419" i="14" s="1"/>
  <c r="N1443" i="14"/>
  <c r="R1443" i="14" s="1"/>
  <c r="N1449" i="14"/>
  <c r="R1449" i="14" s="1"/>
  <c r="N1467" i="14"/>
  <c r="N1466" i="14" s="1"/>
  <c r="N1454" i="14" s="1"/>
  <c r="K1468" i="14"/>
  <c r="K1467" i="14"/>
  <c r="K1466" i="14"/>
  <c r="K1465" i="14"/>
  <c r="K1464" i="14"/>
  <c r="K1463" i="14"/>
  <c r="K1462" i="14"/>
  <c r="K1461" i="14"/>
  <c r="K1460" i="14"/>
  <c r="K1459" i="14"/>
  <c r="K1458" i="14"/>
  <c r="K1456" i="14"/>
  <c r="S1456" i="14" s="1"/>
  <c r="K1455" i="14"/>
  <c r="S1455" i="14" s="1"/>
  <c r="K1453" i="14"/>
  <c r="S1453" i="14" s="1"/>
  <c r="K1452" i="14"/>
  <c r="K1451" i="14"/>
  <c r="S1451" i="14" s="1"/>
  <c r="K1450" i="14"/>
  <c r="K1449" i="14"/>
  <c r="K1448" i="14"/>
  <c r="K1447" i="14"/>
  <c r="K1446" i="14"/>
  <c r="S1446" i="14" s="1"/>
  <c r="K1445" i="14"/>
  <c r="K1444" i="14"/>
  <c r="K1443" i="14"/>
  <c r="K1442" i="14"/>
  <c r="K1440" i="14"/>
  <c r="S1440" i="14" s="1"/>
  <c r="K1438" i="14"/>
  <c r="K1437" i="14"/>
  <c r="K1436" i="14"/>
  <c r="K1434" i="14"/>
  <c r="K1433" i="14"/>
  <c r="K1430" i="14"/>
  <c r="S1430" i="14" s="1"/>
  <c r="K1429" i="14"/>
  <c r="K1428" i="14"/>
  <c r="K1427" i="14"/>
  <c r="K1426" i="14"/>
  <c r="K1424" i="14"/>
  <c r="K1423" i="14"/>
  <c r="K1421" i="14"/>
  <c r="K1420" i="14"/>
  <c r="S1420" i="14" s="1"/>
  <c r="K1418" i="14"/>
  <c r="S1418" i="14" s="1"/>
  <c r="K1417" i="14"/>
  <c r="S1417" i="14" s="1"/>
  <c r="K1416" i="14"/>
  <c r="K1415" i="14"/>
  <c r="K1414" i="14"/>
  <c r="K1413" i="14"/>
  <c r="K1411" i="14"/>
  <c r="K1410" i="14"/>
  <c r="K1409" i="14"/>
  <c r="K1408" i="14"/>
  <c r="K1407" i="14"/>
  <c r="K1406" i="14"/>
  <c r="K1404" i="14"/>
  <c r="S1404" i="14" s="1"/>
  <c r="K1403" i="14"/>
  <c r="K1401" i="14"/>
  <c r="K1400" i="14"/>
  <c r="K1399" i="14"/>
  <c r="K1398" i="14"/>
  <c r="K1395" i="14"/>
  <c r="K1394" i="14"/>
  <c r="K1393" i="14"/>
  <c r="S1393" i="14" s="1"/>
  <c r="K1392" i="14"/>
  <c r="S1392" i="14" s="1"/>
  <c r="K1391" i="14"/>
  <c r="K1390" i="14"/>
  <c r="K1389" i="14"/>
  <c r="K1388" i="14"/>
  <c r="K1385" i="14"/>
  <c r="K1384" i="14"/>
  <c r="S1384" i="14" s="1"/>
  <c r="K1380" i="14"/>
  <c r="S1380" i="14" s="1"/>
  <c r="K1379" i="14"/>
  <c r="K1378" i="14"/>
  <c r="K1377" i="14"/>
  <c r="K1376" i="14"/>
  <c r="S1376" i="14" s="1"/>
  <c r="K1375" i="14"/>
  <c r="K1374" i="14"/>
  <c r="K1373" i="14"/>
  <c r="K1372" i="14"/>
  <c r="S1372" i="14" s="1"/>
  <c r="K1371" i="14"/>
  <c r="K1370" i="14"/>
  <c r="K1369" i="14"/>
  <c r="K1366" i="14"/>
  <c r="S1366" i="14" s="1"/>
  <c r="K1365" i="14"/>
  <c r="S1365" i="14" s="1"/>
  <c r="J1364" i="14"/>
  <c r="J1368" i="14"/>
  <c r="J1383" i="14"/>
  <c r="R1383" i="14" s="1"/>
  <c r="J1387" i="14"/>
  <c r="J1397" i="14"/>
  <c r="R1397" i="14" s="1"/>
  <c r="J1405" i="14"/>
  <c r="J1422" i="14"/>
  <c r="J1419" i="14" s="1"/>
  <c r="J1412" i="14" s="1"/>
  <c r="J1435" i="14"/>
  <c r="J1457" i="14"/>
  <c r="O1310" i="14"/>
  <c r="O1309" i="14"/>
  <c r="O1308" i="14"/>
  <c r="O1307" i="14"/>
  <c r="O1306" i="14"/>
  <c r="O1305" i="14"/>
  <c r="O1304" i="14"/>
  <c r="O1303" i="14"/>
  <c r="O1302" i="14"/>
  <c r="O1301" i="14"/>
  <c r="O1300" i="14"/>
  <c r="O1299" i="14"/>
  <c r="O1298" i="14"/>
  <c r="O1297" i="14"/>
  <c r="O1296" i="14"/>
  <c r="O1295" i="14"/>
  <c r="O1294" i="14"/>
  <c r="O1293" i="14"/>
  <c r="O1292" i="14"/>
  <c r="O1291" i="14"/>
  <c r="O1290" i="14"/>
  <c r="O1289" i="14"/>
  <c r="O1288" i="14"/>
  <c r="O1287" i="14"/>
  <c r="O1286" i="14"/>
  <c r="O1285" i="14"/>
  <c r="O1284" i="14"/>
  <c r="O1283" i="14"/>
  <c r="O1282" i="14"/>
  <c r="O1281" i="14"/>
  <c r="O1280" i="14"/>
  <c r="O1279" i="14"/>
  <c r="O1278" i="14"/>
  <c r="O1277" i="14"/>
  <c r="O1276" i="14"/>
  <c r="O1275" i="14"/>
  <c r="O1274" i="14"/>
  <c r="O1273" i="14"/>
  <c r="O1272" i="14"/>
  <c r="O1271" i="14"/>
  <c r="O1270" i="14"/>
  <c r="O1269" i="14"/>
  <c r="O1268" i="14"/>
  <c r="O1267" i="14"/>
  <c r="O1266" i="14"/>
  <c r="O1265" i="14"/>
  <c r="O1264" i="14"/>
  <c r="O1263" i="14"/>
  <c r="O1262" i="14"/>
  <c r="O1261" i="14"/>
  <c r="O1260" i="14"/>
  <c r="O1259" i="14"/>
  <c r="O1258" i="14"/>
  <c r="O1257" i="14"/>
  <c r="O1256" i="14"/>
  <c r="O1255" i="14"/>
  <c r="O1254" i="14"/>
  <c r="O1253" i="14"/>
  <c r="O1252" i="14"/>
  <c r="O1251" i="14"/>
  <c r="O1250" i="14"/>
  <c r="O1249" i="14"/>
  <c r="O1248" i="14"/>
  <c r="O1247" i="14"/>
  <c r="O1246" i="14"/>
  <c r="O1245" i="14"/>
  <c r="O1244" i="14"/>
  <c r="O1243" i="14"/>
  <c r="O1242" i="14"/>
  <c r="O1241" i="14"/>
  <c r="O1240" i="14"/>
  <c r="O1239" i="14"/>
  <c r="O1238" i="14"/>
  <c r="O1237" i="14"/>
  <c r="O1236" i="14"/>
  <c r="O1235" i="14"/>
  <c r="O1234" i="14"/>
  <c r="O1233" i="14"/>
  <c r="O1232" i="14"/>
  <c r="O1231" i="14"/>
  <c r="O1230" i="14"/>
  <c r="O1229" i="14"/>
  <c r="O1228" i="14"/>
  <c r="O1227" i="14"/>
  <c r="O1226" i="14"/>
  <c r="O1225" i="14"/>
  <c r="O1224" i="14"/>
  <c r="O1223" i="14"/>
  <c r="O1222" i="14"/>
  <c r="O1221" i="14"/>
  <c r="O1220" i="14"/>
  <c r="O1219" i="14"/>
  <c r="O1218" i="14"/>
  <c r="O1217" i="14"/>
  <c r="O1216" i="14"/>
  <c r="O1215" i="14"/>
  <c r="O1214" i="14"/>
  <c r="O1213" i="14"/>
  <c r="O1212" i="14"/>
  <c r="O1211" i="14"/>
  <c r="O1208" i="14"/>
  <c r="O1207" i="14"/>
  <c r="O1206" i="14"/>
  <c r="O1205" i="14"/>
  <c r="O1204" i="14"/>
  <c r="O1203" i="14"/>
  <c r="O1202" i="14"/>
  <c r="O1201" i="14"/>
  <c r="O1200" i="14"/>
  <c r="O1199" i="14"/>
  <c r="O1198" i="14"/>
  <c r="O1197" i="14"/>
  <c r="O1196" i="14"/>
  <c r="O1195" i="14"/>
  <c r="O1193" i="14"/>
  <c r="O1192" i="14"/>
  <c r="O1191" i="14"/>
  <c r="O1190" i="14"/>
  <c r="O1189" i="14"/>
  <c r="O1188" i="14"/>
  <c r="O1187" i="14"/>
  <c r="O1186" i="14"/>
  <c r="O1185" i="14"/>
  <c r="O1184" i="14"/>
  <c r="O1183" i="14"/>
  <c r="O1182" i="14"/>
  <c r="O1181" i="14"/>
  <c r="O1180" i="14"/>
  <c r="O1179" i="14"/>
  <c r="O1178" i="14"/>
  <c r="O1177" i="14"/>
  <c r="O1176" i="14"/>
  <c r="O1175" i="14"/>
  <c r="O1174" i="14"/>
  <c r="O1173" i="14"/>
  <c r="O1172" i="14"/>
  <c r="O1171" i="14"/>
  <c r="O1170" i="14"/>
  <c r="O1169" i="14"/>
  <c r="O1168" i="14"/>
  <c r="O1167" i="14"/>
  <c r="O1166" i="14"/>
  <c r="O1165" i="14"/>
  <c r="O1164" i="14"/>
  <c r="O1163" i="14"/>
  <c r="O1162" i="14"/>
  <c r="O1161" i="14"/>
  <c r="O1160" i="14"/>
  <c r="O1159" i="14"/>
  <c r="O1158" i="14"/>
  <c r="O1157" i="14"/>
  <c r="O1156" i="14"/>
  <c r="O1155" i="14"/>
  <c r="O1154" i="14"/>
  <c r="O1153" i="14"/>
  <c r="O1152" i="14"/>
  <c r="O1151" i="14"/>
  <c r="O1150" i="14"/>
  <c r="O1149" i="14"/>
  <c r="O1148" i="14"/>
  <c r="O1147" i="14"/>
  <c r="O1146" i="14"/>
  <c r="O1145" i="14"/>
  <c r="O1144" i="14"/>
  <c r="O1143" i="14"/>
  <c r="O1142" i="14"/>
  <c r="O1141" i="14"/>
  <c r="O1140" i="14"/>
  <c r="O1139" i="14"/>
  <c r="O1138" i="14"/>
  <c r="O1137" i="14"/>
  <c r="O1136" i="14"/>
  <c r="O1135" i="14"/>
  <c r="O1134" i="14"/>
  <c r="O1133" i="14"/>
  <c r="O1132" i="14"/>
  <c r="O1131" i="14"/>
  <c r="O1130" i="14"/>
  <c r="O1129" i="14"/>
  <c r="O1128" i="14"/>
  <c r="O1127" i="14"/>
  <c r="O1126" i="14"/>
  <c r="O1125" i="14"/>
  <c r="O1124" i="14"/>
  <c r="O1123" i="14"/>
  <c r="O1122" i="14"/>
  <c r="O1121" i="14"/>
  <c r="O1120" i="14"/>
  <c r="O1119" i="14"/>
  <c r="O1118" i="14"/>
  <c r="O1117" i="14"/>
  <c r="O1116" i="14"/>
  <c r="O1115" i="14"/>
  <c r="O1114" i="14"/>
  <c r="O1113" i="14"/>
  <c r="O1112" i="14"/>
  <c r="O1111" i="14"/>
  <c r="O1110" i="14"/>
  <c r="O1109" i="14"/>
  <c r="O1108" i="14"/>
  <c r="O1107" i="14"/>
  <c r="O1106" i="14"/>
  <c r="O1105" i="14"/>
  <c r="O1104" i="14"/>
  <c r="O1103" i="14"/>
  <c r="O1102" i="14"/>
  <c r="O1101" i="14"/>
  <c r="O1100" i="14"/>
  <c r="O1099" i="14"/>
  <c r="O1098" i="14"/>
  <c r="O1097" i="14"/>
  <c r="O1096" i="14"/>
  <c r="O1095" i="14"/>
  <c r="O1094" i="14"/>
  <c r="O1093" i="14"/>
  <c r="O1092" i="14"/>
  <c r="O1091" i="14"/>
  <c r="O1090" i="14"/>
  <c r="O1089" i="14"/>
  <c r="O1088" i="14"/>
  <c r="O1087" i="14"/>
  <c r="O1086" i="14"/>
  <c r="O1085" i="14"/>
  <c r="O1084" i="14"/>
  <c r="O1083" i="14"/>
  <c r="O1082" i="14"/>
  <c r="O1081" i="14"/>
  <c r="O1080" i="14"/>
  <c r="O1079" i="14"/>
  <c r="O1078" i="14"/>
  <c r="O1077" i="14"/>
  <c r="O1076" i="14"/>
  <c r="O1075" i="14"/>
  <c r="O1074" i="14"/>
  <c r="O1073" i="14"/>
  <c r="O1072" i="14"/>
  <c r="O1071" i="14"/>
  <c r="O1070" i="14"/>
  <c r="O1069" i="14"/>
  <c r="O1068" i="14"/>
  <c r="O1067" i="14"/>
  <c r="O1066" i="14"/>
  <c r="O1065" i="14"/>
  <c r="O1064" i="14"/>
  <c r="O1063" i="14"/>
  <c r="O1062" i="14"/>
  <c r="O1061" i="14"/>
  <c r="O1060" i="14"/>
  <c r="O1059" i="14"/>
  <c r="O1058" i="14"/>
  <c r="O1057" i="14"/>
  <c r="O1056" i="14"/>
  <c r="O1055" i="14"/>
  <c r="O1054" i="14"/>
  <c r="O1053" i="14"/>
  <c r="O1052" i="14"/>
  <c r="O1051" i="14"/>
  <c r="O1050" i="14"/>
  <c r="O1049" i="14"/>
  <c r="O1048" i="14"/>
  <c r="O1047" i="14"/>
  <c r="O1046" i="14"/>
  <c r="O1045" i="14"/>
  <c r="O1043" i="14"/>
  <c r="O1042" i="14"/>
  <c r="O1041" i="14"/>
  <c r="O1040" i="14"/>
  <c r="O1039" i="14"/>
  <c r="O1038" i="14"/>
  <c r="O1037" i="14"/>
  <c r="O1036" i="14"/>
  <c r="O1035" i="14"/>
  <c r="O1034" i="14"/>
  <c r="O1033" i="14"/>
  <c r="O1032" i="14"/>
  <c r="O1031" i="14"/>
  <c r="O1030" i="14"/>
  <c r="O1029" i="14"/>
  <c r="O1028" i="14"/>
  <c r="O1027" i="14"/>
  <c r="O1026" i="14"/>
  <c r="O1025" i="14"/>
  <c r="O1024" i="14"/>
  <c r="O1023" i="14"/>
  <c r="O1022" i="14"/>
  <c r="O1021" i="14"/>
  <c r="O1020" i="14"/>
  <c r="O1019" i="14"/>
  <c r="O1018" i="14"/>
  <c r="O1017" i="14"/>
  <c r="O1016" i="14"/>
  <c r="O1015" i="14"/>
  <c r="O1014" i="14"/>
  <c r="O1013" i="14"/>
  <c r="O1012" i="14"/>
  <c r="O1011" i="14"/>
  <c r="O1010" i="14"/>
  <c r="O1009" i="14"/>
  <c r="O1008" i="14"/>
  <c r="O1007" i="14"/>
  <c r="O1006" i="14"/>
  <c r="O1005" i="14"/>
  <c r="O1004" i="14"/>
  <c r="O1003" i="14"/>
  <c r="O1002" i="14"/>
  <c r="O1001" i="14"/>
  <c r="O1000" i="14"/>
  <c r="O999" i="14"/>
  <c r="O998" i="14"/>
  <c r="O997" i="14"/>
  <c r="O996" i="14"/>
  <c r="O995" i="14"/>
  <c r="O994" i="14"/>
  <c r="O993" i="14"/>
  <c r="O992" i="14"/>
  <c r="O991" i="14"/>
  <c r="O990" i="14"/>
  <c r="O989" i="14"/>
  <c r="O988" i="14"/>
  <c r="O987" i="14"/>
  <c r="O986" i="14"/>
  <c r="O985" i="14"/>
  <c r="O984" i="14"/>
  <c r="O983" i="14"/>
  <c r="O982" i="14"/>
  <c r="O981" i="14"/>
  <c r="O980" i="14"/>
  <c r="O979" i="14"/>
  <c r="O978" i="14"/>
  <c r="O977" i="14"/>
  <c r="O976" i="14"/>
  <c r="O975" i="14"/>
  <c r="O974" i="14"/>
  <c r="O973" i="14"/>
  <c r="O972" i="14"/>
  <c r="O971" i="14"/>
  <c r="O970" i="14"/>
  <c r="O969" i="14"/>
  <c r="O968" i="14"/>
  <c r="O967" i="14"/>
  <c r="O966" i="14"/>
  <c r="O965" i="14"/>
  <c r="O964" i="14"/>
  <c r="O963" i="14"/>
  <c r="O962" i="14"/>
  <c r="O961" i="14"/>
  <c r="O960" i="14"/>
  <c r="O959" i="14"/>
  <c r="O958" i="14"/>
  <c r="O957" i="14"/>
  <c r="O956" i="14"/>
  <c r="O955" i="14"/>
  <c r="O954" i="14"/>
  <c r="O953" i="14"/>
  <c r="O952" i="14"/>
  <c r="O951" i="14"/>
  <c r="O950" i="14"/>
  <c r="O949" i="14"/>
  <c r="O948" i="14"/>
  <c r="O947" i="14"/>
  <c r="O946" i="14"/>
  <c r="O945" i="14"/>
  <c r="O944" i="14"/>
  <c r="O943" i="14"/>
  <c r="O942" i="14"/>
  <c r="O941" i="14"/>
  <c r="O940" i="14"/>
  <c r="O939" i="14"/>
  <c r="O938" i="14"/>
  <c r="O937" i="14"/>
  <c r="O936" i="14"/>
  <c r="O935" i="14"/>
  <c r="O934" i="14"/>
  <c r="O933" i="14"/>
  <c r="O932" i="14"/>
  <c r="O931" i="14"/>
  <c r="O930" i="14"/>
  <c r="O929" i="14"/>
  <c r="O928" i="14"/>
  <c r="O927" i="14"/>
  <c r="O926" i="14"/>
  <c r="O925" i="14"/>
  <c r="O924" i="14"/>
  <c r="O923" i="14"/>
  <c r="O922" i="14"/>
  <c r="O921" i="14"/>
  <c r="O920" i="14"/>
  <c r="O919" i="14"/>
  <c r="O918" i="14"/>
  <c r="O917" i="14"/>
  <c r="O916" i="14"/>
  <c r="O915" i="14"/>
  <c r="O914" i="14"/>
  <c r="O913" i="14"/>
  <c r="O912" i="14"/>
  <c r="O911" i="14"/>
  <c r="O910" i="14"/>
  <c r="O909" i="14"/>
  <c r="O908" i="14"/>
  <c r="O907" i="14"/>
  <c r="O906" i="14"/>
  <c r="O905" i="14"/>
  <c r="O904" i="14"/>
  <c r="O903" i="14"/>
  <c r="O902" i="14"/>
  <c r="O901" i="14"/>
  <c r="O900" i="14"/>
  <c r="O899" i="14"/>
  <c r="O898" i="14"/>
  <c r="O897" i="14"/>
  <c r="O896" i="14"/>
  <c r="O895" i="14"/>
  <c r="O894" i="14"/>
  <c r="O893" i="14"/>
  <c r="O892" i="14"/>
  <c r="O891" i="14"/>
  <c r="O890" i="14"/>
  <c r="O889" i="14"/>
  <c r="O888" i="14"/>
  <c r="O887" i="14"/>
  <c r="O886" i="14"/>
  <c r="O885" i="14"/>
  <c r="O884" i="14"/>
  <c r="O883" i="14"/>
  <c r="O879" i="14"/>
  <c r="O878" i="14"/>
  <c r="O877" i="14"/>
  <c r="O876" i="14"/>
  <c r="O875" i="14"/>
  <c r="O874" i="14"/>
  <c r="O873" i="14"/>
  <c r="O872" i="14"/>
  <c r="O871" i="14"/>
  <c r="O870" i="14"/>
  <c r="O869" i="14"/>
  <c r="O868" i="14"/>
  <c r="O867" i="14"/>
  <c r="O866" i="14"/>
  <c r="O865" i="14"/>
  <c r="O864" i="14"/>
  <c r="O863" i="14"/>
  <c r="O862" i="14"/>
  <c r="O861" i="14"/>
  <c r="O859" i="14"/>
  <c r="O856" i="14"/>
  <c r="O855" i="14"/>
  <c r="O854" i="14"/>
  <c r="O853" i="14"/>
  <c r="O852" i="14"/>
  <c r="O851" i="14"/>
  <c r="O850" i="14"/>
  <c r="O849" i="14"/>
  <c r="O848" i="14"/>
  <c r="O847" i="14"/>
  <c r="O846" i="14"/>
  <c r="O845" i="14"/>
  <c r="O844" i="14"/>
  <c r="O843" i="14"/>
  <c r="O842" i="14"/>
  <c r="O841" i="14"/>
  <c r="O840" i="14"/>
  <c r="O839" i="14"/>
  <c r="O837" i="14"/>
  <c r="O836" i="14"/>
  <c r="O835" i="14"/>
  <c r="O834" i="14"/>
  <c r="O833" i="14"/>
  <c r="O832" i="14"/>
  <c r="O831" i="14"/>
  <c r="O830" i="14"/>
  <c r="O829" i="14"/>
  <c r="O828" i="14"/>
  <c r="O826" i="14"/>
  <c r="O825" i="14"/>
  <c r="O824" i="14"/>
  <c r="O823" i="14"/>
  <c r="O822" i="14"/>
  <c r="O821" i="14"/>
  <c r="O820" i="14"/>
  <c r="O819" i="14"/>
  <c r="O818" i="14"/>
  <c r="O817" i="14"/>
  <c r="O813" i="14"/>
  <c r="O812" i="14"/>
  <c r="O811" i="14"/>
  <c r="O810" i="14"/>
  <c r="O809" i="14"/>
  <c r="O808" i="14"/>
  <c r="O807" i="14"/>
  <c r="O806" i="14"/>
  <c r="O805" i="14"/>
  <c r="O804" i="14"/>
  <c r="O803" i="14"/>
  <c r="O802" i="14"/>
  <c r="O801" i="14"/>
  <c r="O800" i="14"/>
  <c r="O799" i="14"/>
  <c r="O798" i="14"/>
  <c r="O797" i="14"/>
  <c r="O796" i="14"/>
  <c r="O794" i="14"/>
  <c r="O793" i="14"/>
  <c r="O792" i="14"/>
  <c r="O791" i="14"/>
  <c r="O790" i="14"/>
  <c r="O789" i="14"/>
  <c r="O788" i="14"/>
  <c r="O787" i="14"/>
  <c r="O786" i="14"/>
  <c r="O785" i="14"/>
  <c r="O784" i="14"/>
  <c r="O783" i="14"/>
  <c r="O782" i="14"/>
  <c r="O781" i="14"/>
  <c r="O780" i="14"/>
  <c r="O779" i="14"/>
  <c r="O778" i="14"/>
  <c r="O777" i="14"/>
  <c r="O776" i="14"/>
  <c r="O775" i="14"/>
  <c r="O774" i="14"/>
  <c r="O773" i="14"/>
  <c r="O772" i="14"/>
  <c r="O771" i="14"/>
  <c r="O770" i="14"/>
  <c r="O769" i="14"/>
  <c r="O768" i="14"/>
  <c r="O767" i="14"/>
  <c r="O766" i="14"/>
  <c r="O765" i="14"/>
  <c r="O764" i="14"/>
  <c r="O763" i="14"/>
  <c r="O762" i="14"/>
  <c r="O760" i="14"/>
  <c r="O759" i="14"/>
  <c r="O758" i="14"/>
  <c r="O757" i="14"/>
  <c r="O756" i="14"/>
  <c r="O755" i="14"/>
  <c r="O754" i="14"/>
  <c r="O753" i="14"/>
  <c r="O752" i="14"/>
  <c r="O751" i="14"/>
  <c r="O750" i="14"/>
  <c r="O749" i="14"/>
  <c r="O748" i="14"/>
  <c r="O747" i="14"/>
  <c r="O746" i="14"/>
  <c r="O745" i="14"/>
  <c r="O744" i="14"/>
  <c r="O743" i="14"/>
  <c r="O742" i="14"/>
  <c r="O741" i="14"/>
  <c r="O740" i="14"/>
  <c r="O739" i="14"/>
  <c r="O738" i="14"/>
  <c r="O737" i="14"/>
  <c r="O736" i="14"/>
  <c r="O735" i="14"/>
  <c r="O734" i="14"/>
  <c r="O733" i="14"/>
  <c r="O732" i="14"/>
  <c r="O731" i="14"/>
  <c r="O730" i="14"/>
  <c r="O729" i="14"/>
  <c r="O728" i="14"/>
  <c r="O727" i="14"/>
  <c r="O726" i="14"/>
  <c r="O725" i="14"/>
  <c r="O724" i="14"/>
  <c r="O723" i="14"/>
  <c r="O722" i="14"/>
  <c r="O721" i="14"/>
  <c r="O720" i="14"/>
  <c r="O719" i="14"/>
  <c r="O718" i="14"/>
  <c r="O717" i="14"/>
  <c r="O716" i="14"/>
  <c r="O715" i="14"/>
  <c r="O714" i="14"/>
  <c r="O713" i="14"/>
  <c r="O712" i="14"/>
  <c r="O711" i="14"/>
  <c r="O710" i="14"/>
  <c r="O709" i="14"/>
  <c r="O705" i="14"/>
  <c r="O704" i="14"/>
  <c r="O703" i="14"/>
  <c r="O702" i="14"/>
  <c r="O701" i="14"/>
  <c r="O700" i="14"/>
  <c r="O699" i="14"/>
  <c r="O698" i="14"/>
  <c r="O696" i="14"/>
  <c r="O695" i="14"/>
  <c r="O694" i="14"/>
  <c r="O693" i="14"/>
  <c r="O692" i="14"/>
  <c r="O691" i="14"/>
  <c r="O690" i="14"/>
  <c r="O689" i="14"/>
  <c r="O688" i="14"/>
  <c r="O687" i="14"/>
  <c r="O686" i="14"/>
  <c r="O685" i="14"/>
  <c r="O684" i="14"/>
  <c r="O683" i="14"/>
  <c r="O682" i="14"/>
  <c r="O681" i="14"/>
  <c r="O680" i="14"/>
  <c r="O679" i="14"/>
  <c r="O678" i="14"/>
  <c r="O677" i="14"/>
  <c r="O676" i="14"/>
  <c r="O675" i="14"/>
  <c r="O674" i="14"/>
  <c r="O673" i="14"/>
  <c r="O672" i="14"/>
  <c r="O671" i="14"/>
  <c r="O670" i="14"/>
  <c r="O669" i="14"/>
  <c r="O668" i="14"/>
  <c r="O667" i="14"/>
  <c r="O666" i="14"/>
  <c r="O665" i="14"/>
  <c r="O664" i="14"/>
  <c r="O663" i="14"/>
  <c r="O662" i="14"/>
  <c r="O661" i="14"/>
  <c r="O660" i="14"/>
  <c r="O659" i="14"/>
  <c r="O658" i="14"/>
  <c r="O657" i="14"/>
  <c r="O656" i="14"/>
  <c r="O655" i="14"/>
  <c r="O654" i="14"/>
  <c r="O653" i="14"/>
  <c r="O652" i="14"/>
  <c r="O651" i="14"/>
  <c r="O650" i="14"/>
  <c r="O649" i="14"/>
  <c r="O648" i="14"/>
  <c r="O647" i="14"/>
  <c r="O646" i="14"/>
  <c r="O645" i="14"/>
  <c r="O644" i="14"/>
  <c r="O643" i="14"/>
  <c r="O642" i="14"/>
  <c r="O641" i="14"/>
  <c r="O640" i="14"/>
  <c r="O639" i="14"/>
  <c r="O638" i="14"/>
  <c r="O637" i="14"/>
  <c r="O636" i="14"/>
  <c r="O635" i="14"/>
  <c r="O634" i="14"/>
  <c r="O633" i="14"/>
  <c r="O632" i="14"/>
  <c r="O631" i="14"/>
  <c r="O630" i="14"/>
  <c r="O629" i="14"/>
  <c r="O628" i="14"/>
  <c r="O627" i="14"/>
  <c r="O622" i="14"/>
  <c r="O621" i="14"/>
  <c r="O620" i="14"/>
  <c r="O619" i="14"/>
  <c r="O618" i="14"/>
  <c r="O617" i="14"/>
  <c r="O616" i="14"/>
  <c r="O615" i="14"/>
  <c r="O614" i="14"/>
  <c r="O612" i="14"/>
  <c r="O611" i="14"/>
  <c r="O610" i="14"/>
  <c r="O609" i="14"/>
  <c r="O608" i="14"/>
  <c r="O607" i="14"/>
  <c r="O606" i="14"/>
  <c r="O605" i="14"/>
  <c r="O604" i="14"/>
  <c r="O603" i="14"/>
  <c r="O602" i="14"/>
  <c r="O601" i="14"/>
  <c r="O600" i="14"/>
  <c r="O599" i="14"/>
  <c r="N624" i="14"/>
  <c r="R624" i="14" s="1"/>
  <c r="N707" i="14"/>
  <c r="N815" i="14"/>
  <c r="N814" i="14" s="1"/>
  <c r="N858" i="14"/>
  <c r="N857" i="14" s="1"/>
  <c r="N881" i="14"/>
  <c r="N1210" i="14"/>
  <c r="N1209" i="14" s="1"/>
  <c r="R1209" i="14" s="1"/>
  <c r="K1310" i="14"/>
  <c r="S1310" i="14" s="1"/>
  <c r="K1309" i="14"/>
  <c r="S1309" i="14" s="1"/>
  <c r="K1308" i="14"/>
  <c r="S1308" i="14" s="1"/>
  <c r="K1307" i="14"/>
  <c r="S1307" i="14" s="1"/>
  <c r="K1306" i="14"/>
  <c r="K1305" i="14"/>
  <c r="S1305" i="14" s="1"/>
  <c r="K1304" i="14"/>
  <c r="K1302" i="14"/>
  <c r="K1301" i="14"/>
  <c r="K1299" i="14"/>
  <c r="S1299" i="14" s="1"/>
  <c r="K1298" i="14"/>
  <c r="K1297" i="14"/>
  <c r="K1296" i="14"/>
  <c r="K1295" i="14"/>
  <c r="S1295" i="14" s="1"/>
  <c r="K1293" i="14"/>
  <c r="K1292" i="14"/>
  <c r="K1290" i="14"/>
  <c r="K1288" i="14"/>
  <c r="K1286" i="14"/>
  <c r="K1285" i="14"/>
  <c r="K1282" i="14"/>
  <c r="K1281" i="14"/>
  <c r="S1281" i="14" s="1"/>
  <c r="K1280" i="14"/>
  <c r="K1279" i="14"/>
  <c r="K1278" i="14"/>
  <c r="K1277" i="14"/>
  <c r="S1277" i="14" s="1"/>
  <c r="K1275" i="14"/>
  <c r="K1274" i="14"/>
  <c r="K1273" i="14"/>
  <c r="K1272" i="14"/>
  <c r="K1271" i="14"/>
  <c r="S1271" i="14" s="1"/>
  <c r="K1270" i="14"/>
  <c r="K1268" i="14"/>
  <c r="K1267" i="14"/>
  <c r="S1267" i="14" s="1"/>
  <c r="K1265" i="14"/>
  <c r="K1264" i="14"/>
  <c r="K1263" i="14"/>
  <c r="S1263" i="14" s="1"/>
  <c r="K1262" i="14"/>
  <c r="K1261" i="14"/>
  <c r="K1260" i="14"/>
  <c r="K1258" i="14"/>
  <c r="K1257" i="14"/>
  <c r="S1257" i="14" s="1"/>
  <c r="K1256" i="14"/>
  <c r="K1255" i="14"/>
  <c r="K1254" i="14"/>
  <c r="K1253" i="14"/>
  <c r="S1253" i="14" s="1"/>
  <c r="K1252" i="14"/>
  <c r="K1250" i="14"/>
  <c r="K1249" i="14"/>
  <c r="K1247" i="14"/>
  <c r="S1247" i="14" s="1"/>
  <c r="K1246" i="14"/>
  <c r="K1245" i="14"/>
  <c r="K1244" i="14"/>
  <c r="K1243" i="14"/>
  <c r="S1243" i="14" s="1"/>
  <c r="K1242" i="14"/>
  <c r="K1238" i="14"/>
  <c r="K1237" i="14"/>
  <c r="K1236" i="14"/>
  <c r="K1235" i="14"/>
  <c r="S1235" i="14" s="1"/>
  <c r="K1234" i="14"/>
  <c r="K1233" i="14"/>
  <c r="K1228" i="14"/>
  <c r="K1227" i="14"/>
  <c r="K1226" i="14"/>
  <c r="K1225" i="14"/>
  <c r="K1224" i="14"/>
  <c r="K1220" i="14"/>
  <c r="S1220" i="14" s="1"/>
  <c r="K1219" i="14"/>
  <c r="S1219" i="14" s="1"/>
  <c r="K1218" i="14"/>
  <c r="S1218" i="14" s="1"/>
  <c r="K1217" i="14"/>
  <c r="S1217" i="14" s="1"/>
  <c r="K1216" i="14"/>
  <c r="S1216" i="14" s="1"/>
  <c r="K1211" i="14"/>
  <c r="K1210" i="14"/>
  <c r="K1209" i="14"/>
  <c r="K1208" i="14"/>
  <c r="K1207" i="14"/>
  <c r="K1206" i="14"/>
  <c r="K1205" i="14"/>
  <c r="S1205" i="14" s="1"/>
  <c r="K1201" i="14"/>
  <c r="K1200" i="14"/>
  <c r="K1199" i="14"/>
  <c r="K1198" i="14"/>
  <c r="K1193" i="14"/>
  <c r="S1193" i="14" s="1"/>
  <c r="K1191" i="14"/>
  <c r="K1188" i="14"/>
  <c r="S1188" i="14" s="1"/>
  <c r="K1187" i="14"/>
  <c r="K1186" i="14"/>
  <c r="K1185" i="14"/>
  <c r="K1184" i="14"/>
  <c r="S1184" i="14" s="1"/>
  <c r="K1182" i="14"/>
  <c r="S1182" i="14" s="1"/>
  <c r="K1181" i="14"/>
  <c r="K1180" i="14"/>
  <c r="K1179" i="14"/>
  <c r="S1179" i="14" s="1"/>
  <c r="K1178" i="14"/>
  <c r="S1178" i="14" s="1"/>
  <c r="K1177" i="14"/>
  <c r="S1177" i="14" s="1"/>
  <c r="K1176" i="14"/>
  <c r="S1176" i="14" s="1"/>
  <c r="K1171" i="14"/>
  <c r="K1170" i="14"/>
  <c r="S1170" i="14" s="1"/>
  <c r="K1169" i="14"/>
  <c r="S1169" i="14" s="1"/>
  <c r="K1168" i="14"/>
  <c r="K1167" i="14"/>
  <c r="S1167" i="14" s="1"/>
  <c r="K1165" i="14"/>
  <c r="K1164" i="14"/>
  <c r="K1163" i="14"/>
  <c r="K1162" i="14"/>
  <c r="K1161" i="14"/>
  <c r="K1160" i="14"/>
  <c r="S1160" i="14" s="1"/>
  <c r="K1159" i="14"/>
  <c r="K1157" i="14"/>
  <c r="K1156" i="14"/>
  <c r="S1156" i="14" s="1"/>
  <c r="K1154" i="14"/>
  <c r="K1153" i="14"/>
  <c r="K1152" i="14"/>
  <c r="S1152" i="14" s="1"/>
  <c r="K1151" i="14"/>
  <c r="K1149" i="14"/>
  <c r="K1148" i="14"/>
  <c r="S1148" i="14" s="1"/>
  <c r="K1146" i="14"/>
  <c r="K1145" i="14"/>
  <c r="K1144" i="14"/>
  <c r="S1144" i="14" s="1"/>
  <c r="K1142" i="14"/>
  <c r="K1141" i="14"/>
  <c r="K1139" i="14"/>
  <c r="K1138" i="14"/>
  <c r="K1137" i="14"/>
  <c r="K1135" i="14"/>
  <c r="K1134" i="14"/>
  <c r="S1134" i="14" s="1"/>
  <c r="K1132" i="14"/>
  <c r="K1131" i="14"/>
  <c r="K1130" i="14"/>
  <c r="K1129" i="14"/>
  <c r="K1128" i="14"/>
  <c r="K1127" i="14"/>
  <c r="K1125" i="14"/>
  <c r="K1124" i="14"/>
  <c r="S1124" i="14" s="1"/>
  <c r="K1123" i="14"/>
  <c r="K1121" i="14"/>
  <c r="K1120" i="14"/>
  <c r="S1120" i="14" s="1"/>
  <c r="K1118" i="14"/>
  <c r="S1118" i="14" s="1"/>
  <c r="K1117" i="14"/>
  <c r="K1116" i="14"/>
  <c r="S1116" i="14" s="1"/>
  <c r="K1115" i="14"/>
  <c r="K1113" i="14"/>
  <c r="K1112" i="14"/>
  <c r="S1112" i="14" s="1"/>
  <c r="K1110" i="14"/>
  <c r="K1109" i="14"/>
  <c r="K1108" i="14"/>
  <c r="S1108" i="14" s="1"/>
  <c r="K1106" i="14"/>
  <c r="K1105" i="14"/>
  <c r="K1103" i="14"/>
  <c r="S1103" i="14" s="1"/>
  <c r="K1102" i="14"/>
  <c r="S1102" i="14" s="1"/>
  <c r="K1101" i="14"/>
  <c r="S1101" i="14" s="1"/>
  <c r="K1099" i="14"/>
  <c r="K1098" i="14"/>
  <c r="K1096" i="14"/>
  <c r="S1096" i="14" s="1"/>
  <c r="K1095" i="14"/>
  <c r="K1094" i="14"/>
  <c r="K1093" i="14"/>
  <c r="K1091" i="14"/>
  <c r="K1090" i="14"/>
  <c r="K1088" i="14"/>
  <c r="K1087" i="14"/>
  <c r="K1086" i="14"/>
  <c r="S1086" i="14" s="1"/>
  <c r="K1084" i="14"/>
  <c r="K1083" i="14"/>
  <c r="K1081" i="14"/>
  <c r="K1080" i="14"/>
  <c r="S1080" i="14" s="1"/>
  <c r="K1079" i="14"/>
  <c r="K1077" i="14"/>
  <c r="K1076" i="14"/>
  <c r="S1076" i="14" s="1"/>
  <c r="K1074" i="14"/>
  <c r="S1074" i="14" s="1"/>
  <c r="K1073" i="14"/>
  <c r="S1073" i="14" s="1"/>
  <c r="K1072" i="14"/>
  <c r="S1072" i="14" s="1"/>
  <c r="K1070" i="14"/>
  <c r="K1069" i="14"/>
  <c r="K1067" i="14"/>
  <c r="K1066" i="14"/>
  <c r="K1065" i="14"/>
  <c r="K1063" i="14"/>
  <c r="K1062" i="14"/>
  <c r="K1060" i="14"/>
  <c r="K1059" i="14"/>
  <c r="S1059" i="14" s="1"/>
  <c r="K1058" i="14"/>
  <c r="S1058" i="14" s="1"/>
  <c r="K1057" i="14"/>
  <c r="S1057" i="14" s="1"/>
  <c r="K1055" i="14"/>
  <c r="K1054" i="14"/>
  <c r="K1043" i="14"/>
  <c r="S1043" i="14" s="1"/>
  <c r="K1042" i="14"/>
  <c r="K1041" i="14"/>
  <c r="K1040" i="14"/>
  <c r="K1039" i="14"/>
  <c r="S1039" i="14" s="1"/>
  <c r="K1038" i="14"/>
  <c r="K1037" i="14"/>
  <c r="K1032" i="14"/>
  <c r="K1031" i="14"/>
  <c r="S1031" i="14" s="1"/>
  <c r="K1030" i="14"/>
  <c r="K1029" i="14"/>
  <c r="K1027" i="14"/>
  <c r="K1026" i="14"/>
  <c r="K1024" i="14"/>
  <c r="S1024" i="14" s="1"/>
  <c r="K1023" i="14"/>
  <c r="S1023" i="14" s="1"/>
  <c r="K1022" i="14"/>
  <c r="S1022" i="14" s="1"/>
  <c r="K1021" i="14"/>
  <c r="S1021" i="14" s="1"/>
  <c r="K1019" i="14"/>
  <c r="K1018" i="14"/>
  <c r="K1016" i="14"/>
  <c r="K1015" i="14"/>
  <c r="S1015" i="14" s="1"/>
  <c r="K1014" i="14"/>
  <c r="K1013" i="14"/>
  <c r="K1008" i="14"/>
  <c r="K1007" i="14"/>
  <c r="S1007" i="14" s="1"/>
  <c r="K1006" i="14"/>
  <c r="K1005" i="14"/>
  <c r="K1000" i="14"/>
  <c r="K999" i="14"/>
  <c r="S999" i="14" s="1"/>
  <c r="K998" i="14"/>
  <c r="K997" i="14"/>
  <c r="K992" i="14"/>
  <c r="K991" i="14"/>
  <c r="S991" i="14" s="1"/>
  <c r="K990" i="14"/>
  <c r="K989" i="14"/>
  <c r="K988" i="14"/>
  <c r="K983" i="14"/>
  <c r="S983" i="14" s="1"/>
  <c r="K982" i="14"/>
  <c r="K981" i="14"/>
  <c r="K980" i="14"/>
  <c r="K975" i="14"/>
  <c r="S975" i="14" s="1"/>
  <c r="K974" i="14"/>
  <c r="K973" i="14"/>
  <c r="K972" i="14"/>
  <c r="K970" i="14"/>
  <c r="K969" i="14"/>
  <c r="K967" i="14"/>
  <c r="S967" i="14" s="1"/>
  <c r="K966" i="14"/>
  <c r="S966" i="14" s="1"/>
  <c r="K965" i="14"/>
  <c r="S965" i="14" s="1"/>
  <c r="K960" i="14"/>
  <c r="S960" i="14" s="1"/>
  <c r="K956" i="14"/>
  <c r="K955" i="14"/>
  <c r="S955" i="14" s="1"/>
  <c r="K953" i="14"/>
  <c r="S953" i="14" s="1"/>
  <c r="K952" i="14"/>
  <c r="S952" i="14" s="1"/>
  <c r="K939" i="14"/>
  <c r="S939" i="14" s="1"/>
  <c r="K937" i="14"/>
  <c r="K936" i="14"/>
  <c r="K935" i="14"/>
  <c r="K931" i="14"/>
  <c r="S931" i="14" s="1"/>
  <c r="K930" i="14"/>
  <c r="S930" i="14" s="1"/>
  <c r="K929" i="14"/>
  <c r="S929" i="14" s="1"/>
  <c r="K928" i="14"/>
  <c r="K927" i="14"/>
  <c r="S927" i="14" s="1"/>
  <c r="K922" i="14"/>
  <c r="S922" i="14" s="1"/>
  <c r="K921" i="14"/>
  <c r="S921" i="14" s="1"/>
  <c r="K920" i="14"/>
  <c r="S920" i="14" s="1"/>
  <c r="K919" i="14"/>
  <c r="S919" i="14" s="1"/>
  <c r="K918" i="14"/>
  <c r="S918" i="14" s="1"/>
  <c r="K917" i="14"/>
  <c r="S917" i="14" s="1"/>
  <c r="K916" i="14"/>
  <c r="S916" i="14" s="1"/>
  <c r="K912" i="14"/>
  <c r="K911" i="14"/>
  <c r="K910" i="14"/>
  <c r="K909" i="14"/>
  <c r="K908" i="14"/>
  <c r="K907" i="14"/>
  <c r="K906" i="14"/>
  <c r="K901" i="14"/>
  <c r="K900" i="14"/>
  <c r="K899" i="14"/>
  <c r="K898" i="14"/>
  <c r="K897" i="14"/>
  <c r="K896" i="14"/>
  <c r="K892" i="14"/>
  <c r="K891" i="14"/>
  <c r="S891" i="14" s="1"/>
  <c r="K890" i="14"/>
  <c r="K889" i="14"/>
  <c r="K888" i="14"/>
  <c r="K887" i="14"/>
  <c r="S887" i="14" s="1"/>
  <c r="K882" i="14"/>
  <c r="K881" i="14"/>
  <c r="K880" i="14"/>
  <c r="K879" i="14"/>
  <c r="K878" i="14"/>
  <c r="K877" i="14"/>
  <c r="K876" i="14"/>
  <c r="S876" i="14" s="1"/>
  <c r="K875" i="14"/>
  <c r="K874" i="14"/>
  <c r="K873" i="14"/>
  <c r="K869" i="14"/>
  <c r="K868" i="14"/>
  <c r="S868" i="14" s="1"/>
  <c r="K867" i="14"/>
  <c r="K866" i="14"/>
  <c r="K865" i="14"/>
  <c r="K864" i="14"/>
  <c r="S864" i="14" s="1"/>
  <c r="K859" i="14"/>
  <c r="K858" i="14"/>
  <c r="K857" i="14"/>
  <c r="K856" i="14"/>
  <c r="K855" i="14"/>
  <c r="K854" i="14"/>
  <c r="K853" i="14"/>
  <c r="S853" i="14" s="1"/>
  <c r="K852" i="14"/>
  <c r="K851" i="14"/>
  <c r="K847" i="14"/>
  <c r="K846" i="14"/>
  <c r="K845" i="14"/>
  <c r="K844" i="14"/>
  <c r="K843" i="14"/>
  <c r="K842" i="14"/>
  <c r="K837" i="14"/>
  <c r="K836" i="14"/>
  <c r="K835" i="14"/>
  <c r="K834" i="14"/>
  <c r="K833" i="14"/>
  <c r="K832" i="14"/>
  <c r="K831" i="14"/>
  <c r="K826" i="14"/>
  <c r="S826" i="14" s="1"/>
  <c r="K825" i="14"/>
  <c r="S825" i="14" s="1"/>
  <c r="K824" i="14"/>
  <c r="S824" i="14" s="1"/>
  <c r="K823" i="14"/>
  <c r="K822" i="14"/>
  <c r="S822" i="14" s="1"/>
  <c r="K821" i="14"/>
  <c r="S821" i="14" s="1"/>
  <c r="K816" i="14"/>
  <c r="K815" i="14"/>
  <c r="K814" i="14"/>
  <c r="K813" i="14"/>
  <c r="K811" i="14"/>
  <c r="K810" i="14"/>
  <c r="K809" i="14"/>
  <c r="K808" i="14"/>
  <c r="S808" i="14" s="1"/>
  <c r="K804" i="14"/>
  <c r="K803" i="14"/>
  <c r="K802" i="14"/>
  <c r="K801" i="14"/>
  <c r="K800" i="14"/>
  <c r="K799" i="14"/>
  <c r="K794" i="14"/>
  <c r="S794" i="14" s="1"/>
  <c r="K791" i="14"/>
  <c r="S791" i="14" s="1"/>
  <c r="K788" i="14"/>
  <c r="S788" i="14" s="1"/>
  <c r="K784" i="14"/>
  <c r="K783" i="14"/>
  <c r="S783" i="14" s="1"/>
  <c r="K782" i="14"/>
  <c r="K781" i="14"/>
  <c r="K780" i="14"/>
  <c r="K779" i="14"/>
  <c r="S779" i="14" s="1"/>
  <c r="K778" i="14"/>
  <c r="K773" i="14"/>
  <c r="K772" i="14"/>
  <c r="K771" i="14"/>
  <c r="S771" i="14" s="1"/>
  <c r="K770" i="14"/>
  <c r="K764" i="14"/>
  <c r="S764" i="14" s="1"/>
  <c r="K760" i="14"/>
  <c r="K759" i="14"/>
  <c r="K758" i="14"/>
  <c r="S758" i="14" s="1"/>
  <c r="K757" i="14"/>
  <c r="K756" i="14"/>
  <c r="K755" i="14"/>
  <c r="K750" i="14"/>
  <c r="S750" i="14" s="1"/>
  <c r="K749" i="14"/>
  <c r="K748" i="14"/>
  <c r="K747" i="14"/>
  <c r="K746" i="14"/>
  <c r="S746" i="14" s="1"/>
  <c r="K745" i="14"/>
  <c r="K740" i="14"/>
  <c r="K739" i="14"/>
  <c r="K738" i="14"/>
  <c r="S738" i="14" s="1"/>
  <c r="K737" i="14"/>
  <c r="K732" i="14"/>
  <c r="K731" i="14"/>
  <c r="K730" i="14"/>
  <c r="S730" i="14" s="1"/>
  <c r="K729" i="14"/>
  <c r="K724" i="14"/>
  <c r="K723" i="14"/>
  <c r="K722" i="14"/>
  <c r="S722" i="14" s="1"/>
  <c r="K721" i="14"/>
  <c r="K716" i="14"/>
  <c r="K715" i="14"/>
  <c r="K714" i="14"/>
  <c r="S714" i="14" s="1"/>
  <c r="K713" i="14"/>
  <c r="K708" i="14"/>
  <c r="K707" i="14"/>
  <c r="K706" i="14"/>
  <c r="K705" i="14"/>
  <c r="K704" i="14"/>
  <c r="K703" i="14"/>
  <c r="K702" i="14"/>
  <c r="K701" i="14"/>
  <c r="K696" i="14"/>
  <c r="K695" i="14"/>
  <c r="K694" i="14"/>
  <c r="S694" i="14" s="1"/>
  <c r="K693" i="14"/>
  <c r="K692" i="14"/>
  <c r="K687" i="14"/>
  <c r="K686" i="14"/>
  <c r="S686" i="14" s="1"/>
  <c r="K685" i="14"/>
  <c r="K684" i="14"/>
  <c r="K683" i="14"/>
  <c r="K678" i="14"/>
  <c r="S678" i="14" s="1"/>
  <c r="K677" i="14"/>
  <c r="K676" i="14"/>
  <c r="K675" i="14"/>
  <c r="K674" i="14"/>
  <c r="S674" i="14" s="1"/>
  <c r="K669" i="14"/>
  <c r="K668" i="14"/>
  <c r="K667" i="14"/>
  <c r="K666" i="14"/>
  <c r="S666" i="14" s="1"/>
  <c r="K665" i="14"/>
  <c r="K660" i="14"/>
  <c r="K659" i="14"/>
  <c r="K658" i="14"/>
  <c r="S658" i="14" s="1"/>
  <c r="K657" i="14"/>
  <c r="K652" i="14"/>
  <c r="K650" i="14"/>
  <c r="K649" i="14"/>
  <c r="K644" i="14"/>
  <c r="K643" i="14"/>
  <c r="K642" i="14"/>
  <c r="K641" i="14"/>
  <c r="K640" i="14"/>
  <c r="K635" i="14"/>
  <c r="K634" i="14"/>
  <c r="K633" i="14"/>
  <c r="K632" i="14"/>
  <c r="K631" i="14"/>
  <c r="K625" i="14"/>
  <c r="K624" i="14"/>
  <c r="K623" i="14"/>
  <c r="K622" i="14"/>
  <c r="K621" i="14"/>
  <c r="S621" i="14" s="1"/>
  <c r="K620" i="14"/>
  <c r="S620" i="14" s="1"/>
  <c r="K619" i="14"/>
  <c r="S619" i="14" s="1"/>
  <c r="K618" i="14"/>
  <c r="S618" i="14" s="1"/>
  <c r="K617" i="14"/>
  <c r="S617" i="14" s="1"/>
  <c r="K603" i="14"/>
  <c r="S603" i="14" s="1"/>
  <c r="J807" i="14"/>
  <c r="R807" i="14" s="1"/>
  <c r="J599" i="14"/>
  <c r="R599" i="14" s="1"/>
  <c r="J602" i="14"/>
  <c r="R602" i="14" s="1"/>
  <c r="J604" i="14"/>
  <c r="R604" i="14" s="1"/>
  <c r="J616" i="14"/>
  <c r="R616" i="14" s="1"/>
  <c r="J630" i="14"/>
  <c r="R630" i="14" s="1"/>
  <c r="J639" i="14"/>
  <c r="J648" i="14"/>
  <c r="R648" i="14" s="1"/>
  <c r="J656" i="14"/>
  <c r="R656" i="14" s="1"/>
  <c r="J664" i="14"/>
  <c r="R664" i="14" s="1"/>
  <c r="J673" i="14"/>
  <c r="R673" i="14" s="1"/>
  <c r="J682" i="14"/>
  <c r="R682" i="14" s="1"/>
  <c r="J691" i="14"/>
  <c r="R691" i="14" s="1"/>
  <c r="J700" i="14"/>
  <c r="R700" i="14" s="1"/>
  <c r="J712" i="14"/>
  <c r="R712" i="14" s="1"/>
  <c r="J720" i="14"/>
  <c r="R720" i="14" s="1"/>
  <c r="J728" i="14"/>
  <c r="R728" i="14" s="1"/>
  <c r="J736" i="14"/>
  <c r="R736" i="14" s="1"/>
  <c r="J744" i="14"/>
  <c r="J754" i="14"/>
  <c r="R754" i="14" s="1"/>
  <c r="J762" i="14"/>
  <c r="R762" i="14" s="1"/>
  <c r="J769" i="14"/>
  <c r="R769" i="14" s="1"/>
  <c r="J777" i="14"/>
  <c r="R777" i="14" s="1"/>
  <c r="J787" i="14"/>
  <c r="R787" i="14" s="1"/>
  <c r="J798" i="14"/>
  <c r="R798" i="14" s="1"/>
  <c r="J820" i="14"/>
  <c r="J830" i="14"/>
  <c r="R830" i="14" s="1"/>
  <c r="J841" i="14"/>
  <c r="J850" i="14"/>
  <c r="R850" i="14" s="1"/>
  <c r="J863" i="14"/>
  <c r="R863" i="14" s="1"/>
  <c r="J872" i="14"/>
  <c r="R872" i="14" s="1"/>
  <c r="J886" i="14"/>
  <c r="R886" i="14" s="1"/>
  <c r="J895" i="14"/>
  <c r="R895" i="14" s="1"/>
  <c r="J905" i="14"/>
  <c r="R905" i="14" s="1"/>
  <c r="J915" i="14"/>
  <c r="R915" i="14" s="1"/>
  <c r="J926" i="14"/>
  <c r="J934" i="14"/>
  <c r="R934" i="14" s="1"/>
  <c r="J942" i="14"/>
  <c r="J954" i="14"/>
  <c r="J951" i="14" s="1"/>
  <c r="R951" i="14" s="1"/>
  <c r="J964" i="14"/>
  <c r="R964" i="14" s="1"/>
  <c r="J971" i="14"/>
  <c r="J979" i="14"/>
  <c r="R979" i="14" s="1"/>
  <c r="J987" i="14"/>
  <c r="R987" i="14" s="1"/>
  <c r="J996" i="14"/>
  <c r="J993" i="14" s="1"/>
  <c r="J1004" i="14"/>
  <c r="R1004" i="14" s="1"/>
  <c r="J1012" i="14"/>
  <c r="R1012" i="14" s="1"/>
  <c r="J1020" i="14"/>
  <c r="J1028" i="14"/>
  <c r="R1028" i="14" s="1"/>
  <c r="J1036" i="14"/>
  <c r="R1036" i="14" s="1"/>
  <c r="J1046" i="14"/>
  <c r="J1056" i="14"/>
  <c r="R1056" i="14" s="1"/>
  <c r="J1064" i="14"/>
  <c r="R1064" i="14" s="1"/>
  <c r="J1071" i="14"/>
  <c r="J1078" i="14"/>
  <c r="J1085" i="14"/>
  <c r="R1085" i="14" s="1"/>
  <c r="J1092" i="14"/>
  <c r="R1092" i="14" s="1"/>
  <c r="J1100" i="14"/>
  <c r="R1100" i="14" s="1"/>
  <c r="J1107" i="14"/>
  <c r="R1107" i="14" s="1"/>
  <c r="J1114" i="14"/>
  <c r="R1114" i="14" s="1"/>
  <c r="J1122" i="14"/>
  <c r="R1122" i="14" s="1"/>
  <c r="J1126" i="14"/>
  <c r="R1126" i="14" s="1"/>
  <c r="J1136" i="14"/>
  <c r="J1143" i="14"/>
  <c r="J1140" i="14" s="1"/>
  <c r="R1140" i="14" s="1"/>
  <c r="J1150" i="14"/>
  <c r="J1158" i="14"/>
  <c r="J1166" i="14"/>
  <c r="R1166" i="14" s="1"/>
  <c r="J1175" i="14"/>
  <c r="R1175" i="14" s="1"/>
  <c r="J1183" i="14"/>
  <c r="J1190" i="14"/>
  <c r="J1192" i="14"/>
  <c r="R1192" i="14" s="1"/>
  <c r="J1197" i="14"/>
  <c r="R1197" i="14" s="1"/>
  <c r="J1204" i="14"/>
  <c r="R1204" i="14" s="1"/>
  <c r="J1215" i="14"/>
  <c r="R1215" i="14" s="1"/>
  <c r="J1223" i="14"/>
  <c r="R1223" i="14" s="1"/>
  <c r="J1232" i="14"/>
  <c r="R1232" i="14" s="1"/>
  <c r="J1241" i="14"/>
  <c r="R1241" i="14" s="1"/>
  <c r="J1251" i="14"/>
  <c r="R1251" i="14" s="1"/>
  <c r="J1259" i="14"/>
  <c r="R1259" i="14" s="1"/>
  <c r="J1269" i="14"/>
  <c r="R1269" i="14" s="1"/>
  <c r="J1276" i="14"/>
  <c r="J1266" i="14" s="1"/>
  <c r="R1266" i="14" s="1"/>
  <c r="J1287" i="14"/>
  <c r="J1284" i="14" s="1"/>
  <c r="R1284" i="14" s="1"/>
  <c r="J1289" i="14"/>
  <c r="R1289" i="14" s="1"/>
  <c r="J1294" i="14"/>
  <c r="J1303" i="14"/>
  <c r="O539" i="14"/>
  <c r="S539" i="14" s="1"/>
  <c r="O538" i="14"/>
  <c r="S538" i="14" s="1"/>
  <c r="O537" i="14"/>
  <c r="S537" i="14" s="1"/>
  <c r="O536" i="14"/>
  <c r="S536" i="14" s="1"/>
  <c r="O535" i="14"/>
  <c r="S535" i="14" s="1"/>
  <c r="O534" i="14"/>
  <c r="S534" i="14" s="1"/>
  <c r="O533" i="14"/>
  <c r="S533" i="14" s="1"/>
  <c r="O532" i="14"/>
  <c r="S532" i="14" s="1"/>
  <c r="O531" i="14"/>
  <c r="S531" i="14" s="1"/>
  <c r="O530" i="14"/>
  <c r="S530" i="14" s="1"/>
  <c r="O529" i="14"/>
  <c r="S529" i="14" s="1"/>
  <c r="O528" i="14"/>
  <c r="S528" i="14" s="1"/>
  <c r="O527" i="14"/>
  <c r="S527" i="14" s="1"/>
  <c r="O526" i="14"/>
  <c r="S526" i="14" s="1"/>
  <c r="O525" i="14"/>
  <c r="S525" i="14" s="1"/>
  <c r="O524" i="14"/>
  <c r="S524" i="14" s="1"/>
  <c r="O523" i="14"/>
  <c r="S523" i="14" s="1"/>
  <c r="O522" i="14"/>
  <c r="S522" i="14" s="1"/>
  <c r="O521" i="14"/>
  <c r="S521" i="14" s="1"/>
  <c r="O520" i="14"/>
  <c r="S520" i="14" s="1"/>
  <c r="O519" i="14"/>
  <c r="S519" i="14" s="1"/>
  <c r="O518" i="14"/>
  <c r="S518" i="14" s="1"/>
  <c r="O517" i="14"/>
  <c r="S517" i="14" s="1"/>
  <c r="O516" i="14"/>
  <c r="S516" i="14" s="1"/>
  <c r="O515" i="14"/>
  <c r="S515" i="14" s="1"/>
  <c r="O513" i="14"/>
  <c r="S513" i="14" s="1"/>
  <c r="O511" i="14"/>
  <c r="S511" i="14" s="1"/>
  <c r="O510" i="14"/>
  <c r="S510" i="14" s="1"/>
  <c r="O509" i="14"/>
  <c r="S509" i="14" s="1"/>
  <c r="O508" i="14"/>
  <c r="S508" i="14" s="1"/>
  <c r="O507" i="14"/>
  <c r="S507" i="14" s="1"/>
  <c r="O504" i="14"/>
  <c r="S504" i="14" s="1"/>
  <c r="O503" i="14"/>
  <c r="S503" i="14" s="1"/>
  <c r="O502" i="14"/>
  <c r="S502" i="14" s="1"/>
  <c r="O501" i="14"/>
  <c r="S501" i="14" s="1"/>
  <c r="O500" i="14"/>
  <c r="S500" i="14" s="1"/>
  <c r="O498" i="14"/>
  <c r="S498" i="14" s="1"/>
  <c r="O497" i="14"/>
  <c r="S497" i="14" s="1"/>
  <c r="O496" i="14"/>
  <c r="S496" i="14" s="1"/>
  <c r="O495" i="14"/>
  <c r="S495" i="14" s="1"/>
  <c r="O494" i="14"/>
  <c r="S494" i="14" s="1"/>
  <c r="O492" i="14"/>
  <c r="S492" i="14" s="1"/>
  <c r="O491" i="14"/>
  <c r="S491" i="14" s="1"/>
  <c r="O490" i="14"/>
  <c r="S490" i="14" s="1"/>
  <c r="O489" i="14"/>
  <c r="S489" i="14" s="1"/>
  <c r="O488" i="14"/>
  <c r="S488" i="14" s="1"/>
  <c r="O487" i="14"/>
  <c r="S487" i="14" s="1"/>
  <c r="O486" i="14"/>
  <c r="S486" i="14" s="1"/>
  <c r="O485" i="14"/>
  <c r="S485" i="14" s="1"/>
  <c r="O484" i="14"/>
  <c r="S484" i="14" s="1"/>
  <c r="O483" i="14"/>
  <c r="S483" i="14" s="1"/>
  <c r="O482" i="14"/>
  <c r="S482" i="14" s="1"/>
  <c r="O481" i="14"/>
  <c r="S481" i="14" s="1"/>
  <c r="O479" i="14"/>
  <c r="S479" i="14" s="1"/>
  <c r="O478" i="14"/>
  <c r="S478" i="14" s="1"/>
  <c r="O477" i="14"/>
  <c r="S477" i="14" s="1"/>
  <c r="O476" i="14"/>
  <c r="S476" i="14" s="1"/>
  <c r="O474" i="14"/>
  <c r="S474" i="14" s="1"/>
  <c r="O473" i="14"/>
  <c r="S473" i="14" s="1"/>
  <c r="O472" i="14"/>
  <c r="S472" i="14" s="1"/>
  <c r="O471" i="14"/>
  <c r="S471" i="14" s="1"/>
  <c r="O470" i="14"/>
  <c r="S470" i="14" s="1"/>
  <c r="O469" i="14"/>
  <c r="S469" i="14" s="1"/>
  <c r="O468" i="14"/>
  <c r="S468" i="14" s="1"/>
  <c r="O464" i="14"/>
  <c r="O461" i="14"/>
  <c r="O460" i="14"/>
  <c r="O459" i="14"/>
  <c r="O458" i="14"/>
  <c r="O457" i="14"/>
  <c r="O456" i="14"/>
  <c r="O454" i="14"/>
  <c r="O453" i="14"/>
  <c r="O452" i="14"/>
  <c r="O451" i="14"/>
  <c r="O450" i="14"/>
  <c r="O449" i="14"/>
  <c r="O448" i="14"/>
  <c r="O447" i="14"/>
  <c r="O446" i="14"/>
  <c r="O445" i="14"/>
  <c r="O444" i="14"/>
  <c r="O443" i="14"/>
  <c r="O442" i="14"/>
  <c r="O441" i="14"/>
  <c r="O440" i="14"/>
  <c r="O439" i="14"/>
  <c r="O438" i="14"/>
  <c r="O436" i="14"/>
  <c r="O435" i="14"/>
  <c r="O434" i="14"/>
  <c r="N463" i="14"/>
  <c r="N467" i="14"/>
  <c r="R467" i="14" s="1"/>
  <c r="N480" i="14"/>
  <c r="R480" i="14" s="1"/>
  <c r="K464" i="14"/>
  <c r="K463" i="14"/>
  <c r="K462" i="14"/>
  <c r="K461" i="14"/>
  <c r="K460" i="14"/>
  <c r="S460" i="14" s="1"/>
  <c r="K458" i="14"/>
  <c r="K457" i="14"/>
  <c r="K454" i="14"/>
  <c r="K451" i="14"/>
  <c r="S451" i="14" s="1"/>
  <c r="K450" i="14"/>
  <c r="S450" i="14" s="1"/>
  <c r="K448" i="14"/>
  <c r="K447" i="14"/>
  <c r="K445" i="14"/>
  <c r="K444" i="14"/>
  <c r="S444" i="14" s="1"/>
  <c r="K443" i="14"/>
  <c r="K442" i="14"/>
  <c r="K441" i="14"/>
  <c r="K436" i="14"/>
  <c r="J435" i="14"/>
  <c r="J439" i="14"/>
  <c r="R439" i="14" s="1"/>
  <c r="J449" i="14"/>
  <c r="J456" i="14"/>
  <c r="J455" i="14" s="1"/>
  <c r="O385" i="14"/>
  <c r="O384" i="14"/>
  <c r="O383" i="14"/>
  <c r="O382" i="14"/>
  <c r="O381" i="14"/>
  <c r="O380" i="14"/>
  <c r="O379" i="14"/>
  <c r="O378" i="14"/>
  <c r="O377" i="14"/>
  <c r="O376" i="14"/>
  <c r="O375" i="14"/>
  <c r="O374" i="14"/>
  <c r="O373" i="14"/>
  <c r="O370" i="14"/>
  <c r="O369" i="14"/>
  <c r="O367" i="14"/>
  <c r="O364" i="14"/>
  <c r="O363" i="14"/>
  <c r="O362" i="14"/>
  <c r="O361" i="14"/>
  <c r="O360" i="14"/>
  <c r="O359" i="14"/>
  <c r="O358" i="14"/>
  <c r="O357" i="14"/>
  <c r="O356" i="14"/>
  <c r="O355" i="14"/>
  <c r="O353" i="14"/>
  <c r="O350" i="14"/>
  <c r="O349" i="14"/>
  <c r="O347" i="14"/>
  <c r="O345" i="14"/>
  <c r="O342" i="14"/>
  <c r="O341" i="14"/>
  <c r="O340" i="14"/>
  <c r="O339" i="14"/>
  <c r="O338" i="14"/>
  <c r="O337" i="14"/>
  <c r="O336" i="14"/>
  <c r="O335" i="14"/>
  <c r="O334" i="14"/>
  <c r="O333" i="14"/>
  <c r="O332" i="14"/>
  <c r="O331" i="14"/>
  <c r="O330" i="14"/>
  <c r="N344" i="14"/>
  <c r="N346" i="14"/>
  <c r="R346" i="14" s="1"/>
  <c r="N352" i="14"/>
  <c r="N351" i="14" s="1"/>
  <c r="R351" i="14" s="1"/>
  <c r="N366" i="14"/>
  <c r="R366" i="14" s="1"/>
  <c r="N372" i="14"/>
  <c r="N371" i="14" s="1"/>
  <c r="R371" i="14" s="1"/>
  <c r="K385" i="14"/>
  <c r="K384" i="14"/>
  <c r="K383" i="14"/>
  <c r="K380" i="14"/>
  <c r="K379" i="14"/>
  <c r="K376" i="14"/>
  <c r="K373" i="14"/>
  <c r="K372" i="14"/>
  <c r="K371" i="14"/>
  <c r="K370" i="14"/>
  <c r="K367" i="14"/>
  <c r="K366" i="14"/>
  <c r="K365" i="14"/>
  <c r="K364" i="14"/>
  <c r="K363" i="14"/>
  <c r="S363" i="14" s="1"/>
  <c r="K362" i="14"/>
  <c r="K361" i="14"/>
  <c r="K360" i="14"/>
  <c r="K359" i="14"/>
  <c r="S359" i="14" s="1"/>
  <c r="K358" i="14"/>
  <c r="K356" i="14"/>
  <c r="K355" i="14"/>
  <c r="K353" i="14"/>
  <c r="K352" i="14"/>
  <c r="K351" i="14"/>
  <c r="K350" i="14"/>
  <c r="K347" i="14"/>
  <c r="S347" i="14" s="1"/>
  <c r="K346" i="14"/>
  <c r="K345" i="14"/>
  <c r="K344" i="14"/>
  <c r="K343" i="14"/>
  <c r="K342" i="14"/>
  <c r="K341" i="14"/>
  <c r="K339" i="14"/>
  <c r="S339" i="14" s="1"/>
  <c r="K336" i="14"/>
  <c r="S336" i="14" s="1"/>
  <c r="K334" i="14"/>
  <c r="K333" i="14"/>
  <c r="K331" i="14"/>
  <c r="K330" i="14"/>
  <c r="J332" i="14"/>
  <c r="R332" i="14" s="1"/>
  <c r="J340" i="14"/>
  <c r="R340" i="14" s="1"/>
  <c r="J349" i="14"/>
  <c r="R349" i="14" s="1"/>
  <c r="J357" i="14"/>
  <c r="J369" i="14"/>
  <c r="J375" i="14"/>
  <c r="J378" i="14"/>
  <c r="R378" i="14" s="1"/>
  <c r="J382" i="14"/>
  <c r="J381" i="14" s="1"/>
  <c r="O287" i="14"/>
  <c r="O286" i="14"/>
  <c r="O285" i="14"/>
  <c r="O284" i="14"/>
  <c r="O283" i="14"/>
  <c r="O282" i="14"/>
  <c r="O281" i="14"/>
  <c r="O280" i="14"/>
  <c r="O279" i="14"/>
  <c r="O278" i="14"/>
  <c r="O276" i="14"/>
  <c r="O273" i="14"/>
  <c r="O272" i="14"/>
  <c r="O271" i="14"/>
  <c r="O270" i="14"/>
  <c r="O269" i="14"/>
  <c r="O268" i="14"/>
  <c r="O267" i="14"/>
  <c r="O265" i="14"/>
  <c r="O264" i="14"/>
  <c r="O263" i="14"/>
  <c r="O262" i="14"/>
  <c r="O261" i="14"/>
  <c r="O260" i="14"/>
  <c r="O259" i="14"/>
  <c r="O258" i="14"/>
  <c r="O257" i="14"/>
  <c r="O256" i="14"/>
  <c r="O254" i="14"/>
  <c r="O253" i="14"/>
  <c r="O252" i="14"/>
  <c r="O251" i="14"/>
  <c r="O250" i="14"/>
  <c r="O249" i="14"/>
  <c r="O248" i="14"/>
  <c r="O247" i="14"/>
  <c r="O246" i="14"/>
  <c r="O245" i="14"/>
  <c r="O244" i="14"/>
  <c r="O243" i="14"/>
  <c r="O242" i="14"/>
  <c r="O241" i="14"/>
  <c r="O240" i="14"/>
  <c r="O239" i="14"/>
  <c r="O238" i="14"/>
  <c r="O237" i="14"/>
  <c r="O236" i="14"/>
  <c r="O235" i="14"/>
  <c r="O234" i="14"/>
  <c r="O233" i="14"/>
  <c r="O232" i="14"/>
  <c r="O231" i="14"/>
  <c r="O230" i="14"/>
  <c r="O229" i="14"/>
  <c r="O228" i="14"/>
  <c r="O227" i="14"/>
  <c r="O226" i="14"/>
  <c r="O225" i="14"/>
  <c r="O224" i="14"/>
  <c r="O223" i="14"/>
  <c r="O222" i="14"/>
  <c r="O221" i="14"/>
  <c r="N255" i="14"/>
  <c r="N275" i="14"/>
  <c r="R275" i="14" s="1"/>
  <c r="N277" i="14"/>
  <c r="K287" i="14"/>
  <c r="K286" i="14"/>
  <c r="K285" i="14"/>
  <c r="K284" i="14"/>
  <c r="K280" i="14"/>
  <c r="K279" i="14"/>
  <c r="K278" i="14"/>
  <c r="S278" i="14" s="1"/>
  <c r="K277" i="14"/>
  <c r="K276" i="14"/>
  <c r="K275" i="14"/>
  <c r="K274" i="14"/>
  <c r="K273" i="14"/>
  <c r="K272" i="14"/>
  <c r="K271" i="14"/>
  <c r="K270" i="14"/>
  <c r="K269" i="14"/>
  <c r="K268" i="14"/>
  <c r="K265" i="14"/>
  <c r="K264" i="14"/>
  <c r="K263" i="14"/>
  <c r="S263" i="14" s="1"/>
  <c r="K262" i="14"/>
  <c r="K261" i="14"/>
  <c r="K260" i="14"/>
  <c r="K258" i="14"/>
  <c r="K257" i="14"/>
  <c r="K254" i="14"/>
  <c r="K253" i="14"/>
  <c r="S253" i="14" s="1"/>
  <c r="K252" i="14"/>
  <c r="K251" i="14"/>
  <c r="K250" i="14"/>
  <c r="K248" i="14"/>
  <c r="K247" i="14"/>
  <c r="K244" i="14"/>
  <c r="K243" i="14"/>
  <c r="K242" i="14"/>
  <c r="K241" i="14"/>
  <c r="K240" i="14"/>
  <c r="K238" i="14"/>
  <c r="K237" i="14"/>
  <c r="S237" i="14" s="1"/>
  <c r="K235" i="14"/>
  <c r="K234" i="14"/>
  <c r="K233" i="14"/>
  <c r="K232" i="14"/>
  <c r="K231" i="14"/>
  <c r="K230" i="14"/>
  <c r="K228" i="14"/>
  <c r="S228" i="14" s="1"/>
  <c r="K227" i="14"/>
  <c r="K225" i="14"/>
  <c r="K224" i="14"/>
  <c r="K222" i="14"/>
  <c r="J223" i="14"/>
  <c r="J221" i="14" s="1"/>
  <c r="R221" i="14" s="1"/>
  <c r="J229" i="14"/>
  <c r="J226" i="14" s="1"/>
  <c r="R226" i="14" s="1"/>
  <c r="J239" i="14"/>
  <c r="J249" i="14"/>
  <c r="J259" i="14"/>
  <c r="J267" i="14"/>
  <c r="R267" i="14" s="1"/>
  <c r="J283" i="14"/>
  <c r="O198" i="14"/>
  <c r="O195" i="14"/>
  <c r="O194" i="14"/>
  <c r="O193" i="14"/>
  <c r="O189" i="14"/>
  <c r="O191" i="14"/>
  <c r="O185" i="14"/>
  <c r="O184" i="14"/>
  <c r="O183" i="14"/>
  <c r="O182" i="14"/>
  <c r="O181" i="14"/>
  <c r="O180" i="14"/>
  <c r="O178" i="14"/>
  <c r="O177" i="14"/>
  <c r="O176" i="14"/>
  <c r="O175" i="14"/>
  <c r="O174" i="14"/>
  <c r="O173" i="14"/>
  <c r="O170" i="14"/>
  <c r="O169" i="14"/>
  <c r="O168" i="14"/>
  <c r="O167" i="14"/>
  <c r="O166" i="14"/>
  <c r="O165" i="14"/>
  <c r="O164" i="14"/>
  <c r="O163" i="14"/>
  <c r="O162" i="14"/>
  <c r="O161" i="14"/>
  <c r="O160" i="14"/>
  <c r="O159" i="14"/>
  <c r="O157" i="14"/>
  <c r="O156" i="14"/>
  <c r="O155" i="14"/>
  <c r="O154" i="14"/>
  <c r="O153" i="14"/>
  <c r="O152" i="14"/>
  <c r="O151" i="14"/>
  <c r="O149" i="14"/>
  <c r="O146" i="14"/>
  <c r="O145" i="14"/>
  <c r="O144" i="14"/>
  <c r="O143" i="14"/>
  <c r="O142" i="14"/>
  <c r="O141" i="14"/>
  <c r="O140" i="14"/>
  <c r="O138" i="14"/>
  <c r="O137" i="14"/>
  <c r="O136" i="14"/>
  <c r="O135" i="14"/>
  <c r="O134" i="14"/>
  <c r="O133" i="14"/>
  <c r="O131" i="14"/>
  <c r="O130" i="14"/>
  <c r="O129" i="14"/>
  <c r="O127" i="14"/>
  <c r="O125" i="14"/>
  <c r="O124" i="14"/>
  <c r="O123" i="14"/>
  <c r="O121" i="14"/>
  <c r="O120" i="14"/>
  <c r="O119" i="14"/>
  <c r="O117" i="14"/>
  <c r="O116" i="14"/>
  <c r="N115" i="14"/>
  <c r="N126" i="14"/>
  <c r="N132" i="14"/>
  <c r="N128" i="14" s="1"/>
  <c r="N148" i="14"/>
  <c r="R148" i="14" s="1"/>
  <c r="N150" i="14"/>
  <c r="N172" i="14"/>
  <c r="N171" i="14" s="1"/>
  <c r="N187" i="14"/>
  <c r="R187" i="14" s="1"/>
  <c r="N190" i="14"/>
  <c r="N197" i="14"/>
  <c r="R197" i="14" s="1"/>
  <c r="K198" i="14"/>
  <c r="K197" i="14"/>
  <c r="K196" i="14"/>
  <c r="K195" i="14"/>
  <c r="K194" i="14"/>
  <c r="K189" i="14"/>
  <c r="S189" i="14" s="1"/>
  <c r="K191" i="14"/>
  <c r="K190" i="14"/>
  <c r="K188" i="14"/>
  <c r="K187" i="14"/>
  <c r="K186" i="14"/>
  <c r="K184" i="14"/>
  <c r="S184" i="14" s="1"/>
  <c r="K182" i="14"/>
  <c r="K181" i="14"/>
  <c r="K178" i="14"/>
  <c r="K176" i="14"/>
  <c r="K173" i="14"/>
  <c r="K172" i="14"/>
  <c r="K171" i="14"/>
  <c r="K168" i="14"/>
  <c r="K167" i="14"/>
  <c r="K165" i="14"/>
  <c r="S165" i="14" s="1"/>
  <c r="K164" i="14"/>
  <c r="K162" i="14"/>
  <c r="K157" i="14"/>
  <c r="K153" i="14"/>
  <c r="K152" i="14"/>
  <c r="K151" i="14"/>
  <c r="K150" i="14"/>
  <c r="K149" i="14"/>
  <c r="S149" i="14" s="1"/>
  <c r="K148" i="14"/>
  <c r="K147" i="14"/>
  <c r="K145" i="14"/>
  <c r="K144" i="14"/>
  <c r="K142" i="14"/>
  <c r="S142" i="14" s="1"/>
  <c r="K138" i="14"/>
  <c r="K137" i="14"/>
  <c r="K134" i="14"/>
  <c r="K133" i="14"/>
  <c r="S133" i="14" s="1"/>
  <c r="K132" i="14"/>
  <c r="K131" i="14"/>
  <c r="K130" i="14"/>
  <c r="K127" i="14"/>
  <c r="S127" i="14" s="1"/>
  <c r="K126" i="14"/>
  <c r="K124" i="14"/>
  <c r="S124" i="14" s="1"/>
  <c r="K121" i="14"/>
  <c r="K117" i="14"/>
  <c r="J116" i="14"/>
  <c r="R116" i="14" s="1"/>
  <c r="J120" i="14"/>
  <c r="J119" i="14" s="1"/>
  <c r="R119" i="14" s="1"/>
  <c r="J123" i="14"/>
  <c r="J129" i="14"/>
  <c r="J128" i="14" s="1"/>
  <c r="J136" i="14"/>
  <c r="J140" i="14"/>
  <c r="R140" i="14" s="1"/>
  <c r="J155" i="14"/>
  <c r="J154" i="14" s="1"/>
  <c r="J161" i="14"/>
  <c r="R161" i="14" s="1"/>
  <c r="J166" i="14"/>
  <c r="R166" i="14" s="1"/>
  <c r="J169" i="14"/>
  <c r="R169" i="14" s="1"/>
  <c r="J175" i="14"/>
  <c r="R175" i="14" s="1"/>
  <c r="J177" i="14"/>
  <c r="R177" i="14" s="1"/>
  <c r="J180" i="14"/>
  <c r="J193" i="14"/>
  <c r="N74" i="14"/>
  <c r="H7" i="15" s="1"/>
  <c r="O74" i="14"/>
  <c r="K90" i="14"/>
  <c r="S90" i="14" s="1"/>
  <c r="K87" i="14"/>
  <c r="S87" i="14" s="1"/>
  <c r="K84" i="14"/>
  <c r="S84" i="14" s="1"/>
  <c r="K83" i="14"/>
  <c r="S83" i="14" s="1"/>
  <c r="K81" i="14"/>
  <c r="S81" i="14" s="1"/>
  <c r="K77" i="14"/>
  <c r="S77" i="14" s="1"/>
  <c r="J76" i="14"/>
  <c r="R76" i="14" s="1"/>
  <c r="J78" i="14"/>
  <c r="R78" i="14" s="1"/>
  <c r="J80" i="14"/>
  <c r="R80" i="14" s="1"/>
  <c r="J82" i="14"/>
  <c r="R82" i="14" s="1"/>
  <c r="J86" i="14"/>
  <c r="R86" i="14" s="1"/>
  <c r="J89" i="14"/>
  <c r="J88" i="14" s="1"/>
  <c r="O64" i="14"/>
  <c r="O63" i="14"/>
  <c r="O62" i="14"/>
  <c r="O61" i="14"/>
  <c r="O60" i="14"/>
  <c r="O59" i="14"/>
  <c r="O58" i="14"/>
  <c r="O57" i="14"/>
  <c r="O56" i="14"/>
  <c r="O55" i="14"/>
  <c r="O54" i="14"/>
  <c r="O53" i="14"/>
  <c r="O52" i="14"/>
  <c r="O51" i="14"/>
  <c r="O50" i="14"/>
  <c r="O47" i="14"/>
  <c r="O44" i="14"/>
  <c r="O43" i="14"/>
  <c r="O41" i="14"/>
  <c r="O39" i="14"/>
  <c r="O36" i="14"/>
  <c r="O35" i="14"/>
  <c r="O34" i="14"/>
  <c r="O33" i="14"/>
  <c r="O32" i="14"/>
  <c r="O31" i="14"/>
  <c r="O29" i="14"/>
  <c r="O28" i="14"/>
  <c r="O27" i="14"/>
  <c r="O26" i="14"/>
  <c r="O25" i="14"/>
  <c r="O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N38" i="14"/>
  <c r="R38" i="14" s="1"/>
  <c r="N40" i="14"/>
  <c r="N46" i="14"/>
  <c r="R46" i="14" s="1"/>
  <c r="N48" i="14"/>
  <c r="K64" i="14"/>
  <c r="S64" i="14" s="1"/>
  <c r="K63" i="14"/>
  <c r="K60" i="14"/>
  <c r="K58" i="14"/>
  <c r="K57" i="14"/>
  <c r="K56" i="14"/>
  <c r="K54" i="14"/>
  <c r="K52" i="14"/>
  <c r="K51" i="14"/>
  <c r="K50" i="14"/>
  <c r="K49" i="14"/>
  <c r="K48" i="14"/>
  <c r="K47" i="14"/>
  <c r="K46" i="14"/>
  <c r="K45" i="14"/>
  <c r="K41" i="14"/>
  <c r="K40" i="14"/>
  <c r="K39" i="14"/>
  <c r="K38" i="14"/>
  <c r="K37" i="14"/>
  <c r="K35" i="14"/>
  <c r="K34" i="14"/>
  <c r="K33" i="14"/>
  <c r="K29" i="14"/>
  <c r="K28" i="14"/>
  <c r="K27" i="14"/>
  <c r="K25" i="14"/>
  <c r="K23" i="14"/>
  <c r="K20" i="14"/>
  <c r="K17" i="14"/>
  <c r="K16" i="14"/>
  <c r="K15" i="14"/>
  <c r="K14" i="14"/>
  <c r="K13" i="14"/>
  <c r="J12" i="14"/>
  <c r="J11" i="14" s="1"/>
  <c r="R11" i="14" s="1"/>
  <c r="J19" i="14"/>
  <c r="J18" i="14" s="1"/>
  <c r="R18" i="14" s="1"/>
  <c r="J22" i="14"/>
  <c r="J21" i="14" s="1"/>
  <c r="J26" i="14"/>
  <c r="J32" i="14"/>
  <c r="R32" i="14" s="1"/>
  <c r="J43" i="14"/>
  <c r="J42" i="14" s="1"/>
  <c r="J55" i="14"/>
  <c r="R55" i="14" s="1"/>
  <c r="J59" i="14"/>
  <c r="R59" i="14" s="1"/>
  <c r="J62" i="14"/>
  <c r="J61" i="14" s="1"/>
  <c r="R13" i="14"/>
  <c r="R14" i="14"/>
  <c r="R15" i="14"/>
  <c r="R16" i="14"/>
  <c r="R17" i="14"/>
  <c r="R20" i="14"/>
  <c r="R23" i="14"/>
  <c r="R25" i="14"/>
  <c r="R27" i="14"/>
  <c r="R28" i="14"/>
  <c r="R29" i="14"/>
  <c r="R31" i="14"/>
  <c r="R33" i="14"/>
  <c r="R34" i="14"/>
  <c r="R35" i="14"/>
  <c r="R36" i="14"/>
  <c r="R39" i="14"/>
  <c r="R41" i="14"/>
  <c r="R44" i="14"/>
  <c r="R47" i="14"/>
  <c r="R49" i="14"/>
  <c r="R50" i="14"/>
  <c r="R51" i="14"/>
  <c r="R52" i="14"/>
  <c r="R54" i="14"/>
  <c r="R56" i="14"/>
  <c r="R57" i="14"/>
  <c r="R58" i="14"/>
  <c r="R60" i="14"/>
  <c r="R63" i="14"/>
  <c r="R64" i="14"/>
  <c r="Q1860" i="14"/>
  <c r="Q1859" i="14"/>
  <c r="M1858" i="14"/>
  <c r="M1857" i="14" s="1"/>
  <c r="Q1856" i="14"/>
  <c r="Q1855" i="14"/>
  <c r="Q1854" i="14"/>
  <c r="Q1853" i="14"/>
  <c r="I1852" i="14"/>
  <c r="Q1851" i="14"/>
  <c r="Q1850" i="14"/>
  <c r="Q1848" i="14"/>
  <c r="I1847" i="14"/>
  <c r="I1846" i="14" s="1"/>
  <c r="Q1845" i="14"/>
  <c r="Q1844" i="14"/>
  <c r="I1843" i="14"/>
  <c r="B1840" i="14"/>
  <c r="B1841" i="14" s="1"/>
  <c r="B1842" i="14" s="1"/>
  <c r="B1843" i="14" s="1"/>
  <c r="B1844" i="14" s="1"/>
  <c r="B1845" i="14" s="1"/>
  <c r="B1846" i="14" s="1"/>
  <c r="B1847" i="14" s="1"/>
  <c r="B1848" i="14" s="1"/>
  <c r="B1849" i="14" s="1"/>
  <c r="B1850" i="14" s="1"/>
  <c r="B1851" i="14" s="1"/>
  <c r="B1852" i="14" s="1"/>
  <c r="B1853" i="14" s="1"/>
  <c r="B1854" i="14" s="1"/>
  <c r="B1855" i="14" s="1"/>
  <c r="B1856" i="14" s="1"/>
  <c r="B1857" i="14" s="1"/>
  <c r="B1858" i="14" s="1"/>
  <c r="B1859" i="14" s="1"/>
  <c r="B1860" i="14" s="1"/>
  <c r="Q1822" i="14"/>
  <c r="Q1821" i="14"/>
  <c r="Q1820" i="14"/>
  <c r="Q1819" i="14"/>
  <c r="Q1818" i="14"/>
  <c r="Q1817" i="14"/>
  <c r="I1816" i="14"/>
  <c r="Q1815" i="14"/>
  <c r="Q1814" i="14"/>
  <c r="Q1811" i="14"/>
  <c r="Q1810" i="14"/>
  <c r="Q1809" i="14"/>
  <c r="Q1808" i="14"/>
  <c r="I1807" i="14"/>
  <c r="Q1807" i="14" s="1"/>
  <c r="Q1806" i="14"/>
  <c r="Q1805" i="14"/>
  <c r="Q1802" i="14"/>
  <c r="I1801" i="14"/>
  <c r="Q1800" i="14"/>
  <c r="I1799" i="14"/>
  <c r="Q1799" i="14" s="1"/>
  <c r="Q1797" i="14"/>
  <c r="I1796" i="14"/>
  <c r="Q1796" i="14" s="1"/>
  <c r="Q1794" i="14"/>
  <c r="Q1793" i="14"/>
  <c r="Q1792" i="14"/>
  <c r="Q1791" i="14"/>
  <c r="Q1790" i="14"/>
  <c r="I1789" i="14"/>
  <c r="K1789" i="14" s="1"/>
  <c r="Q1788" i="14"/>
  <c r="Q1787" i="14"/>
  <c r="Q1784" i="14"/>
  <c r="M1783" i="14"/>
  <c r="Q1781" i="14"/>
  <c r="Q1780" i="14"/>
  <c r="Q1779" i="14"/>
  <c r="Q1778" i="14"/>
  <c r="Q1777" i="14"/>
  <c r="Q1776" i="14"/>
  <c r="Q1775" i="14"/>
  <c r="I1774" i="14"/>
  <c r="Q1773" i="14"/>
  <c r="Q1772" i="14"/>
  <c r="Q1770" i="14"/>
  <c r="I1769" i="14"/>
  <c r="K1769" i="14" s="1"/>
  <c r="S1769" i="14" s="1"/>
  <c r="Q1768" i="14"/>
  <c r="I1767" i="14"/>
  <c r="Q1767" i="14" s="1"/>
  <c r="Q1766" i="14"/>
  <c r="Q1764" i="14"/>
  <c r="I1763" i="14"/>
  <c r="Q1763" i="14" s="1"/>
  <c r="I1761" i="14"/>
  <c r="Q1761" i="14" s="1"/>
  <c r="I1760" i="14"/>
  <c r="Q1760" i="14" s="1"/>
  <c r="I1759" i="14"/>
  <c r="I1758" i="14"/>
  <c r="Q1758" i="14" s="1"/>
  <c r="Q1754" i="14"/>
  <c r="Q1753" i="14"/>
  <c r="Q1752" i="14"/>
  <c r="Q1751" i="14"/>
  <c r="Q1750" i="14"/>
  <c r="Q1749" i="14"/>
  <c r="I1748" i="14"/>
  <c r="Q1748" i="14" s="1"/>
  <c r="Q1747" i="14"/>
  <c r="Q1746" i="14"/>
  <c r="Q1743" i="14"/>
  <c r="Q1742" i="14"/>
  <c r="Q1741" i="14"/>
  <c r="I1740" i="14"/>
  <c r="Q1740" i="14" s="1"/>
  <c r="Q1738" i="14"/>
  <c r="Q1737" i="14"/>
  <c r="Q1736" i="14"/>
  <c r="I1735" i="14"/>
  <c r="Q1732" i="14"/>
  <c r="Q1731" i="14"/>
  <c r="Q1730" i="14"/>
  <c r="Q1729" i="14"/>
  <c r="Q1728" i="14"/>
  <c r="I1727" i="14"/>
  <c r="K1727" i="14" s="1"/>
  <c r="Q1726" i="14"/>
  <c r="Q1725" i="14"/>
  <c r="Q1722" i="14"/>
  <c r="Q1721" i="14"/>
  <c r="Q1720" i="14"/>
  <c r="Q1719" i="14"/>
  <c r="I1718" i="14"/>
  <c r="I1715" i="14" s="1"/>
  <c r="I1714" i="14" s="1"/>
  <c r="Q1717" i="14"/>
  <c r="Q1716" i="14"/>
  <c r="Q1711" i="14"/>
  <c r="Q1710" i="14"/>
  <c r="Q1709" i="14"/>
  <c r="Q1708" i="14"/>
  <c r="Q1707" i="14"/>
  <c r="Q1706" i="14"/>
  <c r="Q1705" i="14"/>
  <c r="I1704" i="14"/>
  <c r="Q1704" i="14" s="1"/>
  <c r="Q1703" i="14"/>
  <c r="Q1702" i="14"/>
  <c r="Q1701" i="14"/>
  <c r="Q1700" i="14"/>
  <c r="I1699" i="14"/>
  <c r="Q1695" i="14"/>
  <c r="I1694" i="14"/>
  <c r="Q1694" i="14" s="1"/>
  <c r="Q1691" i="14"/>
  <c r="Q1690" i="14"/>
  <c r="Q1689" i="14"/>
  <c r="Q1688" i="14"/>
  <c r="Q1687" i="14"/>
  <c r="I1686" i="14"/>
  <c r="Q1685" i="14"/>
  <c r="Q1684" i="14"/>
  <c r="Q1671" i="14"/>
  <c r="M1670" i="14"/>
  <c r="O1670" i="14" s="1"/>
  <c r="S1670" i="14" s="1"/>
  <c r="I1668" i="14"/>
  <c r="Q1668" i="14" s="1"/>
  <c r="I1667" i="14"/>
  <c r="Q1666" i="14"/>
  <c r="I1665" i="14"/>
  <c r="Q1665" i="14" s="1"/>
  <c r="I1664" i="14"/>
  <c r="Q1664" i="14" s="1"/>
  <c r="I1663" i="14"/>
  <c r="Q1663" i="14" s="1"/>
  <c r="Q1662" i="14"/>
  <c r="I1660" i="14"/>
  <c r="Q1660" i="14" s="1"/>
  <c r="I1659" i="14"/>
  <c r="Q1656" i="14"/>
  <c r="Q1655" i="14"/>
  <c r="Q1654" i="14"/>
  <c r="Q1653" i="14"/>
  <c r="I1652" i="14"/>
  <c r="I1651" i="14" s="1"/>
  <c r="Q1651" i="14" s="1"/>
  <c r="Q1649" i="14"/>
  <c r="I1648" i="14"/>
  <c r="Q1648" i="14" s="1"/>
  <c r="Q1645" i="14"/>
  <c r="I1644" i="14"/>
  <c r="Q1642" i="14"/>
  <c r="M1641" i="14"/>
  <c r="Q1641" i="14" s="1"/>
  <c r="Q1639" i="14"/>
  <c r="Q1638" i="14"/>
  <c r="I1637" i="14"/>
  <c r="K1637" i="14" s="1"/>
  <c r="Q1636" i="14"/>
  <c r="I1635" i="14"/>
  <c r="K1635" i="14" s="1"/>
  <c r="S1635" i="14" s="1"/>
  <c r="Q1633" i="14"/>
  <c r="I1632" i="14"/>
  <c r="Q1631" i="14"/>
  <c r="Q1628" i="14"/>
  <c r="M1627" i="14"/>
  <c r="Q1627" i="14" s="1"/>
  <c r="Q1625" i="14"/>
  <c r="I1624" i="14"/>
  <c r="Q1624" i="14" s="1"/>
  <c r="M1622" i="14"/>
  <c r="Q1622" i="14" s="1"/>
  <c r="M1621" i="14"/>
  <c r="Q1621" i="14" s="1"/>
  <c r="Q1620" i="14"/>
  <c r="Q1618" i="14"/>
  <c r="Q1617" i="14"/>
  <c r="Q1616" i="14"/>
  <c r="M1615" i="14"/>
  <c r="I1613" i="14"/>
  <c r="I1612" i="14" s="1"/>
  <c r="Q1609" i="14"/>
  <c r="M1608" i="14"/>
  <c r="M1607" i="14" s="1"/>
  <c r="M1584" i="14" s="1"/>
  <c r="Q1606" i="14"/>
  <c r="Q1605" i="14"/>
  <c r="I1604" i="14"/>
  <c r="Q1603" i="14"/>
  <c r="Q1602" i="14"/>
  <c r="Q1601" i="14"/>
  <c r="I1600" i="14"/>
  <c r="Q1599" i="14"/>
  <c r="Q1598" i="14"/>
  <c r="Q1596" i="14"/>
  <c r="Q1595" i="14"/>
  <c r="Q1594" i="14"/>
  <c r="Q1593" i="14"/>
  <c r="I1592" i="14"/>
  <c r="Q1592" i="14" s="1"/>
  <c r="Q1591" i="14"/>
  <c r="Q1590" i="14"/>
  <c r="I1589" i="14"/>
  <c r="Q1588" i="14"/>
  <c r="Q1586" i="14"/>
  <c r="Q1585" i="14"/>
  <c r="Q1583" i="14"/>
  <c r="Q1582" i="14"/>
  <c r="Q1581" i="14"/>
  <c r="M1580" i="14"/>
  <c r="Q1578" i="14"/>
  <c r="Q1577" i="14"/>
  <c r="I1576" i="14"/>
  <c r="K1576" i="14" s="1"/>
  <c r="S1576" i="14" s="1"/>
  <c r="B1574" i="14"/>
  <c r="B1575" i="14" s="1"/>
  <c r="B1576" i="14" s="1"/>
  <c r="B1577" i="14" s="1"/>
  <c r="B1578" i="14" s="1"/>
  <c r="B1579" i="14" s="1"/>
  <c r="B1580" i="14" s="1"/>
  <c r="B1581" i="14" s="1"/>
  <c r="B1582" i="14" s="1"/>
  <c r="B1583" i="14" s="1"/>
  <c r="B1584" i="14" s="1"/>
  <c r="B1585" i="14" s="1"/>
  <c r="B1586" i="14" s="1"/>
  <c r="B1587" i="14" s="1"/>
  <c r="B1588" i="14" s="1"/>
  <c r="B1589" i="14" s="1"/>
  <c r="B1590" i="14" s="1"/>
  <c r="B1591" i="14" s="1"/>
  <c r="B1592" i="14" s="1"/>
  <c r="B1593" i="14" s="1"/>
  <c r="B1594" i="14" s="1"/>
  <c r="B1595" i="14" s="1"/>
  <c r="B1596" i="14" s="1"/>
  <c r="B1597" i="14" s="1"/>
  <c r="B1598" i="14" s="1"/>
  <c r="B1599" i="14" s="1"/>
  <c r="B1600" i="14" s="1"/>
  <c r="B1601" i="14" s="1"/>
  <c r="B1602" i="14" s="1"/>
  <c r="B1603" i="14" s="1"/>
  <c r="B1604" i="14" s="1"/>
  <c r="B1605" i="14" s="1"/>
  <c r="B1606" i="14" s="1"/>
  <c r="B1607" i="14" s="1"/>
  <c r="B1608" i="14" s="1"/>
  <c r="B1609" i="14" s="1"/>
  <c r="B1610" i="14" s="1"/>
  <c r="B1611" i="14" s="1"/>
  <c r="B1612" i="14" s="1"/>
  <c r="B1613" i="14" s="1"/>
  <c r="B1614" i="14" s="1"/>
  <c r="B1615" i="14" s="1"/>
  <c r="B1616" i="14" s="1"/>
  <c r="B1617" i="14" s="1"/>
  <c r="B1618" i="14" s="1"/>
  <c r="B1619" i="14" s="1"/>
  <c r="B1620" i="14" s="1"/>
  <c r="B1621" i="14" s="1"/>
  <c r="B1622" i="14" s="1"/>
  <c r="B1623" i="14" s="1"/>
  <c r="B1624" i="14" s="1"/>
  <c r="B1625" i="14" s="1"/>
  <c r="B1626" i="14" s="1"/>
  <c r="B1627" i="14" s="1"/>
  <c r="B1628" i="14" s="1"/>
  <c r="B1629" i="14" s="1"/>
  <c r="B1630" i="14" s="1"/>
  <c r="B1631" i="14" s="1"/>
  <c r="B1632" i="14" s="1"/>
  <c r="B1633" i="14" s="1"/>
  <c r="B1634" i="14" s="1"/>
  <c r="B1635" i="14" s="1"/>
  <c r="B1636" i="14" s="1"/>
  <c r="B1637" i="14" s="1"/>
  <c r="B1638" i="14" s="1"/>
  <c r="B1639" i="14" s="1"/>
  <c r="B1640" i="14" s="1"/>
  <c r="B1641" i="14" s="1"/>
  <c r="B1642" i="14" s="1"/>
  <c r="B1643" i="14" s="1"/>
  <c r="B1644" i="14" s="1"/>
  <c r="B1645" i="14" s="1"/>
  <c r="B1646" i="14" s="1"/>
  <c r="B1647" i="14" s="1"/>
  <c r="B1648" i="14" s="1"/>
  <c r="B1649" i="14" s="1"/>
  <c r="B1650" i="14" s="1"/>
  <c r="B1651" i="14" s="1"/>
  <c r="B1652" i="14" s="1"/>
  <c r="B1653" i="14" s="1"/>
  <c r="B1654" i="14" s="1"/>
  <c r="B1655" i="14" s="1"/>
  <c r="B1656" i="14" s="1"/>
  <c r="B1657" i="14" s="1"/>
  <c r="B1658" i="14" s="1"/>
  <c r="B1659" i="14" s="1"/>
  <c r="B1660" i="14" s="1"/>
  <c r="B1661" i="14" s="1"/>
  <c r="B1662" i="14" s="1"/>
  <c r="B1663" i="14" s="1"/>
  <c r="B1664" i="14" s="1"/>
  <c r="B1665" i="14" s="1"/>
  <c r="B1666" i="14" s="1"/>
  <c r="B1667" i="14" s="1"/>
  <c r="B1668" i="14" s="1"/>
  <c r="B1669" i="14" s="1"/>
  <c r="B1670" i="14" s="1"/>
  <c r="B1671" i="14" s="1"/>
  <c r="Q1557" i="14"/>
  <c r="M1556" i="14"/>
  <c r="Q1556" i="14" s="1"/>
  <c r="Q1554" i="14"/>
  <c r="I1553" i="14"/>
  <c r="Q1553" i="14" s="1"/>
  <c r="Q1551" i="14"/>
  <c r="Q1550" i="14"/>
  <c r="M1549" i="14"/>
  <c r="Q1549" i="14" s="1"/>
  <c r="I1547" i="14"/>
  <c r="Q1547" i="14" s="1"/>
  <c r="Q1546" i="14"/>
  <c r="I1545" i="14"/>
  <c r="Q1545" i="14" s="1"/>
  <c r="I1544" i="14"/>
  <c r="Q1542" i="14"/>
  <c r="I1540" i="14"/>
  <c r="Q1540" i="14" s="1"/>
  <c r="I1539" i="14"/>
  <c r="K1539" i="14" s="1"/>
  <c r="S1539" i="14" s="1"/>
  <c r="Q1538" i="14"/>
  <c r="Q1531" i="14"/>
  <c r="Q1530" i="14"/>
  <c r="I1529" i="14"/>
  <c r="K1529" i="14" s="1"/>
  <c r="S1529" i="14" s="1"/>
  <c r="Q1528" i="14"/>
  <c r="I1527" i="14"/>
  <c r="Q1527" i="14" s="1"/>
  <c r="Q1526" i="14"/>
  <c r="Q1525" i="14"/>
  <c r="Q1524" i="14"/>
  <c r="Q1523" i="14"/>
  <c r="Q1522" i="14"/>
  <c r="B1519" i="14"/>
  <c r="B1520" i="14" s="1"/>
  <c r="B1521" i="14" s="1"/>
  <c r="B1522" i="14" s="1"/>
  <c r="B1523" i="14" s="1"/>
  <c r="Q1468" i="14"/>
  <c r="M1467" i="14"/>
  <c r="Q1467" i="14" s="1"/>
  <c r="Q1465" i="14"/>
  <c r="Q1464" i="14"/>
  <c r="Q1463" i="14"/>
  <c r="Q1462" i="14"/>
  <c r="Q1461" i="14"/>
  <c r="Q1460" i="14"/>
  <c r="Q1459" i="14"/>
  <c r="Q1458" i="14"/>
  <c r="I1457" i="14"/>
  <c r="Q1457" i="14" s="1"/>
  <c r="Q1456" i="14"/>
  <c r="Q1455" i="14"/>
  <c r="Q1453" i="14"/>
  <c r="Q1452" i="14"/>
  <c r="Q1451" i="14"/>
  <c r="M1450" i="14"/>
  <c r="Q1448" i="14"/>
  <c r="Q1447" i="14"/>
  <c r="Q1446" i="14"/>
  <c r="Q1445" i="14"/>
  <c r="Q1444" i="14"/>
  <c r="M1443" i="14"/>
  <c r="Q1443" i="14" s="1"/>
  <c r="Q1440" i="14"/>
  <c r="I1439" i="14"/>
  <c r="Q1438" i="14"/>
  <c r="Q1437" i="14"/>
  <c r="Q1436" i="14"/>
  <c r="Q1434" i="14"/>
  <c r="Q1433" i="14"/>
  <c r="Q1430" i="14"/>
  <c r="M1429" i="14"/>
  <c r="Q1429" i="14" s="1"/>
  <c r="Q1427" i="14"/>
  <c r="Q1426" i="14"/>
  <c r="I1425" i="14"/>
  <c r="Q1425" i="14" s="1"/>
  <c r="Q1424" i="14"/>
  <c r="Q1423" i="14"/>
  <c r="Q1421" i="14"/>
  <c r="Q1420" i="14"/>
  <c r="Q1418" i="14"/>
  <c r="Q1417" i="14"/>
  <c r="M1416" i="14"/>
  <c r="O1416" i="14" s="1"/>
  <c r="S1416" i="14" s="1"/>
  <c r="Q1415" i="14"/>
  <c r="M1414" i="14"/>
  <c r="Q1414" i="14" s="1"/>
  <c r="Q1411" i="14"/>
  <c r="Q1410" i="14"/>
  <c r="Q1409" i="14"/>
  <c r="Q1408" i="14"/>
  <c r="Q1407" i="14"/>
  <c r="Q1406" i="14"/>
  <c r="I1405" i="14"/>
  <c r="K1405" i="14" s="1"/>
  <c r="Q1404" i="14"/>
  <c r="Q1403" i="14"/>
  <c r="Q1401" i="14"/>
  <c r="M1400" i="14"/>
  <c r="Q1400" i="14" s="1"/>
  <c r="Q1398" i="14"/>
  <c r="I1397" i="14"/>
  <c r="M1395" i="14"/>
  <c r="Q1393" i="14"/>
  <c r="Q1392" i="14"/>
  <c r="Q1390" i="14"/>
  <c r="Q1389" i="14"/>
  <c r="Q1388" i="14"/>
  <c r="I1387" i="14"/>
  <c r="Q1385" i="14"/>
  <c r="Q1384" i="14"/>
  <c r="I1383" i="14"/>
  <c r="Q1380" i="14"/>
  <c r="Q1379" i="14"/>
  <c r="Q1378" i="14"/>
  <c r="Q1377" i="14"/>
  <c r="Q1376" i="14"/>
  <c r="Q1375" i="14"/>
  <c r="Q1374" i="14"/>
  <c r="Q1373" i="14"/>
  <c r="Q1372" i="14"/>
  <c r="Q1371" i="14"/>
  <c r="Q1370" i="14"/>
  <c r="Q1369" i="14"/>
  <c r="I1368" i="14"/>
  <c r="Q1366" i="14"/>
  <c r="Q1365" i="14"/>
  <c r="I1364" i="14"/>
  <c r="Q1364" i="14" s="1"/>
  <c r="B1362" i="14"/>
  <c r="B1363" i="14" s="1"/>
  <c r="B1364" i="14" s="1"/>
  <c r="B1365" i="14" s="1"/>
  <c r="B1366" i="14" s="1"/>
  <c r="B1367" i="14" s="1"/>
  <c r="B1368" i="14" s="1"/>
  <c r="B1369" i="14" s="1"/>
  <c r="B1370" i="14" s="1"/>
  <c r="B1371" i="14" s="1"/>
  <c r="B1372" i="14" s="1"/>
  <c r="B1373" i="14" s="1"/>
  <c r="B1374" i="14" s="1"/>
  <c r="B1375" i="14" s="1"/>
  <c r="B1376" i="14" s="1"/>
  <c r="B1377" i="14" s="1"/>
  <c r="B1378" i="14" s="1"/>
  <c r="B1379" i="14" s="1"/>
  <c r="B1380" i="14" s="1"/>
  <c r="B1381" i="14" s="1"/>
  <c r="B1382" i="14" s="1"/>
  <c r="B1383" i="14" s="1"/>
  <c r="B1384" i="14" s="1"/>
  <c r="B1385" i="14" s="1"/>
  <c r="B1386" i="14" s="1"/>
  <c r="B1387" i="14" s="1"/>
  <c r="B1388" i="14" s="1"/>
  <c r="B1389" i="14" s="1"/>
  <c r="B1390" i="14" s="1"/>
  <c r="B1391" i="14" s="1"/>
  <c r="B1392" i="14" s="1"/>
  <c r="B1393" i="14" s="1"/>
  <c r="B1394" i="14" s="1"/>
  <c r="B1395" i="14" s="1"/>
  <c r="B1396" i="14" s="1"/>
  <c r="B1397" i="14" s="1"/>
  <c r="B1398" i="14" s="1"/>
  <c r="B1399" i="14" s="1"/>
  <c r="B1400" i="14" s="1"/>
  <c r="B1401" i="14" s="1"/>
  <c r="B1402" i="14" s="1"/>
  <c r="B1403" i="14" s="1"/>
  <c r="B1404" i="14" s="1"/>
  <c r="B1405" i="14" s="1"/>
  <c r="B1406" i="14" s="1"/>
  <c r="B1407" i="14" s="1"/>
  <c r="B1408" i="14" s="1"/>
  <c r="B1409" i="14" s="1"/>
  <c r="B1410" i="14" s="1"/>
  <c r="B1411" i="14" s="1"/>
  <c r="B1412" i="14" s="1"/>
  <c r="B1413" i="14" s="1"/>
  <c r="B1414" i="14" s="1"/>
  <c r="B1415" i="14" s="1"/>
  <c r="B1416" i="14" s="1"/>
  <c r="B1417" i="14" s="1"/>
  <c r="B1418" i="14" s="1"/>
  <c r="B1419" i="14" s="1"/>
  <c r="B1420" i="14" s="1"/>
  <c r="B1421" i="14" s="1"/>
  <c r="B1422" i="14" s="1"/>
  <c r="B1423" i="14" s="1"/>
  <c r="B1424" i="14" s="1"/>
  <c r="B1425" i="14" s="1"/>
  <c r="B1426" i="14" s="1"/>
  <c r="B1427" i="14" s="1"/>
  <c r="B1428" i="14" s="1"/>
  <c r="B1429" i="14" s="1"/>
  <c r="B1430" i="14" s="1"/>
  <c r="B1431" i="14" s="1"/>
  <c r="B1432" i="14" s="1"/>
  <c r="B1433" i="14" s="1"/>
  <c r="B1434" i="14" s="1"/>
  <c r="B1435" i="14" s="1"/>
  <c r="B1436" i="14" s="1"/>
  <c r="B1437" i="14" s="1"/>
  <c r="B1438" i="14" s="1"/>
  <c r="B1439" i="14" s="1"/>
  <c r="B1440" i="14" s="1"/>
  <c r="B1441" i="14" s="1"/>
  <c r="B1442" i="14" s="1"/>
  <c r="B1443" i="14" s="1"/>
  <c r="B1444" i="14" s="1"/>
  <c r="B1445" i="14" s="1"/>
  <c r="B1446" i="14" s="1"/>
  <c r="B1447" i="14" s="1"/>
  <c r="B1448" i="14" s="1"/>
  <c r="B1449" i="14" s="1"/>
  <c r="B1450" i="14" s="1"/>
  <c r="B1451" i="14" s="1"/>
  <c r="B1452" i="14" s="1"/>
  <c r="B1453" i="14" s="1"/>
  <c r="B1454" i="14" s="1"/>
  <c r="B1455" i="14" s="1"/>
  <c r="B1456" i="14" s="1"/>
  <c r="B1457" i="14" s="1"/>
  <c r="B1458" i="14" s="1"/>
  <c r="B1459" i="14" s="1"/>
  <c r="B1460" i="14" s="1"/>
  <c r="B1461" i="14" s="1"/>
  <c r="B1462" i="14" s="1"/>
  <c r="B1463" i="14" s="1"/>
  <c r="B1464" i="14" s="1"/>
  <c r="B1465" i="14" s="1"/>
  <c r="B1466" i="14" s="1"/>
  <c r="B1467" i="14" s="1"/>
  <c r="B1468" i="14" s="1"/>
  <c r="Q1310" i="14"/>
  <c r="Q1309" i="14"/>
  <c r="Q1308" i="14"/>
  <c r="Q1307" i="14"/>
  <c r="Q1306" i="14"/>
  <c r="Q1305" i="14"/>
  <c r="Q1304" i="14"/>
  <c r="I1303" i="14"/>
  <c r="Q1303" i="14" s="1"/>
  <c r="Q1302" i="14"/>
  <c r="Q1301" i="14"/>
  <c r="Q1299" i="14"/>
  <c r="Q1298" i="14"/>
  <c r="Q1297" i="14"/>
  <c r="Q1296" i="14"/>
  <c r="Q1295" i="14"/>
  <c r="I1294" i="14"/>
  <c r="Q1294" i="14" s="1"/>
  <c r="Q1293" i="14"/>
  <c r="Q1292" i="14"/>
  <c r="Q1290" i="14"/>
  <c r="I1289" i="14"/>
  <c r="Q1289" i="14" s="1"/>
  <c r="Q1288" i="14"/>
  <c r="I1287" i="14"/>
  <c r="K1287" i="14" s="1"/>
  <c r="S1287" i="14" s="1"/>
  <c r="Q1286" i="14"/>
  <c r="Q1285" i="14"/>
  <c r="Q1282" i="14"/>
  <c r="Q1281" i="14"/>
  <c r="Q1280" i="14"/>
  <c r="Q1279" i="14"/>
  <c r="Q1278" i="14"/>
  <c r="Q1277" i="14"/>
  <c r="I1276" i="14"/>
  <c r="Q1276" i="14" s="1"/>
  <c r="Q1275" i="14"/>
  <c r="Q1274" i="14"/>
  <c r="Q1273" i="14"/>
  <c r="Q1272" i="14"/>
  <c r="Q1271" i="14"/>
  <c r="Q1270" i="14"/>
  <c r="I1269" i="14"/>
  <c r="K1269" i="14" s="1"/>
  <c r="Q1268" i="14"/>
  <c r="Q1267" i="14"/>
  <c r="Q1265" i="14"/>
  <c r="Q1264" i="14"/>
  <c r="Q1263" i="14"/>
  <c r="Q1262" i="14"/>
  <c r="Q1261" i="14"/>
  <c r="Q1260" i="14"/>
  <c r="I1259" i="14"/>
  <c r="Q1259" i="14" s="1"/>
  <c r="Q1258" i="14"/>
  <c r="Q1257" i="14"/>
  <c r="Q1256" i="14"/>
  <c r="Q1255" i="14"/>
  <c r="Q1254" i="14"/>
  <c r="Q1253" i="14"/>
  <c r="Q1252" i="14"/>
  <c r="I1251" i="14"/>
  <c r="Q1251" i="14" s="1"/>
  <c r="Q1250" i="14"/>
  <c r="Q1249" i="14"/>
  <c r="Q1247" i="14"/>
  <c r="Q1246" i="14"/>
  <c r="Q1245" i="14"/>
  <c r="Q1244" i="14"/>
  <c r="Q1243" i="14"/>
  <c r="Q1242" i="14"/>
  <c r="I1241" i="14"/>
  <c r="Q1241" i="14" s="1"/>
  <c r="I1240" i="14"/>
  <c r="I1239" i="14"/>
  <c r="Q1238" i="14"/>
  <c r="Q1237" i="14"/>
  <c r="Q1236" i="14"/>
  <c r="Q1235" i="14"/>
  <c r="Q1234" i="14"/>
  <c r="Q1233" i="14"/>
  <c r="I1232" i="14"/>
  <c r="I1231" i="14"/>
  <c r="Q1231" i="14" s="1"/>
  <c r="I1230" i="14"/>
  <c r="K1230" i="14" s="1"/>
  <c r="Q1228" i="14"/>
  <c r="Q1227" i="14"/>
  <c r="Q1226" i="14"/>
  <c r="Q1225" i="14"/>
  <c r="Q1224" i="14"/>
  <c r="I1223" i="14"/>
  <c r="Q1223" i="14" s="1"/>
  <c r="I1222" i="14"/>
  <c r="Q1222" i="14" s="1"/>
  <c r="I1221" i="14"/>
  <c r="Q1221" i="14" s="1"/>
  <c r="Q1220" i="14"/>
  <c r="Q1219" i="14"/>
  <c r="Q1218" i="14"/>
  <c r="Q1217" i="14"/>
  <c r="Q1216" i="14"/>
  <c r="I1215" i="14"/>
  <c r="Q1215" i="14" s="1"/>
  <c r="I1214" i="14"/>
  <c r="Q1214" i="14" s="1"/>
  <c r="I1213" i="14"/>
  <c r="Q1213" i="14" s="1"/>
  <c r="Q1211" i="14"/>
  <c r="M1210" i="14"/>
  <c r="Q1208" i="14"/>
  <c r="Q1207" i="14"/>
  <c r="Q1206" i="14"/>
  <c r="Q1205" i="14"/>
  <c r="I1204" i="14"/>
  <c r="Q1204" i="14" s="1"/>
  <c r="I1203" i="14"/>
  <c r="Q1203" i="14" s="1"/>
  <c r="I1202" i="14"/>
  <c r="Q1202" i="14" s="1"/>
  <c r="Q1201" i="14"/>
  <c r="Q1200" i="14"/>
  <c r="Q1199" i="14"/>
  <c r="Q1198" i="14"/>
  <c r="I1197" i="14"/>
  <c r="I1196" i="14"/>
  <c r="Q1196" i="14" s="1"/>
  <c r="I1195" i="14"/>
  <c r="Q1193" i="14"/>
  <c r="I1192" i="14"/>
  <c r="K1192" i="14" s="1"/>
  <c r="S1192" i="14" s="1"/>
  <c r="Q1191" i="14"/>
  <c r="I1190" i="14"/>
  <c r="Q1188" i="14"/>
  <c r="Q1187" i="14"/>
  <c r="Q1186" i="14"/>
  <c r="Q1185" i="14"/>
  <c r="Q1184" i="14"/>
  <c r="I1183" i="14"/>
  <c r="Q1183" i="14" s="1"/>
  <c r="Q1182" i="14"/>
  <c r="Q1181" i="14"/>
  <c r="Q1180" i="14"/>
  <c r="Q1179" i="14"/>
  <c r="Q1178" i="14"/>
  <c r="Q1177" i="14"/>
  <c r="Q1176" i="14"/>
  <c r="I1175" i="14"/>
  <c r="I1174" i="14"/>
  <c r="Q1174" i="14" s="1"/>
  <c r="I1173" i="14"/>
  <c r="Q1173" i="14" s="1"/>
  <c r="Q1171" i="14"/>
  <c r="Q1170" i="14"/>
  <c r="Q1169" i="14"/>
  <c r="Q1168" i="14"/>
  <c r="Q1167" i="14"/>
  <c r="I1166" i="14"/>
  <c r="Q1165" i="14"/>
  <c r="Q1164" i="14"/>
  <c r="Q1163" i="14"/>
  <c r="Q1162" i="14"/>
  <c r="Q1161" i="14"/>
  <c r="Q1160" i="14"/>
  <c r="Q1159" i="14"/>
  <c r="I1158" i="14"/>
  <c r="Q1157" i="14"/>
  <c r="Q1156" i="14"/>
  <c r="Q1154" i="14"/>
  <c r="Q1153" i="14"/>
  <c r="Q1152" i="14"/>
  <c r="Q1151" i="14"/>
  <c r="I1150" i="14"/>
  <c r="Q1149" i="14"/>
  <c r="Q1148" i="14"/>
  <c r="Q1146" i="14"/>
  <c r="Q1145" i="14"/>
  <c r="Q1144" i="14"/>
  <c r="I1143" i="14"/>
  <c r="Q1142" i="14"/>
  <c r="Q1141" i="14"/>
  <c r="Q1139" i="14"/>
  <c r="Q1138" i="14"/>
  <c r="Q1137" i="14"/>
  <c r="I1136" i="14"/>
  <c r="K1136" i="14" s="1"/>
  <c r="S1136" i="14" s="1"/>
  <c r="Q1135" i="14"/>
  <c r="Q1134" i="14"/>
  <c r="Q1132" i="14"/>
  <c r="Q1131" i="14"/>
  <c r="Q1130" i="14"/>
  <c r="Q1129" i="14"/>
  <c r="Q1128" i="14"/>
  <c r="Q1127" i="14"/>
  <c r="I1126" i="14"/>
  <c r="Q1125" i="14"/>
  <c r="Q1124" i="14"/>
  <c r="Q1123" i="14"/>
  <c r="I1122" i="14"/>
  <c r="Q1121" i="14"/>
  <c r="Q1120" i="14"/>
  <c r="Q1118" i="14"/>
  <c r="Q1117" i="14"/>
  <c r="Q1116" i="14"/>
  <c r="Q1115" i="14"/>
  <c r="I1114" i="14"/>
  <c r="Q1114" i="14" s="1"/>
  <c r="Q1113" i="14"/>
  <c r="Q1112" i="14"/>
  <c r="Q1110" i="14"/>
  <c r="Q1109" i="14"/>
  <c r="Q1108" i="14"/>
  <c r="I1107" i="14"/>
  <c r="Q1106" i="14"/>
  <c r="Q1105" i="14"/>
  <c r="Q1103" i="14"/>
  <c r="Q1102" i="14"/>
  <c r="Q1101" i="14"/>
  <c r="I1100" i="14"/>
  <c r="Q1100" i="14" s="1"/>
  <c r="Q1099" i="14"/>
  <c r="Q1098" i="14"/>
  <c r="Q1096" i="14"/>
  <c r="Q1095" i="14"/>
  <c r="Q1094" i="14"/>
  <c r="Q1093" i="14"/>
  <c r="I1092" i="14"/>
  <c r="Q1092" i="14" s="1"/>
  <c r="Q1091" i="14"/>
  <c r="Q1090" i="14"/>
  <c r="Q1088" i="14"/>
  <c r="Q1087" i="14"/>
  <c r="Q1086" i="14"/>
  <c r="I1085" i="14"/>
  <c r="Q1085" i="14" s="1"/>
  <c r="Q1084" i="14"/>
  <c r="Q1083" i="14"/>
  <c r="Q1081" i="14"/>
  <c r="Q1080" i="14"/>
  <c r="Q1079" i="14"/>
  <c r="I1078" i="14"/>
  <c r="Q1078" i="14" s="1"/>
  <c r="Q1077" i="14"/>
  <c r="Q1076" i="14"/>
  <c r="Q1074" i="14"/>
  <c r="Q1073" i="14"/>
  <c r="Q1072" i="14"/>
  <c r="I1071" i="14"/>
  <c r="Q1070" i="14"/>
  <c r="Q1069" i="14"/>
  <c r="Q1067" i="14"/>
  <c r="Q1066" i="14"/>
  <c r="Q1065" i="14"/>
  <c r="I1064" i="14"/>
  <c r="Q1063" i="14"/>
  <c r="Q1062" i="14"/>
  <c r="Q1060" i="14"/>
  <c r="Q1059" i="14"/>
  <c r="Q1058" i="14"/>
  <c r="Q1057" i="14"/>
  <c r="I1056" i="14"/>
  <c r="Q1056" i="14" s="1"/>
  <c r="Q1055" i="14"/>
  <c r="Q1054" i="14"/>
  <c r="I1051" i="14"/>
  <c r="Q1051" i="14" s="1"/>
  <c r="I1050" i="14"/>
  <c r="Q1050" i="14" s="1"/>
  <c r="I1049" i="14"/>
  <c r="K1049" i="14" s="1"/>
  <c r="I1048" i="14"/>
  <c r="I1047" i="14"/>
  <c r="K1047" i="14" s="1"/>
  <c r="Q1043" i="14"/>
  <c r="Q1042" i="14"/>
  <c r="Q1041" i="14"/>
  <c r="Q1040" i="14"/>
  <c r="Q1039" i="14"/>
  <c r="Q1038" i="14"/>
  <c r="Q1037" i="14"/>
  <c r="I1036" i="14"/>
  <c r="I1035" i="14"/>
  <c r="Q1035" i="14" s="1"/>
  <c r="I1034" i="14"/>
  <c r="Q1032" i="14"/>
  <c r="Q1031" i="14"/>
  <c r="Q1030" i="14"/>
  <c r="Q1029" i="14"/>
  <c r="I1028" i="14"/>
  <c r="Q1027" i="14"/>
  <c r="Q1026" i="14"/>
  <c r="Q1024" i="14"/>
  <c r="Q1023" i="14"/>
  <c r="Q1022" i="14"/>
  <c r="Q1021" i="14"/>
  <c r="I1020" i="14"/>
  <c r="Q1019" i="14"/>
  <c r="Q1018" i="14"/>
  <c r="Q1016" i="14"/>
  <c r="Q1015" i="14"/>
  <c r="Q1014" i="14"/>
  <c r="Q1013" i="14"/>
  <c r="I1012" i="14"/>
  <c r="Q1012" i="14" s="1"/>
  <c r="I1011" i="14"/>
  <c r="K1011" i="14" s="1"/>
  <c r="S1011" i="14" s="1"/>
  <c r="I1010" i="14"/>
  <c r="Q1008" i="14"/>
  <c r="Q1007" i="14"/>
  <c r="Q1006" i="14"/>
  <c r="Q1005" i="14"/>
  <c r="I1004" i="14"/>
  <c r="I1003" i="14"/>
  <c r="K1003" i="14" s="1"/>
  <c r="S1003" i="14" s="1"/>
  <c r="I1002" i="14"/>
  <c r="Q1000" i="14"/>
  <c r="Q999" i="14"/>
  <c r="Q998" i="14"/>
  <c r="Q997" i="14"/>
  <c r="I996" i="14"/>
  <c r="I995" i="14"/>
  <c r="K995" i="14" s="1"/>
  <c r="S995" i="14" s="1"/>
  <c r="I994" i="14"/>
  <c r="Q994" i="14" s="1"/>
  <c r="Q992" i="14"/>
  <c r="Q991" i="14"/>
  <c r="Q990" i="14"/>
  <c r="Q989" i="14"/>
  <c r="Q988" i="14"/>
  <c r="I987" i="14"/>
  <c r="Q987" i="14" s="1"/>
  <c r="I986" i="14"/>
  <c r="I985" i="14"/>
  <c r="Q985" i="14" s="1"/>
  <c r="Q983" i="14"/>
  <c r="Q982" i="14"/>
  <c r="Q981" i="14"/>
  <c r="Q980" i="14"/>
  <c r="I979" i="14"/>
  <c r="K979" i="14" s="1"/>
  <c r="S979" i="14" s="1"/>
  <c r="I978" i="14"/>
  <c r="I977" i="14"/>
  <c r="Q975" i="14"/>
  <c r="Q974" i="14"/>
  <c r="Q973" i="14"/>
  <c r="Q972" i="14"/>
  <c r="I971" i="14"/>
  <c r="Q970" i="14"/>
  <c r="Q969" i="14"/>
  <c r="Q967" i="14"/>
  <c r="Q966" i="14"/>
  <c r="Q965" i="14"/>
  <c r="I964" i="14"/>
  <c r="Q964" i="14" s="1"/>
  <c r="I963" i="14"/>
  <c r="I962" i="14"/>
  <c r="Q960" i="14"/>
  <c r="I959" i="14"/>
  <c r="Q959" i="14" s="1"/>
  <c r="I958" i="14"/>
  <c r="I957" i="14"/>
  <c r="Q956" i="14"/>
  <c r="Q955" i="14"/>
  <c r="Q953" i="14"/>
  <c r="Q952" i="14"/>
  <c r="I950" i="14"/>
  <c r="Q950" i="14" s="1"/>
  <c r="I949" i="14"/>
  <c r="Q949" i="14" s="1"/>
  <c r="I948" i="14"/>
  <c r="I947" i="14"/>
  <c r="Q947" i="14" s="1"/>
  <c r="I946" i="14"/>
  <c r="Q946" i="14" s="1"/>
  <c r="I945" i="14"/>
  <c r="I944" i="14"/>
  <c r="I943" i="14"/>
  <c r="Q939" i="14"/>
  <c r="I938" i="14"/>
  <c r="I934" i="14" s="1"/>
  <c r="Q937" i="14"/>
  <c r="Q936" i="14"/>
  <c r="Q935" i="14"/>
  <c r="I933" i="14"/>
  <c r="Q933" i="14" s="1"/>
  <c r="I932" i="14"/>
  <c r="Q931" i="14"/>
  <c r="Q930" i="14"/>
  <c r="Q929" i="14"/>
  <c r="Q928" i="14"/>
  <c r="Q927" i="14"/>
  <c r="I926" i="14"/>
  <c r="Q926" i="14" s="1"/>
  <c r="I925" i="14"/>
  <c r="K925" i="14" s="1"/>
  <c r="I924" i="14"/>
  <c r="Q922" i="14"/>
  <c r="Q921" i="14"/>
  <c r="Q920" i="14"/>
  <c r="Q919" i="14"/>
  <c r="Q918" i="14"/>
  <c r="Q917" i="14"/>
  <c r="Q916" i="14"/>
  <c r="I915" i="14"/>
  <c r="I914" i="14"/>
  <c r="I913" i="14"/>
  <c r="Q913" i="14" s="1"/>
  <c r="Q912" i="14"/>
  <c r="Q911" i="14"/>
  <c r="Q910" i="14"/>
  <c r="Q909" i="14"/>
  <c r="Q908" i="14"/>
  <c r="Q907" i="14"/>
  <c r="Q906" i="14"/>
  <c r="I905" i="14"/>
  <c r="Q905" i="14" s="1"/>
  <c r="I904" i="14"/>
  <c r="Q904" i="14" s="1"/>
  <c r="I903" i="14"/>
  <c r="Q901" i="14"/>
  <c r="Q900" i="14"/>
  <c r="Q899" i="14"/>
  <c r="Q898" i="14"/>
  <c r="Q897" i="14"/>
  <c r="Q896" i="14"/>
  <c r="I895" i="14"/>
  <c r="Q895" i="14" s="1"/>
  <c r="I894" i="14"/>
  <c r="I893" i="14"/>
  <c r="Q893" i="14" s="1"/>
  <c r="Q892" i="14"/>
  <c r="Q891" i="14"/>
  <c r="Q890" i="14"/>
  <c r="Q889" i="14"/>
  <c r="Q888" i="14"/>
  <c r="Q887" i="14"/>
  <c r="I886" i="14"/>
  <c r="Q886" i="14" s="1"/>
  <c r="I885" i="14"/>
  <c r="I884" i="14"/>
  <c r="K884" i="14" s="1"/>
  <c r="M882" i="14"/>
  <c r="M881" i="14" s="1"/>
  <c r="M880" i="14" s="1"/>
  <c r="Q879" i="14"/>
  <c r="Q878" i="14"/>
  <c r="Q877" i="14"/>
  <c r="Q876" i="14"/>
  <c r="Q875" i="14"/>
  <c r="Q874" i="14"/>
  <c r="Q873" i="14"/>
  <c r="I872" i="14"/>
  <c r="Q872" i="14" s="1"/>
  <c r="I871" i="14"/>
  <c r="Q871" i="14" s="1"/>
  <c r="I870" i="14"/>
  <c r="Q870" i="14" s="1"/>
  <c r="Q869" i="14"/>
  <c r="Q868" i="14"/>
  <c r="Q867" i="14"/>
  <c r="Q866" i="14"/>
  <c r="Q865" i="14"/>
  <c r="Q864" i="14"/>
  <c r="I863" i="14"/>
  <c r="I862" i="14"/>
  <c r="Q862" i="14" s="1"/>
  <c r="I861" i="14"/>
  <c r="K861" i="14" s="1"/>
  <c r="Q859" i="14"/>
  <c r="M858" i="14"/>
  <c r="Q856" i="14"/>
  <c r="Q855" i="14"/>
  <c r="Q854" i="14"/>
  <c r="Q853" i="14"/>
  <c r="Q852" i="14"/>
  <c r="Q851" i="14"/>
  <c r="I850" i="14"/>
  <c r="I849" i="14"/>
  <c r="I848" i="14"/>
  <c r="K848" i="14" s="1"/>
  <c r="Q847" i="14"/>
  <c r="Q846" i="14"/>
  <c r="Q845" i="14"/>
  <c r="Q844" i="14"/>
  <c r="Q843" i="14"/>
  <c r="Q842" i="14"/>
  <c r="I841" i="14"/>
  <c r="Q841" i="14" s="1"/>
  <c r="I840" i="14"/>
  <c r="K840" i="14" s="1"/>
  <c r="I839" i="14"/>
  <c r="Q839" i="14" s="1"/>
  <c r="Q837" i="14"/>
  <c r="Q836" i="14"/>
  <c r="Q835" i="14"/>
  <c r="Q834" i="14"/>
  <c r="Q833" i="14"/>
  <c r="Q832" i="14"/>
  <c r="Q831" i="14"/>
  <c r="I830" i="14"/>
  <c r="I829" i="14"/>
  <c r="K829" i="14" s="1"/>
  <c r="S829" i="14" s="1"/>
  <c r="I828" i="14"/>
  <c r="Q826" i="14"/>
  <c r="Q825" i="14"/>
  <c r="Q824" i="14"/>
  <c r="Q823" i="14"/>
  <c r="Q822" i="14"/>
  <c r="Q821" i="14"/>
  <c r="I820" i="14"/>
  <c r="I819" i="14"/>
  <c r="K819" i="14" s="1"/>
  <c r="I818" i="14"/>
  <c r="Q818" i="14" s="1"/>
  <c r="M816" i="14"/>
  <c r="Q816" i="14" s="1"/>
  <c r="Q813" i="14"/>
  <c r="I812" i="14"/>
  <c r="Q811" i="14"/>
  <c r="Q810" i="14"/>
  <c r="Q809" i="14"/>
  <c r="Q808" i="14"/>
  <c r="I806" i="14"/>
  <c r="Q806" i="14" s="1"/>
  <c r="I805" i="14"/>
  <c r="Q805" i="14" s="1"/>
  <c r="Q804" i="14"/>
  <c r="Q803" i="14"/>
  <c r="Q802" i="14"/>
  <c r="Q801" i="14"/>
  <c r="Q800" i="14"/>
  <c r="Q799" i="14"/>
  <c r="I798" i="14"/>
  <c r="I797" i="14"/>
  <c r="Q797" i="14" s="1"/>
  <c r="I796" i="14"/>
  <c r="Q796" i="14" s="1"/>
  <c r="Q794" i="14"/>
  <c r="I793" i="14"/>
  <c r="Q793" i="14" s="1"/>
  <c r="I792" i="14"/>
  <c r="K792" i="14" s="1"/>
  <c r="Q791" i="14"/>
  <c r="I790" i="14"/>
  <c r="I789" i="14"/>
  <c r="Q789" i="14" s="1"/>
  <c r="Q788" i="14"/>
  <c r="I786" i="14"/>
  <c r="I785" i="14"/>
  <c r="Q784" i="14"/>
  <c r="Q783" i="14"/>
  <c r="Q782" i="14"/>
  <c r="Q781" i="14"/>
  <c r="Q780" i="14"/>
  <c r="Q779" i="14"/>
  <c r="Q778" i="14"/>
  <c r="I777" i="14"/>
  <c r="I776" i="14"/>
  <c r="Q776" i="14" s="1"/>
  <c r="I775" i="14"/>
  <c r="K775" i="14" s="1"/>
  <c r="S775" i="14" s="1"/>
  <c r="Q773" i="14"/>
  <c r="Q772" i="14"/>
  <c r="Q771" i="14"/>
  <c r="Q770" i="14"/>
  <c r="I769" i="14"/>
  <c r="Q769" i="14" s="1"/>
  <c r="I768" i="14"/>
  <c r="I766" i="14" s="1"/>
  <c r="Q766" i="14" s="1"/>
  <c r="I767" i="14"/>
  <c r="K767" i="14" s="1"/>
  <c r="S767" i="14" s="1"/>
  <c r="Q764" i="14"/>
  <c r="I763" i="14"/>
  <c r="Q763" i="14" s="1"/>
  <c r="Q760" i="14"/>
  <c r="Q759" i="14"/>
  <c r="Q758" i="14"/>
  <c r="Q757" i="14"/>
  <c r="Q756" i="14"/>
  <c r="Q755" i="14"/>
  <c r="I754" i="14"/>
  <c r="I753" i="14"/>
  <c r="K753" i="14" s="1"/>
  <c r="I752" i="14"/>
  <c r="Q752" i="14" s="1"/>
  <c r="Q750" i="14"/>
  <c r="Q749" i="14"/>
  <c r="Q748" i="14"/>
  <c r="Q747" i="14"/>
  <c r="Q746" i="14"/>
  <c r="Q745" i="14"/>
  <c r="I744" i="14"/>
  <c r="Q744" i="14" s="1"/>
  <c r="I743" i="14"/>
  <c r="K743" i="14" s="1"/>
  <c r="I742" i="14"/>
  <c r="Q742" i="14" s="1"/>
  <c r="Q740" i="14"/>
  <c r="Q739" i="14"/>
  <c r="Q738" i="14"/>
  <c r="Q737" i="14"/>
  <c r="I736" i="14"/>
  <c r="I735" i="14"/>
  <c r="K735" i="14" s="1"/>
  <c r="S735" i="14" s="1"/>
  <c r="I734" i="14"/>
  <c r="Q734" i="14" s="1"/>
  <c r="Q732" i="14"/>
  <c r="Q731" i="14"/>
  <c r="Q730" i="14"/>
  <c r="Q729" i="14"/>
  <c r="I728" i="14"/>
  <c r="Q728" i="14" s="1"/>
  <c r="I727" i="14"/>
  <c r="Q727" i="14" s="1"/>
  <c r="I726" i="14"/>
  <c r="Q726" i="14" s="1"/>
  <c r="Q724" i="14"/>
  <c r="Q723" i="14"/>
  <c r="Q722" i="14"/>
  <c r="Q721" i="14"/>
  <c r="I720" i="14"/>
  <c r="Q720" i="14" s="1"/>
  <c r="I719" i="14"/>
  <c r="K719" i="14" s="1"/>
  <c r="I718" i="14"/>
  <c r="Q718" i="14" s="1"/>
  <c r="Q716" i="14"/>
  <c r="Q715" i="14"/>
  <c r="Q714" i="14"/>
  <c r="Q713" i="14"/>
  <c r="I712" i="14"/>
  <c r="K712" i="14" s="1"/>
  <c r="I711" i="14"/>
  <c r="K711" i="14" s="1"/>
  <c r="I710" i="14"/>
  <c r="Q710" i="14" s="1"/>
  <c r="M708" i="14"/>
  <c r="Q708" i="14" s="1"/>
  <c r="Q705" i="14"/>
  <c r="Q704" i="14"/>
  <c r="Q703" i="14"/>
  <c r="Q702" i="14"/>
  <c r="Q701" i="14"/>
  <c r="I700" i="14"/>
  <c r="I699" i="14"/>
  <c r="Q699" i="14" s="1"/>
  <c r="I698" i="14"/>
  <c r="K698" i="14" s="1"/>
  <c r="Q696" i="14"/>
  <c r="Q695" i="14"/>
  <c r="Q694" i="14"/>
  <c r="Q693" i="14"/>
  <c r="Q692" i="14"/>
  <c r="I691" i="14"/>
  <c r="I690" i="14"/>
  <c r="K690" i="14" s="1"/>
  <c r="S690" i="14" s="1"/>
  <c r="I689" i="14"/>
  <c r="Q689" i="14" s="1"/>
  <c r="Q687" i="14"/>
  <c r="Q686" i="14"/>
  <c r="Q685" i="14"/>
  <c r="Q684" i="14"/>
  <c r="Q683" i="14"/>
  <c r="I682" i="14"/>
  <c r="Q682" i="14" s="1"/>
  <c r="I681" i="14"/>
  <c r="I680" i="14"/>
  <c r="Q680" i="14" s="1"/>
  <c r="Q678" i="14"/>
  <c r="Q677" i="14"/>
  <c r="Q676" i="14"/>
  <c r="Q675" i="14"/>
  <c r="Q674" i="14"/>
  <c r="I673" i="14"/>
  <c r="I672" i="14"/>
  <c r="Q672" i="14" s="1"/>
  <c r="I671" i="14"/>
  <c r="Q671" i="14" s="1"/>
  <c r="Q669" i="14"/>
  <c r="Q668" i="14"/>
  <c r="Q667" i="14"/>
  <c r="Q666" i="14"/>
  <c r="Q665" i="14"/>
  <c r="I664" i="14"/>
  <c r="Q664" i="14" s="1"/>
  <c r="I663" i="14"/>
  <c r="I662" i="14"/>
  <c r="K662" i="14" s="1"/>
  <c r="Q660" i="14"/>
  <c r="Q659" i="14"/>
  <c r="Q658" i="14"/>
  <c r="Q657" i="14"/>
  <c r="I656" i="14"/>
  <c r="Q656" i="14" s="1"/>
  <c r="I655" i="14"/>
  <c r="I654" i="14"/>
  <c r="K654" i="14" s="1"/>
  <c r="S654" i="14" s="1"/>
  <c r="Q652" i="14"/>
  <c r="I651" i="14"/>
  <c r="K651" i="14" s="1"/>
  <c r="Q650" i="14"/>
  <c r="Q649" i="14"/>
  <c r="I647" i="14"/>
  <c r="Q647" i="14" s="1"/>
  <c r="I646" i="14"/>
  <c r="Q644" i="14"/>
  <c r="Q643" i="14"/>
  <c r="Q642" i="14"/>
  <c r="Q641" i="14"/>
  <c r="Q640" i="14"/>
  <c r="I639" i="14"/>
  <c r="Q639" i="14" s="1"/>
  <c r="I638" i="14"/>
  <c r="Q638" i="14" s="1"/>
  <c r="I637" i="14"/>
  <c r="Q637" i="14" s="1"/>
  <c r="Q635" i="14"/>
  <c r="Q634" i="14"/>
  <c r="Q633" i="14"/>
  <c r="Q632" i="14"/>
  <c r="Q631" i="14"/>
  <c r="I630" i="14"/>
  <c r="Q630" i="14" s="1"/>
  <c r="I629" i="14"/>
  <c r="Q629" i="14" s="1"/>
  <c r="I628" i="14"/>
  <c r="Q628" i="14" s="1"/>
  <c r="M625" i="14"/>
  <c r="O625" i="14" s="1"/>
  <c r="Q622" i="14"/>
  <c r="Q621" i="14"/>
  <c r="Q620" i="14"/>
  <c r="Q619" i="14"/>
  <c r="Q618" i="14"/>
  <c r="Q617" i="14"/>
  <c r="I616" i="14"/>
  <c r="Q616" i="14" s="1"/>
  <c r="I615" i="14"/>
  <c r="I614" i="14"/>
  <c r="Q614" i="14" s="1"/>
  <c r="I612" i="14"/>
  <c r="K612" i="14" s="1"/>
  <c r="I611" i="14"/>
  <c r="Q611" i="14" s="1"/>
  <c r="I610" i="14"/>
  <c r="I609" i="14"/>
  <c r="I608" i="14"/>
  <c r="I607" i="14"/>
  <c r="K607" i="14" s="1"/>
  <c r="I606" i="14"/>
  <c r="I605" i="14"/>
  <c r="Q603" i="14"/>
  <c r="I602" i="14"/>
  <c r="Q602" i="14" s="1"/>
  <c r="I600" i="14"/>
  <c r="Q600" i="14" s="1"/>
  <c r="B598" i="14"/>
  <c r="B599" i="14" s="1"/>
  <c r="B600" i="14" s="1"/>
  <c r="B601" i="14" s="1"/>
  <c r="B602" i="14" s="1"/>
  <c r="B603" i="14" s="1"/>
  <c r="B604" i="14" s="1"/>
  <c r="B605" i="14" s="1"/>
  <c r="B606" i="14" s="1"/>
  <c r="B607" i="14" s="1"/>
  <c r="B608" i="14" s="1"/>
  <c r="B609" i="14" s="1"/>
  <c r="B610" i="14" s="1"/>
  <c r="B611" i="14" s="1"/>
  <c r="B612" i="14" s="1"/>
  <c r="B613" i="14" s="1"/>
  <c r="B614" i="14" s="1"/>
  <c r="B615" i="14" s="1"/>
  <c r="B616" i="14" s="1"/>
  <c r="B617" i="14" s="1"/>
  <c r="B618" i="14" s="1"/>
  <c r="B619" i="14" s="1"/>
  <c r="B620" i="14" s="1"/>
  <c r="B621" i="14" s="1"/>
  <c r="B622" i="14" s="1"/>
  <c r="B623" i="14" s="1"/>
  <c r="B624" i="14" s="1"/>
  <c r="B625" i="14" s="1"/>
  <c r="B626" i="14" s="1"/>
  <c r="B627" i="14" s="1"/>
  <c r="B628" i="14" s="1"/>
  <c r="B629" i="14" s="1"/>
  <c r="B630" i="14" s="1"/>
  <c r="B631" i="14" s="1"/>
  <c r="B632" i="14" s="1"/>
  <c r="B633" i="14" s="1"/>
  <c r="B634" i="14" s="1"/>
  <c r="B635" i="14" s="1"/>
  <c r="B636" i="14" s="1"/>
  <c r="B637" i="14" s="1"/>
  <c r="B638" i="14" s="1"/>
  <c r="B639" i="14" s="1"/>
  <c r="B640" i="14" s="1"/>
  <c r="B641" i="14" s="1"/>
  <c r="B642" i="14" s="1"/>
  <c r="B643" i="14" s="1"/>
  <c r="B644" i="14" s="1"/>
  <c r="B645" i="14" s="1"/>
  <c r="B646" i="14" s="1"/>
  <c r="B647" i="14" s="1"/>
  <c r="B648" i="14" s="1"/>
  <c r="B649" i="14" s="1"/>
  <c r="B650" i="14" s="1"/>
  <c r="B651" i="14" s="1"/>
  <c r="B652" i="14" s="1"/>
  <c r="B653" i="14" s="1"/>
  <c r="B654" i="14" s="1"/>
  <c r="B655" i="14" s="1"/>
  <c r="B656" i="14" s="1"/>
  <c r="B657" i="14" s="1"/>
  <c r="B658" i="14" s="1"/>
  <c r="B659" i="14" s="1"/>
  <c r="B660" i="14" s="1"/>
  <c r="B661" i="14" s="1"/>
  <c r="B662" i="14" s="1"/>
  <c r="B663" i="14" s="1"/>
  <c r="B664" i="14" s="1"/>
  <c r="B665" i="14" s="1"/>
  <c r="B666" i="14" s="1"/>
  <c r="B667" i="14" s="1"/>
  <c r="B668" i="14" s="1"/>
  <c r="B669" i="14" s="1"/>
  <c r="B670" i="14" s="1"/>
  <c r="B671" i="14" s="1"/>
  <c r="B672" i="14" s="1"/>
  <c r="B673" i="14" s="1"/>
  <c r="B674" i="14" s="1"/>
  <c r="B675" i="14" s="1"/>
  <c r="B676" i="14" s="1"/>
  <c r="B677" i="14" s="1"/>
  <c r="B678" i="14" s="1"/>
  <c r="B679" i="14" s="1"/>
  <c r="B680" i="14" s="1"/>
  <c r="B681" i="14" s="1"/>
  <c r="B682" i="14" s="1"/>
  <c r="B683" i="14" s="1"/>
  <c r="B684" i="14" s="1"/>
  <c r="B685" i="14" s="1"/>
  <c r="B686" i="14" s="1"/>
  <c r="B687" i="14" s="1"/>
  <c r="B688" i="14" s="1"/>
  <c r="B689" i="14" s="1"/>
  <c r="B690" i="14" s="1"/>
  <c r="B691" i="14" s="1"/>
  <c r="B692" i="14" s="1"/>
  <c r="B693" i="14" s="1"/>
  <c r="B694" i="14" s="1"/>
  <c r="B695" i="14" s="1"/>
  <c r="B696" i="14" s="1"/>
  <c r="B697" i="14" s="1"/>
  <c r="B698" i="14" s="1"/>
  <c r="B699" i="14" s="1"/>
  <c r="B700" i="14" s="1"/>
  <c r="B701" i="14" s="1"/>
  <c r="B702" i="14" s="1"/>
  <c r="B703" i="14" s="1"/>
  <c r="B704" i="14" s="1"/>
  <c r="B705" i="14" s="1"/>
  <c r="B706" i="14" s="1"/>
  <c r="B707" i="14" s="1"/>
  <c r="B708" i="14" s="1"/>
  <c r="B709" i="14" s="1"/>
  <c r="B710" i="14" s="1"/>
  <c r="B711" i="14" s="1"/>
  <c r="B712" i="14" s="1"/>
  <c r="B713" i="14" s="1"/>
  <c r="B714" i="14" s="1"/>
  <c r="B715" i="14" s="1"/>
  <c r="B716" i="14" s="1"/>
  <c r="B717" i="14" s="1"/>
  <c r="B718" i="14" s="1"/>
  <c r="B719" i="14" s="1"/>
  <c r="B720" i="14" s="1"/>
  <c r="B721" i="14" s="1"/>
  <c r="B722" i="14" s="1"/>
  <c r="B723" i="14" s="1"/>
  <c r="B724" i="14" s="1"/>
  <c r="B725" i="14" s="1"/>
  <c r="B726" i="14" s="1"/>
  <c r="B727" i="14" s="1"/>
  <c r="B728" i="14" s="1"/>
  <c r="B729" i="14" s="1"/>
  <c r="B730" i="14" s="1"/>
  <c r="B731" i="14" s="1"/>
  <c r="B732" i="14" s="1"/>
  <c r="B733" i="14" s="1"/>
  <c r="B734" i="14" s="1"/>
  <c r="B735" i="14" s="1"/>
  <c r="B736" i="14" s="1"/>
  <c r="B737" i="14" s="1"/>
  <c r="B738" i="14" s="1"/>
  <c r="B739" i="14" s="1"/>
  <c r="B740" i="14" s="1"/>
  <c r="B741" i="14" s="1"/>
  <c r="B742" i="14" s="1"/>
  <c r="B743" i="14" s="1"/>
  <c r="B744" i="14" s="1"/>
  <c r="B745" i="14" s="1"/>
  <c r="B746" i="14" s="1"/>
  <c r="B747" i="14" s="1"/>
  <c r="B748" i="14" s="1"/>
  <c r="B749" i="14" s="1"/>
  <c r="B750" i="14" s="1"/>
  <c r="B751" i="14" s="1"/>
  <c r="B752" i="14" s="1"/>
  <c r="B753" i="14" s="1"/>
  <c r="B754" i="14" s="1"/>
  <c r="B755" i="14" s="1"/>
  <c r="B756" i="14" s="1"/>
  <c r="B757" i="14" s="1"/>
  <c r="B758" i="14" s="1"/>
  <c r="B759" i="14" s="1"/>
  <c r="B760" i="14" s="1"/>
  <c r="B761" i="14" s="1"/>
  <c r="B762" i="14" s="1"/>
  <c r="B763" i="14" s="1"/>
  <c r="B764" i="14" s="1"/>
  <c r="B765" i="14" s="1"/>
  <c r="B766" i="14" s="1"/>
  <c r="B767" i="14" s="1"/>
  <c r="B768" i="14" s="1"/>
  <c r="B769" i="14" s="1"/>
  <c r="B770" i="14" s="1"/>
  <c r="B771" i="14" s="1"/>
  <c r="B772" i="14" s="1"/>
  <c r="B773" i="14" s="1"/>
  <c r="B774" i="14" s="1"/>
  <c r="B775" i="14" s="1"/>
  <c r="B776" i="14" s="1"/>
  <c r="B777" i="14" s="1"/>
  <c r="B778" i="14" s="1"/>
  <c r="B779" i="14" s="1"/>
  <c r="B780" i="14" s="1"/>
  <c r="B781" i="14" s="1"/>
  <c r="B782" i="14" s="1"/>
  <c r="B783" i="14" s="1"/>
  <c r="B784" i="14" s="1"/>
  <c r="B785" i="14" s="1"/>
  <c r="B786" i="14" s="1"/>
  <c r="B787" i="14" s="1"/>
  <c r="B788" i="14" s="1"/>
  <c r="B789" i="14" s="1"/>
  <c r="B790" i="14" s="1"/>
  <c r="B791" i="14" s="1"/>
  <c r="B792" i="14" s="1"/>
  <c r="B793" i="14" s="1"/>
  <c r="B794" i="14" s="1"/>
  <c r="B795" i="14" s="1"/>
  <c r="B796" i="14" s="1"/>
  <c r="B797" i="14" s="1"/>
  <c r="B798" i="14" s="1"/>
  <c r="B799" i="14" s="1"/>
  <c r="B800" i="14" s="1"/>
  <c r="B801" i="14" s="1"/>
  <c r="B802" i="14" s="1"/>
  <c r="B803" i="14" s="1"/>
  <c r="B804" i="14" s="1"/>
  <c r="B805" i="14" s="1"/>
  <c r="B806" i="14" s="1"/>
  <c r="B807" i="14" s="1"/>
  <c r="B808" i="14" s="1"/>
  <c r="B809" i="14" s="1"/>
  <c r="B810" i="14" s="1"/>
  <c r="B811" i="14" s="1"/>
  <c r="B812" i="14" s="1"/>
  <c r="B813" i="14" s="1"/>
  <c r="B814" i="14" s="1"/>
  <c r="B815" i="14" s="1"/>
  <c r="B816" i="14" s="1"/>
  <c r="B817" i="14" s="1"/>
  <c r="B818" i="14" s="1"/>
  <c r="B819" i="14" s="1"/>
  <c r="B820" i="14" s="1"/>
  <c r="B821" i="14" s="1"/>
  <c r="B822" i="14" s="1"/>
  <c r="B823" i="14" s="1"/>
  <c r="B824" i="14" s="1"/>
  <c r="B825" i="14" s="1"/>
  <c r="B826" i="14" s="1"/>
  <c r="B827" i="14" s="1"/>
  <c r="B828" i="14" s="1"/>
  <c r="B829" i="14" s="1"/>
  <c r="B830" i="14" s="1"/>
  <c r="B831" i="14" s="1"/>
  <c r="B832" i="14" s="1"/>
  <c r="B833" i="14" s="1"/>
  <c r="B834" i="14" s="1"/>
  <c r="B835" i="14" s="1"/>
  <c r="B836" i="14" s="1"/>
  <c r="B837" i="14" s="1"/>
  <c r="B838" i="14" s="1"/>
  <c r="B839" i="14" s="1"/>
  <c r="B840" i="14" s="1"/>
  <c r="B841" i="14" s="1"/>
  <c r="B842" i="14" s="1"/>
  <c r="B843" i="14" s="1"/>
  <c r="B844" i="14" s="1"/>
  <c r="B845" i="14" s="1"/>
  <c r="B846" i="14" s="1"/>
  <c r="B847" i="14" s="1"/>
  <c r="B848" i="14" s="1"/>
  <c r="B849" i="14" s="1"/>
  <c r="B850" i="14" s="1"/>
  <c r="B851" i="14" s="1"/>
  <c r="B852" i="14" s="1"/>
  <c r="B853" i="14" s="1"/>
  <c r="B854" i="14" s="1"/>
  <c r="B855" i="14" s="1"/>
  <c r="B856" i="14" s="1"/>
  <c r="B857" i="14" s="1"/>
  <c r="B858" i="14" s="1"/>
  <c r="B859" i="14" s="1"/>
  <c r="B860" i="14" s="1"/>
  <c r="B861" i="14" s="1"/>
  <c r="B862" i="14" s="1"/>
  <c r="B863" i="14" s="1"/>
  <c r="B864" i="14" s="1"/>
  <c r="B865" i="14" s="1"/>
  <c r="B866" i="14" s="1"/>
  <c r="B867" i="14" s="1"/>
  <c r="B868" i="14" s="1"/>
  <c r="B869" i="14" s="1"/>
  <c r="B870" i="14" s="1"/>
  <c r="B871" i="14" s="1"/>
  <c r="B872" i="14" s="1"/>
  <c r="B873" i="14" s="1"/>
  <c r="B874" i="14" s="1"/>
  <c r="B875" i="14" s="1"/>
  <c r="B876" i="14" s="1"/>
  <c r="B877" i="14" s="1"/>
  <c r="B878" i="14" s="1"/>
  <c r="B879" i="14" s="1"/>
  <c r="B880" i="14" s="1"/>
  <c r="B881" i="14" s="1"/>
  <c r="B882" i="14" s="1"/>
  <c r="B883" i="14" s="1"/>
  <c r="B884" i="14" s="1"/>
  <c r="B885" i="14" s="1"/>
  <c r="B886" i="14" s="1"/>
  <c r="B887" i="14" s="1"/>
  <c r="B888" i="14" s="1"/>
  <c r="B889" i="14" s="1"/>
  <c r="B890" i="14" s="1"/>
  <c r="B891" i="14" s="1"/>
  <c r="B892" i="14" s="1"/>
  <c r="B893" i="14" s="1"/>
  <c r="B894" i="14" s="1"/>
  <c r="B895" i="14" s="1"/>
  <c r="B896" i="14" s="1"/>
  <c r="B897" i="14" s="1"/>
  <c r="B898" i="14" s="1"/>
  <c r="B899" i="14" s="1"/>
  <c r="B900" i="14" s="1"/>
  <c r="B901" i="14" s="1"/>
  <c r="B902" i="14" s="1"/>
  <c r="B903" i="14" s="1"/>
  <c r="B904" i="14" s="1"/>
  <c r="B905" i="14" s="1"/>
  <c r="B906" i="14" s="1"/>
  <c r="B907" i="14" s="1"/>
  <c r="B908" i="14" s="1"/>
  <c r="B909" i="14" s="1"/>
  <c r="B910" i="14" s="1"/>
  <c r="B911" i="14" s="1"/>
  <c r="B912" i="14" s="1"/>
  <c r="B913" i="14" s="1"/>
  <c r="B914" i="14" s="1"/>
  <c r="B915" i="14" s="1"/>
  <c r="B916" i="14" s="1"/>
  <c r="B917" i="14" s="1"/>
  <c r="B918" i="14" s="1"/>
  <c r="B919" i="14" s="1"/>
  <c r="B920" i="14" s="1"/>
  <c r="B921" i="14" s="1"/>
  <c r="B922" i="14" s="1"/>
  <c r="B923" i="14" s="1"/>
  <c r="B924" i="14" s="1"/>
  <c r="B925" i="14" s="1"/>
  <c r="B926" i="14" s="1"/>
  <c r="B927" i="14" s="1"/>
  <c r="B928" i="14" s="1"/>
  <c r="B929" i="14" s="1"/>
  <c r="B930" i="14" s="1"/>
  <c r="B931" i="14" s="1"/>
  <c r="B932" i="14" s="1"/>
  <c r="B933" i="14" s="1"/>
  <c r="B934" i="14" s="1"/>
  <c r="B935" i="14" s="1"/>
  <c r="B936" i="14" s="1"/>
  <c r="B937" i="14" s="1"/>
  <c r="B938" i="14" s="1"/>
  <c r="B939" i="14" s="1"/>
  <c r="B940" i="14" s="1"/>
  <c r="B941" i="14" s="1"/>
  <c r="B942" i="14" s="1"/>
  <c r="B943" i="14" s="1"/>
  <c r="B944" i="14" s="1"/>
  <c r="B945" i="14" s="1"/>
  <c r="B946" i="14" s="1"/>
  <c r="B947" i="14" s="1"/>
  <c r="B948" i="14" s="1"/>
  <c r="B949" i="14" s="1"/>
  <c r="B950" i="14" s="1"/>
  <c r="B951" i="14" s="1"/>
  <c r="B952" i="14" s="1"/>
  <c r="B953" i="14" s="1"/>
  <c r="B954" i="14" s="1"/>
  <c r="B955" i="14" s="1"/>
  <c r="B956" i="14" s="1"/>
  <c r="B957" i="14" s="1"/>
  <c r="B958" i="14" s="1"/>
  <c r="B959" i="14" s="1"/>
  <c r="B960" i="14" s="1"/>
  <c r="B961" i="14" s="1"/>
  <c r="B962" i="14" s="1"/>
  <c r="B963" i="14" s="1"/>
  <c r="B964" i="14" s="1"/>
  <c r="B965" i="14" s="1"/>
  <c r="B966" i="14" s="1"/>
  <c r="B967" i="14" s="1"/>
  <c r="B968" i="14" s="1"/>
  <c r="B969" i="14" s="1"/>
  <c r="B970" i="14" s="1"/>
  <c r="B971" i="14" s="1"/>
  <c r="B972" i="14" s="1"/>
  <c r="B973" i="14" s="1"/>
  <c r="B974" i="14" s="1"/>
  <c r="B975" i="14" s="1"/>
  <c r="B976" i="14" s="1"/>
  <c r="B977" i="14" s="1"/>
  <c r="B978" i="14" s="1"/>
  <c r="B979" i="14" s="1"/>
  <c r="B980" i="14" s="1"/>
  <c r="B981" i="14" s="1"/>
  <c r="B982" i="14" s="1"/>
  <c r="B983" i="14" s="1"/>
  <c r="B984" i="14" s="1"/>
  <c r="B985" i="14" s="1"/>
  <c r="B986" i="14" s="1"/>
  <c r="B987" i="14" s="1"/>
  <c r="B988" i="14" s="1"/>
  <c r="B989" i="14" s="1"/>
  <c r="B990" i="14" s="1"/>
  <c r="B991" i="14" s="1"/>
  <c r="B992" i="14" s="1"/>
  <c r="B993" i="14" s="1"/>
  <c r="B994" i="14" s="1"/>
  <c r="B995" i="14" s="1"/>
  <c r="B996" i="14" s="1"/>
  <c r="B997" i="14" s="1"/>
  <c r="B998" i="14" s="1"/>
  <c r="B999" i="14" s="1"/>
  <c r="B1000" i="14" s="1"/>
  <c r="B1001" i="14" s="1"/>
  <c r="B1002" i="14" s="1"/>
  <c r="B1003" i="14" s="1"/>
  <c r="B1004" i="14" s="1"/>
  <c r="B1005" i="14" s="1"/>
  <c r="B1006" i="14" s="1"/>
  <c r="B1007" i="14" s="1"/>
  <c r="B1008" i="14" s="1"/>
  <c r="B1009" i="14" s="1"/>
  <c r="B1010" i="14" s="1"/>
  <c r="B1011" i="14" s="1"/>
  <c r="B1012" i="14" s="1"/>
  <c r="B1013" i="14" s="1"/>
  <c r="B1014" i="14" s="1"/>
  <c r="B1015" i="14" s="1"/>
  <c r="B1016" i="14" s="1"/>
  <c r="B1017" i="14" s="1"/>
  <c r="B1018" i="14" s="1"/>
  <c r="B1019" i="14" s="1"/>
  <c r="B1020" i="14" s="1"/>
  <c r="B1021" i="14" s="1"/>
  <c r="B1022" i="14" s="1"/>
  <c r="B1023" i="14" s="1"/>
  <c r="B1024" i="14" s="1"/>
  <c r="B1025" i="14" s="1"/>
  <c r="B1026" i="14" s="1"/>
  <c r="B1027" i="14" s="1"/>
  <c r="B1028" i="14" s="1"/>
  <c r="B1029" i="14" s="1"/>
  <c r="B1030" i="14" s="1"/>
  <c r="B1031" i="14" s="1"/>
  <c r="B1032" i="14" s="1"/>
  <c r="B1033" i="14" s="1"/>
  <c r="B1034" i="14" s="1"/>
  <c r="B1035" i="14" s="1"/>
  <c r="B1036" i="14" s="1"/>
  <c r="B1037" i="14" s="1"/>
  <c r="B1038" i="14" s="1"/>
  <c r="B1039" i="14" s="1"/>
  <c r="B1040" i="14" s="1"/>
  <c r="B1041" i="14" s="1"/>
  <c r="B1042" i="14" s="1"/>
  <c r="B1043" i="14" s="1"/>
  <c r="B1044" i="14" s="1"/>
  <c r="B1045" i="14" s="1"/>
  <c r="B1046" i="14" s="1"/>
  <c r="B1047" i="14" s="1"/>
  <c r="B1048" i="14" s="1"/>
  <c r="B1049" i="14" s="1"/>
  <c r="B1050" i="14" s="1"/>
  <c r="B1051" i="14" s="1"/>
  <c r="B1052" i="14" s="1"/>
  <c r="B1053" i="14" s="1"/>
  <c r="B1054" i="14" s="1"/>
  <c r="B1055" i="14" s="1"/>
  <c r="B1056" i="14" s="1"/>
  <c r="B1057" i="14" s="1"/>
  <c r="B1058" i="14" s="1"/>
  <c r="B1059" i="14" s="1"/>
  <c r="B1060" i="14" s="1"/>
  <c r="B1061" i="14" s="1"/>
  <c r="B1062" i="14" s="1"/>
  <c r="B1063" i="14" s="1"/>
  <c r="B1064" i="14" s="1"/>
  <c r="B1065" i="14" s="1"/>
  <c r="B1066" i="14" s="1"/>
  <c r="B1067" i="14" s="1"/>
  <c r="B1068" i="14" s="1"/>
  <c r="B1069" i="14" s="1"/>
  <c r="B1070" i="14" s="1"/>
  <c r="B1071" i="14" s="1"/>
  <c r="B1072" i="14" s="1"/>
  <c r="B1073" i="14" s="1"/>
  <c r="B1074" i="14" s="1"/>
  <c r="B1075" i="14" s="1"/>
  <c r="B1076" i="14" s="1"/>
  <c r="B1077" i="14" s="1"/>
  <c r="B1078" i="14" s="1"/>
  <c r="B1079" i="14" s="1"/>
  <c r="B1080" i="14" s="1"/>
  <c r="B1081" i="14" s="1"/>
  <c r="B1082" i="14" s="1"/>
  <c r="B1083" i="14" s="1"/>
  <c r="B1084" i="14" s="1"/>
  <c r="B1085" i="14" s="1"/>
  <c r="B1086" i="14" s="1"/>
  <c r="B1087" i="14" s="1"/>
  <c r="B1088" i="14" s="1"/>
  <c r="B1089" i="14" s="1"/>
  <c r="B1090" i="14" s="1"/>
  <c r="B1091" i="14" s="1"/>
  <c r="B1092" i="14" s="1"/>
  <c r="B1093" i="14" s="1"/>
  <c r="B1094" i="14" s="1"/>
  <c r="B1095" i="14" s="1"/>
  <c r="B1096" i="14" s="1"/>
  <c r="B1097" i="14" s="1"/>
  <c r="B1098" i="14" s="1"/>
  <c r="B1099" i="14" s="1"/>
  <c r="B1100" i="14" s="1"/>
  <c r="B1101" i="14" s="1"/>
  <c r="B1102" i="14" s="1"/>
  <c r="B1103" i="14" s="1"/>
  <c r="B1104" i="14" s="1"/>
  <c r="B1105" i="14" s="1"/>
  <c r="B1106" i="14" s="1"/>
  <c r="B1107" i="14" s="1"/>
  <c r="B1108" i="14" s="1"/>
  <c r="B1109" i="14" s="1"/>
  <c r="B1110" i="14" s="1"/>
  <c r="B1111" i="14" s="1"/>
  <c r="B1112" i="14" s="1"/>
  <c r="B1113" i="14" s="1"/>
  <c r="B1114" i="14" s="1"/>
  <c r="B1115" i="14" s="1"/>
  <c r="B1116" i="14" s="1"/>
  <c r="B1117" i="14" s="1"/>
  <c r="B1118" i="14" s="1"/>
  <c r="B1119" i="14" s="1"/>
  <c r="B1120" i="14" s="1"/>
  <c r="B1121" i="14" s="1"/>
  <c r="B1122" i="14" s="1"/>
  <c r="B1123" i="14" s="1"/>
  <c r="B1124" i="14" s="1"/>
  <c r="B1125" i="14" s="1"/>
  <c r="B1126" i="14" s="1"/>
  <c r="B1127" i="14" s="1"/>
  <c r="B1128" i="14" s="1"/>
  <c r="B1129" i="14" s="1"/>
  <c r="B1130" i="14" s="1"/>
  <c r="B1131" i="14" s="1"/>
  <c r="B1132" i="14" s="1"/>
  <c r="B1133" i="14" s="1"/>
  <c r="B1134" i="14" s="1"/>
  <c r="B1135" i="14" s="1"/>
  <c r="B1136" i="14" s="1"/>
  <c r="B1137" i="14" s="1"/>
  <c r="B1138" i="14" s="1"/>
  <c r="B1139" i="14" s="1"/>
  <c r="B1140" i="14" s="1"/>
  <c r="B1141" i="14" s="1"/>
  <c r="B1142" i="14" s="1"/>
  <c r="B1143" i="14" s="1"/>
  <c r="B1144" i="14" s="1"/>
  <c r="B1145" i="14" s="1"/>
  <c r="B1146" i="14" s="1"/>
  <c r="B1147" i="14" s="1"/>
  <c r="B1148" i="14" s="1"/>
  <c r="B1149" i="14" s="1"/>
  <c r="B1150" i="14" s="1"/>
  <c r="B1151" i="14" s="1"/>
  <c r="B1152" i="14" s="1"/>
  <c r="B1153" i="14" s="1"/>
  <c r="B1154" i="14" s="1"/>
  <c r="B1155" i="14" s="1"/>
  <c r="B1156" i="14" s="1"/>
  <c r="B1157" i="14" s="1"/>
  <c r="B1158" i="14" s="1"/>
  <c r="B1159" i="14" s="1"/>
  <c r="B1160" i="14" s="1"/>
  <c r="B1161" i="14" s="1"/>
  <c r="B1162" i="14" s="1"/>
  <c r="B1163" i="14" s="1"/>
  <c r="B1164" i="14" s="1"/>
  <c r="B1165" i="14" s="1"/>
  <c r="B1166" i="14" s="1"/>
  <c r="B1167" i="14" s="1"/>
  <c r="B1168" i="14" s="1"/>
  <c r="B1169" i="14" s="1"/>
  <c r="B1170" i="14" s="1"/>
  <c r="B1171" i="14" s="1"/>
  <c r="B1172" i="14" s="1"/>
  <c r="B1173" i="14" s="1"/>
  <c r="B1174" i="14" s="1"/>
  <c r="B1175" i="14" s="1"/>
  <c r="B1176" i="14" s="1"/>
  <c r="B1177" i="14" s="1"/>
  <c r="B1178" i="14" s="1"/>
  <c r="B1179" i="14" s="1"/>
  <c r="B1180" i="14" s="1"/>
  <c r="B1181" i="14" s="1"/>
  <c r="B1182" i="14" s="1"/>
  <c r="B1183" i="14" s="1"/>
  <c r="B1184" i="14" s="1"/>
  <c r="B1185" i="14" s="1"/>
  <c r="B1186" i="14" s="1"/>
  <c r="B1187" i="14" s="1"/>
  <c r="B1188" i="14" s="1"/>
  <c r="B1189" i="14" s="1"/>
  <c r="B1190" i="14" s="1"/>
  <c r="B1191" i="14" s="1"/>
  <c r="B1192" i="14" s="1"/>
  <c r="B1193" i="14" s="1"/>
  <c r="B1194" i="14" s="1"/>
  <c r="B1195" i="14" s="1"/>
  <c r="B1196" i="14" s="1"/>
  <c r="B1197" i="14" s="1"/>
  <c r="B1198" i="14" s="1"/>
  <c r="B1199" i="14" s="1"/>
  <c r="B1200" i="14" s="1"/>
  <c r="B1201" i="14" s="1"/>
  <c r="B1202" i="14" s="1"/>
  <c r="B1203" i="14" s="1"/>
  <c r="B1204" i="14" s="1"/>
  <c r="B1205" i="14" s="1"/>
  <c r="B1206" i="14" s="1"/>
  <c r="B1207" i="14" s="1"/>
  <c r="B1208" i="14" s="1"/>
  <c r="B1209" i="14" s="1"/>
  <c r="B1210" i="14" s="1"/>
  <c r="B1211" i="14" s="1"/>
  <c r="B1212" i="14" s="1"/>
  <c r="B1213" i="14" s="1"/>
  <c r="B1214" i="14" s="1"/>
  <c r="B1215" i="14" s="1"/>
  <c r="B1216" i="14" s="1"/>
  <c r="B1217" i="14" s="1"/>
  <c r="B1218" i="14" s="1"/>
  <c r="B1219" i="14" s="1"/>
  <c r="B1220" i="14" s="1"/>
  <c r="B1221" i="14" s="1"/>
  <c r="B1222" i="14" s="1"/>
  <c r="B1223" i="14" s="1"/>
  <c r="B1224" i="14" s="1"/>
  <c r="B1225" i="14" s="1"/>
  <c r="B1226" i="14" s="1"/>
  <c r="B1227" i="14" s="1"/>
  <c r="B1228" i="14" s="1"/>
  <c r="B1229" i="14" s="1"/>
  <c r="B1230" i="14" s="1"/>
  <c r="B1231" i="14" s="1"/>
  <c r="B1232" i="14" s="1"/>
  <c r="B1233" i="14" s="1"/>
  <c r="B1234" i="14" s="1"/>
  <c r="B1235" i="14" s="1"/>
  <c r="B1236" i="14" s="1"/>
  <c r="B1237" i="14" s="1"/>
  <c r="B1238" i="14" s="1"/>
  <c r="B1239" i="14" s="1"/>
  <c r="B1240" i="14" s="1"/>
  <c r="B1241" i="14" s="1"/>
  <c r="B1242" i="14" s="1"/>
  <c r="B1243" i="14" s="1"/>
  <c r="B1244" i="14" s="1"/>
  <c r="B1245" i="14" s="1"/>
  <c r="B1246" i="14" s="1"/>
  <c r="B1247" i="14" s="1"/>
  <c r="B1248" i="14" s="1"/>
  <c r="B1249" i="14" s="1"/>
  <c r="B1250" i="14" s="1"/>
  <c r="B1251" i="14" s="1"/>
  <c r="B1252" i="14" s="1"/>
  <c r="B1253" i="14" s="1"/>
  <c r="B1254" i="14" s="1"/>
  <c r="B1255" i="14" s="1"/>
  <c r="B1256" i="14" s="1"/>
  <c r="B1257" i="14" s="1"/>
  <c r="B1258" i="14" s="1"/>
  <c r="B1259" i="14" s="1"/>
  <c r="B1260" i="14" s="1"/>
  <c r="B1261" i="14" s="1"/>
  <c r="B1262" i="14" s="1"/>
  <c r="B1263" i="14" s="1"/>
  <c r="B1264" i="14" s="1"/>
  <c r="B1265" i="14" s="1"/>
  <c r="B1266" i="14" s="1"/>
  <c r="B1267" i="14" s="1"/>
  <c r="B1268" i="14" s="1"/>
  <c r="B1269" i="14" s="1"/>
  <c r="B1270" i="14" s="1"/>
  <c r="B1271" i="14" s="1"/>
  <c r="B1272" i="14" s="1"/>
  <c r="B1273" i="14" s="1"/>
  <c r="B1274" i="14" s="1"/>
  <c r="B1275" i="14" s="1"/>
  <c r="B1276" i="14" s="1"/>
  <c r="B1277" i="14" s="1"/>
  <c r="B1278" i="14" s="1"/>
  <c r="B1279" i="14" s="1"/>
  <c r="B1280" i="14" s="1"/>
  <c r="B1281" i="14" s="1"/>
  <c r="B1282" i="14" s="1"/>
  <c r="B1283" i="14" s="1"/>
  <c r="B1284" i="14" s="1"/>
  <c r="B1285" i="14" s="1"/>
  <c r="B1286" i="14" s="1"/>
  <c r="B1287" i="14" s="1"/>
  <c r="B1288" i="14" s="1"/>
  <c r="B1289" i="14" s="1"/>
  <c r="B1290" i="14" s="1"/>
  <c r="B1291" i="14" s="1"/>
  <c r="B1292" i="14" s="1"/>
  <c r="B1293" i="14" s="1"/>
  <c r="B1294" i="14" s="1"/>
  <c r="B1295" i="14" s="1"/>
  <c r="B1296" i="14" s="1"/>
  <c r="B1297" i="14" s="1"/>
  <c r="B1298" i="14" s="1"/>
  <c r="B1299" i="14" s="1"/>
  <c r="B1300" i="14" s="1"/>
  <c r="B1301" i="14" s="1"/>
  <c r="B1302" i="14" s="1"/>
  <c r="B1303" i="14" s="1"/>
  <c r="B1304" i="14" s="1"/>
  <c r="B1305" i="14" s="1"/>
  <c r="B1306" i="14" s="1"/>
  <c r="B1307" i="14" s="1"/>
  <c r="B1308" i="14" s="1"/>
  <c r="B1309" i="14" s="1"/>
  <c r="B1310" i="14" s="1"/>
  <c r="Q539" i="14"/>
  <c r="Q538" i="14"/>
  <c r="Q537" i="14"/>
  <c r="Q536" i="14"/>
  <c r="Q535" i="14"/>
  <c r="Q534" i="14"/>
  <c r="Q533" i="14"/>
  <c r="Q532" i="14"/>
  <c r="Q531" i="14"/>
  <c r="Q530" i="14"/>
  <c r="Q529" i="14"/>
  <c r="Q528" i="14"/>
  <c r="Q527" i="14"/>
  <c r="Q526" i="14"/>
  <c r="Q525" i="14"/>
  <c r="Q524" i="14"/>
  <c r="Q523" i="14"/>
  <c r="Q522" i="14"/>
  <c r="Q521" i="14"/>
  <c r="Q520" i="14"/>
  <c r="Q519" i="14"/>
  <c r="Q518" i="14"/>
  <c r="Q517" i="14"/>
  <c r="Q516" i="14"/>
  <c r="Q515" i="14"/>
  <c r="M514" i="14"/>
  <c r="Q514" i="14" s="1"/>
  <c r="Q513" i="14"/>
  <c r="M512" i="14"/>
  <c r="Q511" i="14"/>
  <c r="Q510" i="14"/>
  <c r="Q509" i="14"/>
  <c r="Q508" i="14"/>
  <c r="Q507" i="14"/>
  <c r="M506" i="14"/>
  <c r="M505" i="14"/>
  <c r="Q505" i="14" s="1"/>
  <c r="Q504" i="14"/>
  <c r="Q503" i="14"/>
  <c r="Q502" i="14"/>
  <c r="Q501" i="14"/>
  <c r="Q500" i="14"/>
  <c r="M499" i="14"/>
  <c r="Q498" i="14"/>
  <c r="Q497" i="14"/>
  <c r="Q496" i="14"/>
  <c r="Q495" i="14"/>
  <c r="Q494" i="14"/>
  <c r="M493" i="14"/>
  <c r="Q492" i="14"/>
  <c r="Q491" i="14"/>
  <c r="Q490" i="14"/>
  <c r="Q489" i="14"/>
  <c r="Q488" i="14"/>
  <c r="Q487" i="14"/>
  <c r="Q486" i="14"/>
  <c r="Q485" i="14"/>
  <c r="Q484" i="14"/>
  <c r="Q483" i="14"/>
  <c r="Q482" i="14"/>
  <c r="Q481" i="14"/>
  <c r="Q479" i="14"/>
  <c r="Q478" i="14"/>
  <c r="Q477" i="14"/>
  <c r="Q476" i="14"/>
  <c r="M475" i="14"/>
  <c r="Q474" i="14"/>
  <c r="Q473" i="14"/>
  <c r="Q472" i="14"/>
  <c r="Q471" i="14"/>
  <c r="Q470" i="14"/>
  <c r="Q469" i="14"/>
  <c r="Q468" i="14"/>
  <c r="Q464" i="14"/>
  <c r="M463" i="14"/>
  <c r="Q463" i="14" s="1"/>
  <c r="Q461" i="14"/>
  <c r="Q460" i="14"/>
  <c r="I459" i="14"/>
  <c r="Q458" i="14"/>
  <c r="Q457" i="14"/>
  <c r="Q454" i="14"/>
  <c r="I453" i="14"/>
  <c r="Q453" i="14" s="1"/>
  <c r="I452" i="14"/>
  <c r="Q452" i="14" s="1"/>
  <c r="Q451" i="14"/>
  <c r="Q450" i="14"/>
  <c r="Q448" i="14"/>
  <c r="Q447" i="14"/>
  <c r="Q445" i="14"/>
  <c r="Q444" i="14"/>
  <c r="Q443" i="14"/>
  <c r="Q442" i="14"/>
  <c r="Q441" i="14"/>
  <c r="I440" i="14"/>
  <c r="Q436" i="14"/>
  <c r="I435" i="14"/>
  <c r="B434" i="14"/>
  <c r="B435" i="14" s="1"/>
  <c r="B436" i="14" s="1"/>
  <c r="B437" i="14" s="1"/>
  <c r="B438" i="14" s="1"/>
  <c r="B439" i="14" s="1"/>
  <c r="B440" i="14" s="1"/>
  <c r="B441" i="14" s="1"/>
  <c r="B442" i="14" s="1"/>
  <c r="B443" i="14" s="1"/>
  <c r="B444" i="14" s="1"/>
  <c r="B445" i="14" s="1"/>
  <c r="B446" i="14" s="1"/>
  <c r="B447" i="14" s="1"/>
  <c r="B448" i="14" s="1"/>
  <c r="B449" i="14" s="1"/>
  <c r="B450" i="14" s="1"/>
  <c r="B451" i="14" s="1"/>
  <c r="B452" i="14" s="1"/>
  <c r="B453" i="14" s="1"/>
  <c r="B454" i="14" s="1"/>
  <c r="B455" i="14" s="1"/>
  <c r="B456" i="14" s="1"/>
  <c r="B457" i="14" s="1"/>
  <c r="B458" i="14" s="1"/>
  <c r="B459" i="14" s="1"/>
  <c r="B460" i="14" s="1"/>
  <c r="B461" i="14" s="1"/>
  <c r="B462" i="14" s="1"/>
  <c r="B463" i="14" s="1"/>
  <c r="B464" i="14" s="1"/>
  <c r="B465" i="14" s="1"/>
  <c r="B466" i="14" s="1"/>
  <c r="B467" i="14" s="1"/>
  <c r="B468" i="14" s="1"/>
  <c r="B469" i="14" s="1"/>
  <c r="B470" i="14" s="1"/>
  <c r="B471" i="14" s="1"/>
  <c r="B472" i="14" s="1"/>
  <c r="B473" i="14" s="1"/>
  <c r="B474" i="14" s="1"/>
  <c r="B475" i="14" s="1"/>
  <c r="B476" i="14" s="1"/>
  <c r="B477" i="14" s="1"/>
  <c r="B478" i="14" s="1"/>
  <c r="B479" i="14" s="1"/>
  <c r="B480" i="14" s="1"/>
  <c r="B481" i="14" s="1"/>
  <c r="B482" i="14" s="1"/>
  <c r="B483" i="14" s="1"/>
  <c r="B484" i="14" s="1"/>
  <c r="B485" i="14" s="1"/>
  <c r="B486" i="14" s="1"/>
  <c r="B487" i="14" s="1"/>
  <c r="B488" i="14" s="1"/>
  <c r="B489" i="14" s="1"/>
  <c r="B490" i="14" s="1"/>
  <c r="B491" i="14" s="1"/>
  <c r="B492" i="14" s="1"/>
  <c r="B493" i="14" s="1"/>
  <c r="B494" i="14" s="1"/>
  <c r="B495" i="14" s="1"/>
  <c r="B496" i="14" s="1"/>
  <c r="B497" i="14" s="1"/>
  <c r="B498" i="14" s="1"/>
  <c r="B499" i="14" s="1"/>
  <c r="B500" i="14" s="1"/>
  <c r="B501" i="14" s="1"/>
  <c r="B502" i="14" s="1"/>
  <c r="B503" i="14" s="1"/>
  <c r="B504" i="14" s="1"/>
  <c r="B505" i="14" s="1"/>
  <c r="B506" i="14" s="1"/>
  <c r="B507" i="14" s="1"/>
  <c r="B508" i="14" s="1"/>
  <c r="B509" i="14" s="1"/>
  <c r="B510" i="14" s="1"/>
  <c r="B511" i="14" s="1"/>
  <c r="B512" i="14" s="1"/>
  <c r="B513" i="14" s="1"/>
  <c r="B514" i="14" s="1"/>
  <c r="B515" i="14" s="1"/>
  <c r="B516" i="14" s="1"/>
  <c r="B517" i="14" s="1"/>
  <c r="B518" i="14" s="1"/>
  <c r="B519" i="14" s="1"/>
  <c r="B520" i="14" s="1"/>
  <c r="B521" i="14" s="1"/>
  <c r="B522" i="14" s="1"/>
  <c r="B523" i="14" s="1"/>
  <c r="B524" i="14" s="1"/>
  <c r="B525" i="14" s="1"/>
  <c r="B526" i="14" s="1"/>
  <c r="B527" i="14" s="1"/>
  <c r="B528" i="14" s="1"/>
  <c r="B529" i="14" s="1"/>
  <c r="B530" i="14" s="1"/>
  <c r="B531" i="14" s="1"/>
  <c r="B532" i="14" s="1"/>
  <c r="B533" i="14" s="1"/>
  <c r="B534" i="14" s="1"/>
  <c r="B535" i="14" s="1"/>
  <c r="B536" i="14" s="1"/>
  <c r="B537" i="14" s="1"/>
  <c r="B538" i="14" s="1"/>
  <c r="B539" i="14" s="1"/>
  <c r="Q385" i="14"/>
  <c r="Q384" i="14"/>
  <c r="Q383" i="14"/>
  <c r="I382" i="14"/>
  <c r="Q380" i="14"/>
  <c r="Q379" i="14"/>
  <c r="I378" i="14"/>
  <c r="K378" i="14" s="1"/>
  <c r="Q376" i="14"/>
  <c r="I375" i="14"/>
  <c r="Q373" i="14"/>
  <c r="M372" i="14"/>
  <c r="Q372" i="14" s="1"/>
  <c r="Q370" i="14"/>
  <c r="I369" i="14"/>
  <c r="Q367" i="14"/>
  <c r="M366" i="14"/>
  <c r="M365" i="14" s="1"/>
  <c r="M354" i="14" s="1"/>
  <c r="Q364" i="14"/>
  <c r="Q363" i="14"/>
  <c r="Q362" i="14"/>
  <c r="Q361" i="14"/>
  <c r="Q360" i="14"/>
  <c r="Q359" i="14"/>
  <c r="Q358" i="14"/>
  <c r="I357" i="14"/>
  <c r="Q356" i="14"/>
  <c r="Q355" i="14"/>
  <c r="Q353" i="14"/>
  <c r="M352" i="14"/>
  <c r="Q352" i="14" s="1"/>
  <c r="Q350" i="14"/>
  <c r="I349" i="14"/>
  <c r="Q349" i="14" s="1"/>
  <c r="Q347" i="14"/>
  <c r="M346" i="14"/>
  <c r="Q345" i="14"/>
  <c r="M344" i="14"/>
  <c r="Q344" i="14" s="1"/>
  <c r="Q342" i="14"/>
  <c r="Q341" i="14"/>
  <c r="I340" i="14"/>
  <c r="Q340" i="14" s="1"/>
  <c r="Q339" i="14"/>
  <c r="I338" i="14"/>
  <c r="Q338" i="14" s="1"/>
  <c r="I337" i="14"/>
  <c r="Q337" i="14" s="1"/>
  <c r="Q336" i="14"/>
  <c r="I335" i="14"/>
  <c r="Q334" i="14"/>
  <c r="Q333" i="14"/>
  <c r="Q331" i="14"/>
  <c r="Q330" i="14"/>
  <c r="B329" i="14"/>
  <c r="B330" i="14" s="1"/>
  <c r="B331" i="14" s="1"/>
  <c r="B332" i="14" s="1"/>
  <c r="B333" i="14" s="1"/>
  <c r="B334" i="14" s="1"/>
  <c r="B335" i="14" s="1"/>
  <c r="B336" i="14" s="1"/>
  <c r="B337" i="14" s="1"/>
  <c r="B338" i="14" s="1"/>
  <c r="B339" i="14" s="1"/>
  <c r="B340" i="14" s="1"/>
  <c r="B341" i="14" s="1"/>
  <c r="B342" i="14" s="1"/>
  <c r="B343" i="14" s="1"/>
  <c r="B344" i="14" s="1"/>
  <c r="B345" i="14" s="1"/>
  <c r="B346" i="14" s="1"/>
  <c r="B347" i="14" s="1"/>
  <c r="B348" i="14" s="1"/>
  <c r="B349" i="14" s="1"/>
  <c r="B350" i="14" s="1"/>
  <c r="B351" i="14" s="1"/>
  <c r="B352" i="14" s="1"/>
  <c r="B353" i="14" s="1"/>
  <c r="B354" i="14" s="1"/>
  <c r="B355" i="14" s="1"/>
  <c r="B356" i="14" s="1"/>
  <c r="B357" i="14" s="1"/>
  <c r="B358" i="14" s="1"/>
  <c r="B359" i="14" s="1"/>
  <c r="B360" i="14" s="1"/>
  <c r="B361" i="14" s="1"/>
  <c r="B362" i="14" s="1"/>
  <c r="B363" i="14" s="1"/>
  <c r="B364" i="14" s="1"/>
  <c r="B365" i="14" s="1"/>
  <c r="B366" i="14" s="1"/>
  <c r="B367" i="14" s="1"/>
  <c r="B368" i="14" s="1"/>
  <c r="B369" i="14" s="1"/>
  <c r="B370" i="14" s="1"/>
  <c r="B371" i="14" s="1"/>
  <c r="B372" i="14" s="1"/>
  <c r="B373" i="14" s="1"/>
  <c r="B374" i="14" s="1"/>
  <c r="B375" i="14" s="1"/>
  <c r="B376" i="14" s="1"/>
  <c r="B377" i="14" s="1"/>
  <c r="B378" i="14" s="1"/>
  <c r="B379" i="14" s="1"/>
  <c r="B380" i="14" s="1"/>
  <c r="B381" i="14" s="1"/>
  <c r="B382" i="14" s="1"/>
  <c r="B383" i="14" s="1"/>
  <c r="B384" i="14" s="1"/>
  <c r="B385" i="14" s="1"/>
  <c r="Q287" i="14"/>
  <c r="Q286" i="14"/>
  <c r="Q285" i="14"/>
  <c r="Q284" i="14"/>
  <c r="I283" i="14"/>
  <c r="Q280" i="14"/>
  <c r="Q279" i="14"/>
  <c r="Q278" i="14"/>
  <c r="M277" i="14"/>
  <c r="Q277" i="14" s="1"/>
  <c r="Q276" i="14"/>
  <c r="M275" i="14"/>
  <c r="Q275" i="14" s="1"/>
  <c r="Q273" i="14"/>
  <c r="Q272" i="14"/>
  <c r="Q271" i="14"/>
  <c r="Q270" i="14"/>
  <c r="Q269" i="14"/>
  <c r="Q268" i="14"/>
  <c r="I267" i="14"/>
  <c r="Q265" i="14"/>
  <c r="Q264" i="14"/>
  <c r="Q263" i="14"/>
  <c r="Q262" i="14"/>
  <c r="Q261" i="14"/>
  <c r="Q260" i="14"/>
  <c r="I259" i="14"/>
  <c r="Q258" i="14"/>
  <c r="Q257" i="14"/>
  <c r="M255" i="14"/>
  <c r="O255" i="14" s="1"/>
  <c r="Q254" i="14"/>
  <c r="Q253" i="14"/>
  <c r="Q252" i="14"/>
  <c r="Q251" i="14"/>
  <c r="Q250" i="14"/>
  <c r="I249" i="14"/>
  <c r="Q248" i="14"/>
  <c r="Q247" i="14"/>
  <c r="Q244" i="14"/>
  <c r="Q243" i="14"/>
  <c r="Q242" i="14"/>
  <c r="Q241" i="14"/>
  <c r="Q240" i="14"/>
  <c r="I239" i="14"/>
  <c r="Q238" i="14"/>
  <c r="Q237" i="14"/>
  <c r="Q235" i="14"/>
  <c r="Q234" i="14"/>
  <c r="Q233" i="14"/>
  <c r="Q232" i="14"/>
  <c r="Q231" i="14"/>
  <c r="Q230" i="14"/>
  <c r="I229" i="14"/>
  <c r="Q228" i="14"/>
  <c r="Q227" i="14"/>
  <c r="Q225" i="14"/>
  <c r="Q224" i="14"/>
  <c r="I223" i="14"/>
  <c r="I221" i="14" s="1"/>
  <c r="Q221" i="14" s="1"/>
  <c r="Q222" i="14"/>
  <c r="B221" i="14"/>
  <c r="B222" i="14" s="1"/>
  <c r="B223" i="14" s="1"/>
  <c r="B224" i="14" s="1"/>
  <c r="B225" i="14" s="1"/>
  <c r="B226" i="14" s="1"/>
  <c r="B227" i="14" s="1"/>
  <c r="B228" i="14" s="1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7" i="14" s="1"/>
  <c r="B248" i="14" s="1"/>
  <c r="B249" i="14" s="1"/>
  <c r="B250" i="14" s="1"/>
  <c r="B251" i="14" s="1"/>
  <c r="B252" i="14" s="1"/>
  <c r="B253" i="14" s="1"/>
  <c r="B254" i="14" s="1"/>
  <c r="B255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2" i="14" s="1"/>
  <c r="B283" i="14" s="1"/>
  <c r="B284" i="14" s="1"/>
  <c r="B285" i="14" s="1"/>
  <c r="B286" i="14" s="1"/>
  <c r="B287" i="14" s="1"/>
  <c r="Q198" i="14"/>
  <c r="M197" i="14"/>
  <c r="Q197" i="14" s="1"/>
  <c r="Q195" i="14"/>
  <c r="Q194" i="14"/>
  <c r="I193" i="14"/>
  <c r="Q189" i="14"/>
  <c r="Q191" i="14"/>
  <c r="Q190" i="14"/>
  <c r="I185" i="14"/>
  <c r="Q185" i="14" s="1"/>
  <c r="Q184" i="14"/>
  <c r="I183" i="14"/>
  <c r="Q182" i="14"/>
  <c r="Q181" i="14"/>
  <c r="Q178" i="14"/>
  <c r="I177" i="14"/>
  <c r="Q176" i="14"/>
  <c r="I175" i="14"/>
  <c r="Q173" i="14"/>
  <c r="M172" i="14"/>
  <c r="O172" i="14" s="1"/>
  <c r="I170" i="14"/>
  <c r="Q168" i="14"/>
  <c r="Q167" i="14"/>
  <c r="I166" i="14"/>
  <c r="Q166" i="14" s="1"/>
  <c r="Q165" i="14"/>
  <c r="Q164" i="14"/>
  <c r="I163" i="14"/>
  <c r="I161" i="14" s="1"/>
  <c r="K161" i="14" s="1"/>
  <c r="Q162" i="14"/>
  <c r="I160" i="14"/>
  <c r="K160" i="14" s="1"/>
  <c r="I159" i="14"/>
  <c r="Q159" i="14" s="1"/>
  <c r="Q157" i="14"/>
  <c r="I156" i="14"/>
  <c r="Q153" i="14"/>
  <c r="Q152" i="14"/>
  <c r="Q151" i="14"/>
  <c r="M150" i="14"/>
  <c r="Q149" i="14"/>
  <c r="M148" i="14"/>
  <c r="I146" i="14"/>
  <c r="Q146" i="14" s="1"/>
  <c r="Q145" i="14"/>
  <c r="Q144" i="14"/>
  <c r="I143" i="14"/>
  <c r="Q142" i="14"/>
  <c r="I141" i="14"/>
  <c r="Q141" i="14" s="1"/>
  <c r="Q138" i="14"/>
  <c r="Q137" i="14"/>
  <c r="I136" i="14"/>
  <c r="Q136" i="14" s="1"/>
  <c r="Q134" i="14"/>
  <c r="Q133" i="14"/>
  <c r="M132" i="14"/>
  <c r="Q131" i="14"/>
  <c r="Q130" i="14"/>
  <c r="I129" i="14"/>
  <c r="K129" i="14" s="1"/>
  <c r="Q127" i="14"/>
  <c r="M126" i="14"/>
  <c r="Q126" i="14" s="1"/>
  <c r="I125" i="14"/>
  <c r="Q125" i="14" s="1"/>
  <c r="Q124" i="14"/>
  <c r="Q121" i="14"/>
  <c r="I120" i="14"/>
  <c r="I119" i="14" s="1"/>
  <c r="Q119" i="14" s="1"/>
  <c r="Q117" i="14"/>
  <c r="I116" i="14"/>
  <c r="Q116" i="14" s="1"/>
  <c r="M115" i="14"/>
  <c r="O115" i="14" s="1"/>
  <c r="B197" i="14"/>
  <c r="B198" i="14" s="1"/>
  <c r="Q90" i="14"/>
  <c r="I89" i="14"/>
  <c r="Q89" i="14" s="1"/>
  <c r="Q87" i="14"/>
  <c r="I86" i="14"/>
  <c r="Q84" i="14"/>
  <c r="Q83" i="14"/>
  <c r="I82" i="14"/>
  <c r="Q81" i="14"/>
  <c r="I80" i="14"/>
  <c r="I79" i="14"/>
  <c r="Q77" i="14"/>
  <c r="I76" i="14"/>
  <c r="Q76" i="14" s="1"/>
  <c r="B75" i="14"/>
  <c r="B76" i="14" s="1"/>
  <c r="B77" i="14" s="1"/>
  <c r="B78" i="14" s="1"/>
  <c r="B79" i="14" s="1"/>
  <c r="B80" i="14" s="1"/>
  <c r="B81" i="14" s="1"/>
  <c r="B82" i="14" s="1"/>
  <c r="B83" i="14" s="1"/>
  <c r="B84" i="14" s="1"/>
  <c r="B85" i="14" s="1"/>
  <c r="B86" i="14" s="1"/>
  <c r="B87" i="14" s="1"/>
  <c r="B88" i="14" s="1"/>
  <c r="B89" i="14" s="1"/>
  <c r="B90" i="14" s="1"/>
  <c r="M74" i="14"/>
  <c r="G7" i="15" s="1"/>
  <c r="I420" i="13"/>
  <c r="I419" i="13"/>
  <c r="I418" i="13"/>
  <c r="I417" i="13"/>
  <c r="I416" i="13"/>
  <c r="I397" i="13"/>
  <c r="I392" i="13"/>
  <c r="I391" i="13"/>
  <c r="I390" i="13"/>
  <c r="I389" i="13"/>
  <c r="I388" i="13"/>
  <c r="I387" i="13"/>
  <c r="I386" i="13"/>
  <c r="I384" i="13"/>
  <c r="I383" i="13"/>
  <c r="I381" i="13"/>
  <c r="I375" i="13"/>
  <c r="I372" i="13"/>
  <c r="I369" i="13"/>
  <c r="I365" i="13"/>
  <c r="I362" i="13"/>
  <c r="I361" i="13"/>
  <c r="I360" i="13"/>
  <c r="I357" i="13"/>
  <c r="I353" i="13"/>
  <c r="I350" i="13"/>
  <c r="I349" i="13"/>
  <c r="I346" i="13"/>
  <c r="I342" i="13"/>
  <c r="I339" i="13"/>
  <c r="I338" i="13"/>
  <c r="I337" i="13"/>
  <c r="I334" i="13"/>
  <c r="I330" i="13"/>
  <c r="I327" i="13"/>
  <c r="I326" i="13"/>
  <c r="I325" i="13"/>
  <c r="I322" i="13"/>
  <c r="I318" i="13"/>
  <c r="I315" i="13"/>
  <c r="I314" i="13"/>
  <c r="I313" i="13"/>
  <c r="I310" i="13"/>
  <c r="I306" i="13"/>
  <c r="I303" i="13"/>
  <c r="I300" i="13"/>
  <c r="I296" i="13"/>
  <c r="I295" i="13"/>
  <c r="I292" i="13"/>
  <c r="I288" i="13"/>
  <c r="I285" i="13"/>
  <c r="I282" i="13"/>
  <c r="I281" i="13"/>
  <c r="I280" i="13"/>
  <c r="I277" i="13"/>
  <c r="I273" i="13"/>
  <c r="I269" i="13"/>
  <c r="I268" i="13"/>
  <c r="I264" i="13"/>
  <c r="I263" i="13"/>
  <c r="I262" i="13"/>
  <c r="I258" i="13"/>
  <c r="I257" i="13"/>
  <c r="I256" i="13"/>
  <c r="I252" i="13"/>
  <c r="I251" i="13"/>
  <c r="I250" i="13"/>
  <c r="I247" i="13"/>
  <c r="I243" i="13"/>
  <c r="I242" i="13"/>
  <c r="I239" i="13"/>
  <c r="I235" i="13"/>
  <c r="I232" i="13"/>
  <c r="I228" i="13"/>
  <c r="I224" i="13"/>
  <c r="I220" i="13"/>
  <c r="I216" i="13"/>
  <c r="I215" i="13"/>
  <c r="I214" i="13"/>
  <c r="I209" i="13"/>
  <c r="I206" i="13"/>
  <c r="I202" i="13"/>
  <c r="I198" i="13"/>
  <c r="I194" i="13"/>
  <c r="I190" i="13"/>
  <c r="I186" i="13"/>
  <c r="I185" i="13"/>
  <c r="I181" i="13"/>
  <c r="I180" i="13"/>
  <c r="I176" i="13"/>
  <c r="I175" i="13"/>
  <c r="I171" i="13"/>
  <c r="I170" i="13"/>
  <c r="I166" i="13"/>
  <c r="I165" i="13"/>
  <c r="I164" i="13"/>
  <c r="I160" i="13"/>
  <c r="I159" i="13"/>
  <c r="I155" i="13"/>
  <c r="I154" i="13"/>
  <c r="I150" i="13"/>
  <c r="I149" i="13"/>
  <c r="I145" i="13"/>
  <c r="I144" i="13"/>
  <c r="I140" i="13"/>
  <c r="I139" i="13"/>
  <c r="I135" i="13"/>
  <c r="I134" i="13"/>
  <c r="I130" i="13"/>
  <c r="I129" i="13"/>
  <c r="I125" i="13"/>
  <c r="I124" i="13"/>
  <c r="I119" i="13"/>
  <c r="I115" i="13"/>
  <c r="I112" i="13"/>
  <c r="I108" i="13"/>
  <c r="I105" i="13"/>
  <c r="I101" i="13"/>
  <c r="I98" i="13"/>
  <c r="I94" i="13"/>
  <c r="I90" i="13"/>
  <c r="I87" i="13"/>
  <c r="I83" i="13"/>
  <c r="I80" i="13"/>
  <c r="I76" i="13"/>
  <c r="I73" i="13"/>
  <c r="I72" i="13"/>
  <c r="I68" i="13"/>
  <c r="I65" i="13"/>
  <c r="I61" i="13"/>
  <c r="I60" i="13"/>
  <c r="I59" i="13"/>
  <c r="I56" i="13"/>
  <c r="I53" i="13"/>
  <c r="I49" i="13"/>
  <c r="I48" i="13"/>
  <c r="I47" i="13"/>
  <c r="I46" i="13"/>
  <c r="I45" i="13"/>
  <c r="I42" i="13"/>
  <c r="I39" i="13"/>
  <c r="I37" i="13"/>
  <c r="I36" i="13"/>
  <c r="I33" i="13"/>
  <c r="I31" i="13"/>
  <c r="I30" i="13"/>
  <c r="I26" i="13"/>
  <c r="I21" i="13"/>
  <c r="I20" i="13"/>
  <c r="I19" i="13"/>
  <c r="I18" i="13"/>
  <c r="I15" i="13"/>
  <c r="I14" i="13"/>
  <c r="I13" i="13"/>
  <c r="H9" i="13"/>
  <c r="H8" i="13"/>
  <c r="H12" i="13"/>
  <c r="H11" i="13" s="1"/>
  <c r="H17" i="13"/>
  <c r="H16" i="13" s="1"/>
  <c r="H25" i="13"/>
  <c r="H24" i="13" s="1"/>
  <c r="H29" i="13"/>
  <c r="H32" i="13"/>
  <c r="H34" i="13"/>
  <c r="H38" i="13"/>
  <c r="H28" i="13" s="1"/>
  <c r="H23" i="13" s="1"/>
  <c r="H41" i="13"/>
  <c r="H40" i="13" s="1"/>
  <c r="H44" i="13"/>
  <c r="H43" i="13" s="1"/>
  <c r="H52" i="13"/>
  <c r="H51" i="13"/>
  <c r="H55" i="13"/>
  <c r="H54" i="13" s="1"/>
  <c r="H58" i="13"/>
  <c r="H57" i="13"/>
  <c r="H64" i="13"/>
  <c r="H67" i="13"/>
  <c r="H66" i="13" s="1"/>
  <c r="H71" i="13"/>
  <c r="H70" i="13" s="1"/>
  <c r="H75" i="13"/>
  <c r="H74" i="13" s="1"/>
  <c r="H69" i="13" s="1"/>
  <c r="H79" i="13"/>
  <c r="H78" i="13" s="1"/>
  <c r="H82" i="13"/>
  <c r="H81" i="13"/>
  <c r="H77" i="13" s="1"/>
  <c r="H86" i="13"/>
  <c r="H85" i="13" s="1"/>
  <c r="H89" i="13"/>
  <c r="H88" i="13"/>
  <c r="H93" i="13"/>
  <c r="H92" i="13" s="1"/>
  <c r="H91" i="13" s="1"/>
  <c r="H97" i="13"/>
  <c r="H96" i="13" s="1"/>
  <c r="H95" i="13" s="1"/>
  <c r="H100" i="13"/>
  <c r="H99" i="13" s="1"/>
  <c r="H104" i="13"/>
  <c r="H103" i="13" s="1"/>
  <c r="H102" i="13" s="1"/>
  <c r="H107" i="13"/>
  <c r="H106" i="13" s="1"/>
  <c r="H111" i="13"/>
  <c r="H110" i="13"/>
  <c r="H109" i="13" s="1"/>
  <c r="H114" i="13"/>
  <c r="H113" i="13" s="1"/>
  <c r="H118" i="13"/>
  <c r="H117" i="13"/>
  <c r="H116" i="13" s="1"/>
  <c r="H123" i="13"/>
  <c r="H122" i="13" s="1"/>
  <c r="H121" i="13" s="1"/>
  <c r="H128" i="13"/>
  <c r="H127" i="13" s="1"/>
  <c r="H126" i="13" s="1"/>
  <c r="H133" i="13"/>
  <c r="H132" i="13" s="1"/>
  <c r="H131" i="13" s="1"/>
  <c r="H138" i="13"/>
  <c r="H137" i="13"/>
  <c r="H136" i="13" s="1"/>
  <c r="H143" i="13"/>
  <c r="H142" i="13" s="1"/>
  <c r="H148" i="13"/>
  <c r="H147" i="13" s="1"/>
  <c r="H146" i="13" s="1"/>
  <c r="H153" i="13"/>
  <c r="H152" i="13" s="1"/>
  <c r="H158" i="13"/>
  <c r="H157" i="13" s="1"/>
  <c r="H156" i="13" s="1"/>
  <c r="H163" i="13"/>
  <c r="H162" i="13"/>
  <c r="H161" i="13" s="1"/>
  <c r="H169" i="13"/>
  <c r="H168" i="13" s="1"/>
  <c r="H167" i="13" s="1"/>
  <c r="H174" i="13"/>
  <c r="H173" i="13" s="1"/>
  <c r="H172" i="13" s="1"/>
  <c r="H179" i="13"/>
  <c r="H178" i="13" s="1"/>
  <c r="H177" i="13" s="1"/>
  <c r="H184" i="13"/>
  <c r="H183" i="13"/>
  <c r="H182" i="13"/>
  <c r="H189" i="13"/>
  <c r="H188" i="13" s="1"/>
  <c r="H187" i="13" s="1"/>
  <c r="H193" i="13"/>
  <c r="H192" i="13" s="1"/>
  <c r="H191" i="13" s="1"/>
  <c r="H197" i="13"/>
  <c r="H196" i="13"/>
  <c r="H195" i="13" s="1"/>
  <c r="H201" i="13"/>
  <c r="H200" i="13" s="1"/>
  <c r="H199" i="13" s="1"/>
  <c r="H205" i="13"/>
  <c r="H204" i="13" s="1"/>
  <c r="H208" i="13"/>
  <c r="H207" i="13" s="1"/>
  <c r="H213" i="13"/>
  <c r="H212" i="13" s="1"/>
  <c r="H211" i="13" s="1"/>
  <c r="H219" i="13"/>
  <c r="H218" i="13" s="1"/>
  <c r="H217" i="13" s="1"/>
  <c r="H223" i="13"/>
  <c r="H222" i="13" s="1"/>
  <c r="H221" i="13" s="1"/>
  <c r="H227" i="13"/>
  <c r="H226" i="13"/>
  <c r="H225" i="13" s="1"/>
  <c r="H231" i="13"/>
  <c r="H230" i="13" s="1"/>
  <c r="H234" i="13"/>
  <c r="H233" i="13"/>
  <c r="H238" i="13"/>
  <c r="H237" i="13" s="1"/>
  <c r="H241" i="13"/>
  <c r="H240" i="13"/>
  <c r="H246" i="13"/>
  <c r="H245" i="13" s="1"/>
  <c r="H249" i="13"/>
  <c r="H248" i="13" s="1"/>
  <c r="H255" i="13"/>
  <c r="H254" i="13" s="1"/>
  <c r="H253" i="13" s="1"/>
  <c r="H261" i="13"/>
  <c r="H260" i="13" s="1"/>
  <c r="H259" i="13" s="1"/>
  <c r="H267" i="13"/>
  <c r="H266" i="13" s="1"/>
  <c r="H265" i="13" s="1"/>
  <c r="H272" i="13"/>
  <c r="H271" i="13"/>
  <c r="H270" i="13" s="1"/>
  <c r="H276" i="13"/>
  <c r="H275" i="13" s="1"/>
  <c r="H279" i="13"/>
  <c r="H278" i="13"/>
  <c r="H274" i="13" s="1"/>
  <c r="H284" i="13"/>
  <c r="H283" i="13" s="1"/>
  <c r="H287" i="13"/>
  <c r="H286" i="13"/>
  <c r="H291" i="13"/>
  <c r="H290" i="13" s="1"/>
  <c r="H294" i="13"/>
  <c r="H293" i="13" s="1"/>
  <c r="H299" i="13"/>
  <c r="H298" i="13" s="1"/>
  <c r="H302" i="13"/>
  <c r="H301" i="13" s="1"/>
  <c r="H297" i="13" s="1"/>
  <c r="H305" i="13"/>
  <c r="H304" i="13" s="1"/>
  <c r="H309" i="13"/>
  <c r="H308" i="13"/>
  <c r="H312" i="13"/>
  <c r="H311" i="13" s="1"/>
  <c r="H317" i="13"/>
  <c r="H316" i="13"/>
  <c r="H321" i="13"/>
  <c r="H320" i="13" s="1"/>
  <c r="H324" i="13"/>
  <c r="H323" i="13" s="1"/>
  <c r="H319" i="13" s="1"/>
  <c r="H329" i="13"/>
  <c r="H328" i="13" s="1"/>
  <c r="H333" i="13"/>
  <c r="H332" i="13" s="1"/>
  <c r="H336" i="13"/>
  <c r="H335" i="13" s="1"/>
  <c r="H341" i="13"/>
  <c r="H340" i="13"/>
  <c r="H345" i="13"/>
  <c r="H344" i="13" s="1"/>
  <c r="H348" i="13"/>
  <c r="H347" i="13"/>
  <c r="H352" i="13"/>
  <c r="H351" i="13" s="1"/>
  <c r="H356" i="13"/>
  <c r="H355" i="13" s="1"/>
  <c r="H359" i="13"/>
  <c r="H358" i="13" s="1"/>
  <c r="H364" i="13"/>
  <c r="H363" i="13" s="1"/>
  <c r="H354" i="13" s="1"/>
  <c r="H368" i="13"/>
  <c r="H367" i="13" s="1"/>
  <c r="H371" i="13"/>
  <c r="H370" i="13"/>
  <c r="H374" i="13"/>
  <c r="H373" i="13" s="1"/>
  <c r="H380" i="13"/>
  <c r="H379" i="13" s="1"/>
  <c r="H378" i="13" s="1"/>
  <c r="H377" i="13" s="1"/>
  <c r="H396" i="13"/>
  <c r="H394" i="13" s="1"/>
  <c r="H393" i="13" s="1"/>
  <c r="H407" i="13"/>
  <c r="H406" i="13" s="1"/>
  <c r="H405" i="13" s="1"/>
  <c r="H404" i="13" s="1"/>
  <c r="H421" i="13" s="1"/>
  <c r="H428" i="13" s="1"/>
  <c r="H409" i="13"/>
  <c r="H415" i="13"/>
  <c r="H414" i="13" s="1"/>
  <c r="H413" i="13" s="1"/>
  <c r="H412" i="13" s="1"/>
  <c r="H411" i="13" s="1"/>
  <c r="I1053" i="14"/>
  <c r="Q1053" i="14" s="1"/>
  <c r="R820" i="14"/>
  <c r="J817" i="14"/>
  <c r="R817" i="14" s="1"/>
  <c r="I1587" i="14"/>
  <c r="S1844" i="14"/>
  <c r="S230" i="14"/>
  <c r="I1537" i="14"/>
  <c r="Q1589" i="14"/>
  <c r="K1612" i="14"/>
  <c r="I1762" i="14"/>
  <c r="Q1762" i="14" s="1"/>
  <c r="K1767" i="14"/>
  <c r="S1546" i="14"/>
  <c r="Q1539" i="14"/>
  <c r="S1815" i="14"/>
  <c r="Q829" i="14"/>
  <c r="J135" i="14"/>
  <c r="R135" i="14" s="1"/>
  <c r="R136" i="14"/>
  <c r="K769" i="14"/>
  <c r="Q1613" i="14"/>
  <c r="I1630" i="14"/>
  <c r="K1630" i="14" s="1"/>
  <c r="S1630" i="14" s="1"/>
  <c r="Q1759" i="14"/>
  <c r="I1804" i="14"/>
  <c r="I1803" i="14" s="1"/>
  <c r="Q1803" i="14" s="1"/>
  <c r="K1364" i="14"/>
  <c r="S1364" i="14" s="1"/>
  <c r="S1401" i="14"/>
  <c r="O1395" i="14"/>
  <c r="S1395" i="14" s="1"/>
  <c r="S1616" i="14"/>
  <c r="S1639" i="14"/>
  <c r="K1763" i="14"/>
  <c r="R126" i="14"/>
  <c r="K736" i="14"/>
  <c r="N147" i="14"/>
  <c r="N139" i="14" s="1"/>
  <c r="K656" i="14"/>
  <c r="K1213" i="14"/>
  <c r="K1592" i="14"/>
  <c r="R172" i="14"/>
  <c r="S1458" i="14"/>
  <c r="S1462" i="14"/>
  <c r="K1807" i="14"/>
  <c r="S1754" i="14"/>
  <c r="S1856" i="14"/>
  <c r="S935" i="14"/>
  <c r="S1211" i="14"/>
  <c r="S1275" i="14"/>
  <c r="S1019" i="14"/>
  <c r="S1201" i="14"/>
  <c r="S262" i="14"/>
  <c r="S1385" i="14"/>
  <c r="N196" i="14"/>
  <c r="S1525" i="14"/>
  <c r="N1555" i="14"/>
  <c r="R1555" i="14" s="1"/>
  <c r="N1626" i="14"/>
  <c r="N1623" i="14" s="1"/>
  <c r="S356" i="14"/>
  <c r="S1421" i="14"/>
  <c r="S1452" i="14"/>
  <c r="S1398" i="14"/>
  <c r="Q382" i="14"/>
  <c r="Q979" i="14"/>
  <c r="J1454" i="14"/>
  <c r="J1441" i="14" s="1"/>
  <c r="R1457" i="14"/>
  <c r="J1367" i="14"/>
  <c r="R1368" i="14"/>
  <c r="O506" i="14"/>
  <c r="S506" i="14" s="1"/>
  <c r="Q506" i="14"/>
  <c r="K1195" i="14"/>
  <c r="Q1195" i="14"/>
  <c r="Q1405" i="14"/>
  <c r="O1414" i="14"/>
  <c r="Q1529" i="14"/>
  <c r="R193" i="14"/>
  <c r="J1104" i="14"/>
  <c r="R1104" i="14" s="1"/>
  <c r="K628" i="14"/>
  <c r="K728" i="14"/>
  <c r="S1105" i="14"/>
  <c r="S1137" i="14"/>
  <c r="J1432" i="14"/>
  <c r="R1432" i="14" s="1"/>
  <c r="R1435" i="14"/>
  <c r="R1387" i="14"/>
  <c r="J1386" i="14"/>
  <c r="N1399" i="14"/>
  <c r="R1400" i="14"/>
  <c r="O1400" i="14"/>
  <c r="J1536" i="14"/>
  <c r="R1536" i="14" s="1"/>
  <c r="R1537" i="14"/>
  <c r="K1540" i="14"/>
  <c r="Q1615" i="14"/>
  <c r="O1615" i="14"/>
  <c r="S1615" i="14" s="1"/>
  <c r="R1543" i="14"/>
  <c r="Q160" i="14"/>
  <c r="Q698" i="14"/>
  <c r="Q1735" i="14"/>
  <c r="K1847" i="14"/>
  <c r="S1847" i="14" s="1"/>
  <c r="J179" i="14"/>
  <c r="R180" i="14"/>
  <c r="J115" i="14"/>
  <c r="R115" i="14" s="1"/>
  <c r="R229" i="14"/>
  <c r="J1291" i="14"/>
  <c r="R1291" i="14" s="1"/>
  <c r="R1294" i="14"/>
  <c r="J1075" i="14"/>
  <c r="R1078" i="14"/>
  <c r="J1053" i="14"/>
  <c r="R1053" i="14" s="1"/>
  <c r="J1017" i="14"/>
  <c r="R1017" i="14" s="1"/>
  <c r="R1020" i="14"/>
  <c r="R954" i="14"/>
  <c r="R639" i="14"/>
  <c r="K949" i="14"/>
  <c r="S1149" i="14"/>
  <c r="S1153" i="14"/>
  <c r="N1548" i="14"/>
  <c r="N1541" i="14" s="1"/>
  <c r="O1556" i="14"/>
  <c r="J1647" i="14"/>
  <c r="R1647" i="14" s="1"/>
  <c r="R1630" i="14"/>
  <c r="N1579" i="14"/>
  <c r="R1579" i="14" s="1"/>
  <c r="R1580" i="14"/>
  <c r="J1739" i="14"/>
  <c r="R1739" i="14" s="1"/>
  <c r="R1740" i="14"/>
  <c r="K1735" i="14"/>
  <c r="S1735" i="14" s="1"/>
  <c r="R150" i="14"/>
  <c r="K671" i="14"/>
  <c r="S671" i="14" s="1"/>
  <c r="Q1769" i="14"/>
  <c r="R249" i="14"/>
  <c r="J246" i="14"/>
  <c r="Q366" i="14"/>
  <c r="K646" i="14"/>
  <c r="S646" i="14" s="1"/>
  <c r="Q646" i="14"/>
  <c r="K987" i="14"/>
  <c r="Q1011" i="14"/>
  <c r="K1425" i="14"/>
  <c r="S1425" i="14" s="1"/>
  <c r="Q1637" i="14"/>
  <c r="Q1801" i="14"/>
  <c r="K116" i="14"/>
  <c r="K616" i="14"/>
  <c r="K905" i="14"/>
  <c r="S1117" i="14"/>
  <c r="S1181" i="14"/>
  <c r="K1221" i="14"/>
  <c r="K1289" i="14"/>
  <c r="O1443" i="14"/>
  <c r="N1669" i="14"/>
  <c r="N1658" i="14" s="1"/>
  <c r="N1657" i="14" s="1"/>
  <c r="R1670" i="14"/>
  <c r="J1804" i="14"/>
  <c r="R1807" i="14"/>
  <c r="J1786" i="14"/>
  <c r="J1785" i="14" s="1"/>
  <c r="R1785" i="14" s="1"/>
  <c r="R1789" i="14"/>
  <c r="J1762" i="14"/>
  <c r="R1762" i="14" s="1"/>
  <c r="R1763" i="14"/>
  <c r="N1857" i="14"/>
  <c r="N1849" i="14" s="1"/>
  <c r="N1841" i="14" s="1"/>
  <c r="N1840" i="14" s="1"/>
  <c r="H17" i="15" s="1"/>
  <c r="R1858" i="14"/>
  <c r="R1143" i="14"/>
  <c r="I1739" i="14"/>
  <c r="I1734" i="14" s="1"/>
  <c r="Q1734" i="14" s="1"/>
  <c r="R129" i="14"/>
  <c r="J282" i="14"/>
  <c r="R282" i="14" s="1"/>
  <c r="R283" i="14"/>
  <c r="R277" i="14"/>
  <c r="S385" i="14"/>
  <c r="S461" i="14"/>
  <c r="O514" i="14"/>
  <c r="S514" i="14" s="1"/>
  <c r="J1133" i="14"/>
  <c r="R1133" i="14" s="1"/>
  <c r="R1136" i="14"/>
  <c r="J1045" i="14"/>
  <c r="R1045" i="14" s="1"/>
  <c r="R1046" i="14"/>
  <c r="J941" i="14"/>
  <c r="R941" i="14" s="1"/>
  <c r="R942" i="14"/>
  <c r="K602" i="14"/>
  <c r="S622" i="14"/>
  <c r="K726" i="14"/>
  <c r="S726" i="14" s="1"/>
  <c r="K818" i="14"/>
  <c r="K895" i="14"/>
  <c r="S895" i="14" s="1"/>
  <c r="K947" i="14"/>
  <c r="S947" i="14" s="1"/>
  <c r="K1203" i="14"/>
  <c r="K1251" i="14"/>
  <c r="S1251" i="14" s="1"/>
  <c r="K1259" i="14"/>
  <c r="S1259" i="14" s="1"/>
  <c r="R1210" i="14"/>
  <c r="N706" i="14"/>
  <c r="N697" i="14" s="1"/>
  <c r="R707" i="14"/>
  <c r="J1363" i="14"/>
  <c r="R1363" i="14" s="1"/>
  <c r="R1364" i="14"/>
  <c r="J1520" i="14"/>
  <c r="R1520" i="14" s="1"/>
  <c r="R1521" i="14"/>
  <c r="K1545" i="14"/>
  <c r="R1644" i="14"/>
  <c r="R1624" i="14"/>
  <c r="S1581" i="14"/>
  <c r="S1585" i="14"/>
  <c r="K1589" i="14"/>
  <c r="S1593" i="14"/>
  <c r="S1601" i="14"/>
  <c r="K1613" i="14"/>
  <c r="S1613" i="14" s="1"/>
  <c r="S1649" i="14"/>
  <c r="K1665" i="14"/>
  <c r="N1640" i="14"/>
  <c r="R1640" i="14" s="1"/>
  <c r="J1724" i="14"/>
  <c r="J1723" i="14" s="1"/>
  <c r="R1727" i="14"/>
  <c r="K1740" i="14"/>
  <c r="K1761" i="14"/>
  <c r="S1850" i="14"/>
  <c r="S1854" i="14"/>
  <c r="N158" i="14"/>
  <c r="R171" i="14"/>
  <c r="J266" i="14"/>
  <c r="J236" i="14"/>
  <c r="R236" i="14" s="1"/>
  <c r="R239" i="14"/>
  <c r="J374" i="14"/>
  <c r="R374" i="14" s="1"/>
  <c r="R375" i="14"/>
  <c r="N368" i="14"/>
  <c r="J446" i="14"/>
  <c r="R449" i="14"/>
  <c r="J1248" i="14"/>
  <c r="R1248" i="14" s="1"/>
  <c r="R1190" i="14"/>
  <c r="J1111" i="14"/>
  <c r="R1111" i="14" s="1"/>
  <c r="J1097" i="14"/>
  <c r="R1097" i="14" s="1"/>
  <c r="J1082" i="14"/>
  <c r="R1082" i="14" s="1"/>
  <c r="J968" i="14"/>
  <c r="R968" i="14" s="1"/>
  <c r="R971" i="14"/>
  <c r="K611" i="14"/>
  <c r="S635" i="14"/>
  <c r="K699" i="14"/>
  <c r="S823" i="14"/>
  <c r="S832" i="14"/>
  <c r="K872" i="14"/>
  <c r="K904" i="14"/>
  <c r="S904" i="14" s="1"/>
  <c r="S908" i="14"/>
  <c r="S928" i="14"/>
  <c r="K1012" i="14"/>
  <c r="S1012" i="14" s="1"/>
  <c r="S1060" i="14"/>
  <c r="S1084" i="14"/>
  <c r="S1088" i="14"/>
  <c r="S1128" i="14"/>
  <c r="S1132" i="14"/>
  <c r="S1164" i="14"/>
  <c r="S1168" i="14"/>
  <c r="S1180" i="14"/>
  <c r="S1252" i="14"/>
  <c r="S1256" i="14"/>
  <c r="S1280" i="14"/>
  <c r="S1304" i="14"/>
  <c r="N880" i="14"/>
  <c r="R880" i="14" s="1"/>
  <c r="R881" i="14"/>
  <c r="N623" i="14"/>
  <c r="N613" i="14" s="1"/>
  <c r="J1402" i="14"/>
  <c r="R1402" i="14" s="1"/>
  <c r="R1405" i="14"/>
  <c r="K1457" i="14"/>
  <c r="S1457" i="14" s="1"/>
  <c r="N1413" i="14"/>
  <c r="R1416" i="14"/>
  <c r="J1611" i="14"/>
  <c r="R1612" i="14"/>
  <c r="S1586" i="14"/>
  <c r="S1598" i="14"/>
  <c r="S1602" i="14"/>
  <c r="S1638" i="14"/>
  <c r="N1607" i="14"/>
  <c r="N1584" i="14" s="1"/>
  <c r="N1575" i="14" s="1"/>
  <c r="O1580" i="14"/>
  <c r="S1580" i="14" s="1"/>
  <c r="R1748" i="14"/>
  <c r="R1718" i="14"/>
  <c r="J1683" i="14"/>
  <c r="R1683" i="14" s="1"/>
  <c r="S1688" i="14"/>
  <c r="K1704" i="14"/>
  <c r="S1708" i="14"/>
  <c r="S1721" i="14"/>
  <c r="S1741" i="14"/>
  <c r="K1758" i="14"/>
  <c r="S1758" i="14" s="1"/>
  <c r="S1778" i="14"/>
  <c r="S1806" i="14"/>
  <c r="S1814" i="14"/>
  <c r="R372" i="14"/>
  <c r="R1287" i="14"/>
  <c r="J1658" i="14"/>
  <c r="J1657" i="14" s="1"/>
  <c r="N1442" i="14"/>
  <c r="R1442" i="14" s="1"/>
  <c r="J627" i="14"/>
  <c r="R627" i="14" s="1"/>
  <c r="J653" i="14"/>
  <c r="J661" i="14"/>
  <c r="R661" i="14" s="1"/>
  <c r="J670" i="14"/>
  <c r="R670" i="14" s="1"/>
  <c r="J688" i="14"/>
  <c r="J697" i="14"/>
  <c r="J725" i="14"/>
  <c r="R725" i="14" s="1"/>
  <c r="J733" i="14"/>
  <c r="R733" i="14" s="1"/>
  <c r="J741" i="14"/>
  <c r="R741" i="14" s="1"/>
  <c r="J766" i="14"/>
  <c r="J765" i="14" s="1"/>
  <c r="R765" i="14" s="1"/>
  <c r="J795" i="14"/>
  <c r="J860" i="14"/>
  <c r="J902" i="14"/>
  <c r="R902" i="14" s="1"/>
  <c r="J976" i="14"/>
  <c r="R976" i="14" s="1"/>
  <c r="J984" i="14"/>
  <c r="R984" i="14" s="1"/>
  <c r="J1001" i="14"/>
  <c r="R1001" i="14" s="1"/>
  <c r="J1009" i="14"/>
  <c r="R1009" i="14" s="1"/>
  <c r="J1033" i="14"/>
  <c r="R1033" i="14" s="1"/>
  <c r="J1212" i="14"/>
  <c r="R1212" i="14" s="1"/>
  <c r="J1229" i="14"/>
  <c r="R1229" i="14" s="1"/>
  <c r="N466" i="14"/>
  <c r="N465" i="14" s="1"/>
  <c r="R465" i="14" s="1"/>
  <c r="J329" i="14"/>
  <c r="J158" i="14"/>
  <c r="N45" i="14"/>
  <c r="R45" i="14" s="1"/>
  <c r="R40" i="14"/>
  <c r="R48" i="14"/>
  <c r="R12" i="14"/>
  <c r="J30" i="14"/>
  <c r="Q1612" i="14"/>
  <c r="I1611" i="14"/>
  <c r="I282" i="14"/>
  <c r="I281" i="14" s="1"/>
  <c r="Q281" i="14" s="1"/>
  <c r="I1363" i="14"/>
  <c r="Q1363" i="14" s="1"/>
  <c r="I762" i="14"/>
  <c r="I1089" i="14"/>
  <c r="Q1089" i="14" s="1"/>
  <c r="I1623" i="14"/>
  <c r="I1795" i="14"/>
  <c r="I1454" i="14"/>
  <c r="I1441" i="14" s="1"/>
  <c r="I1693" i="14"/>
  <c r="I1724" i="14"/>
  <c r="Q1724" i="14" s="1"/>
  <c r="I1643" i="14"/>
  <c r="I1650" i="14"/>
  <c r="Q1650" i="14" s="1"/>
  <c r="M1555" i="14"/>
  <c r="I1367" i="14"/>
  <c r="Q1367" i="14" s="1"/>
  <c r="I1422" i="14"/>
  <c r="Q1422" i="14" s="1"/>
  <c r="M1399" i="14"/>
  <c r="M1396" i="14" s="1"/>
  <c r="I1402" i="14"/>
  <c r="Q651" i="14"/>
  <c r="Q711" i="14"/>
  <c r="Q861" i="14"/>
  <c r="I1061" i="14"/>
  <c r="Q819" i="14"/>
  <c r="Q1287" i="14"/>
  <c r="Q1190" i="14"/>
  <c r="Q1230" i="14"/>
  <c r="Q753" i="14"/>
  <c r="Q938" i="14"/>
  <c r="Q925" i="14"/>
  <c r="Q1269" i="14"/>
  <c r="I1248" i="14"/>
  <c r="Q1248" i="14" s="1"/>
  <c r="I1291" i="14"/>
  <c r="Q1291" i="14" s="1"/>
  <c r="M351" i="14"/>
  <c r="Q351" i="14" s="1"/>
  <c r="I381" i="14"/>
  <c r="Q161" i="14"/>
  <c r="I169" i="14"/>
  <c r="Q169" i="14" s="1"/>
  <c r="I88" i="14"/>
  <c r="B1793" i="14"/>
  <c r="B1794" i="14" s="1"/>
  <c r="B1795" i="14" s="1"/>
  <c r="B1796" i="14" s="1"/>
  <c r="B1797" i="14" s="1"/>
  <c r="B1798" i="14" s="1"/>
  <c r="B1799" i="14" s="1"/>
  <c r="B1800" i="14" s="1"/>
  <c r="B1801" i="14" s="1"/>
  <c r="B1802" i="14" s="1"/>
  <c r="B1803" i="14" s="1"/>
  <c r="B1804" i="14" s="1"/>
  <c r="B1805" i="14" s="1"/>
  <c r="B1806" i="14" s="1"/>
  <c r="B1807" i="14" s="1"/>
  <c r="B1808" i="14" s="1"/>
  <c r="B1809" i="14" s="1"/>
  <c r="B1810" i="14" s="1"/>
  <c r="B1811" i="14" s="1"/>
  <c r="B1812" i="14" s="1"/>
  <c r="B1813" i="14" s="1"/>
  <c r="B1814" i="14" s="1"/>
  <c r="B1815" i="14" s="1"/>
  <c r="B1816" i="14" s="1"/>
  <c r="B1817" i="14" s="1"/>
  <c r="B1818" i="14" s="1"/>
  <c r="B1819" i="14" s="1"/>
  <c r="B1820" i="14" s="1"/>
  <c r="B1821" i="14" s="1"/>
  <c r="B1822" i="14" s="1"/>
  <c r="K1762" i="14"/>
  <c r="S1762" i="14" s="1"/>
  <c r="N1771" i="14"/>
  <c r="R1782" i="14"/>
  <c r="J1803" i="14"/>
  <c r="R1803" i="14" s="1"/>
  <c r="R1804" i="14"/>
  <c r="O881" i="14"/>
  <c r="J1682" i="14"/>
  <c r="R1682" i="14" s="1"/>
  <c r="J1744" i="14"/>
  <c r="R1745" i="14"/>
  <c r="N1396" i="14"/>
  <c r="R1399" i="14"/>
  <c r="Q1846" i="14"/>
  <c r="Q1402" i="14"/>
  <c r="B24" i="15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M49" i="14"/>
  <c r="M48" i="14" s="1"/>
  <c r="G382" i="13"/>
  <c r="I382" i="13" s="1"/>
  <c r="I44" i="14"/>
  <c r="Q44" i="14" s="1"/>
  <c r="G410" i="13"/>
  <c r="G408" i="13"/>
  <c r="G10" i="13"/>
  <c r="I10" i="13"/>
  <c r="G415" i="13"/>
  <c r="B404" i="13"/>
  <c r="B405" i="13" s="1"/>
  <c r="B406" i="13" s="1"/>
  <c r="B407" i="13" s="1"/>
  <c r="B408" i="13" s="1"/>
  <c r="B409" i="13" s="1"/>
  <c r="B410" i="13" s="1"/>
  <c r="B411" i="13" s="1"/>
  <c r="B412" i="13" s="1"/>
  <c r="B413" i="13" s="1"/>
  <c r="B414" i="13" s="1"/>
  <c r="B415" i="13" s="1"/>
  <c r="B416" i="13" s="1"/>
  <c r="B417" i="13" s="1"/>
  <c r="B418" i="13" s="1"/>
  <c r="B419" i="13" s="1"/>
  <c r="B420" i="13" s="1"/>
  <c r="B421" i="13" s="1"/>
  <c r="M40" i="14"/>
  <c r="Q40" i="14" s="1"/>
  <c r="G348" i="13"/>
  <c r="I348" i="13" s="1"/>
  <c r="G104" i="13"/>
  <c r="G107" i="13"/>
  <c r="I107" i="13" s="1"/>
  <c r="J24" i="15"/>
  <c r="G385" i="13"/>
  <c r="I385" i="13" s="1"/>
  <c r="G396" i="13"/>
  <c r="J28" i="15"/>
  <c r="I31" i="14"/>
  <c r="Q31" i="14" s="1"/>
  <c r="I36" i="14"/>
  <c r="G35" i="13"/>
  <c r="I35" i="13" s="1"/>
  <c r="G27" i="13"/>
  <c r="G25" i="13" s="1"/>
  <c r="I27" i="13"/>
  <c r="I62" i="14"/>
  <c r="Q62" i="14" s="1"/>
  <c r="I55" i="14"/>
  <c r="I59" i="14"/>
  <c r="Q59" i="14" s="1"/>
  <c r="I26" i="14"/>
  <c r="I22" i="14"/>
  <c r="Q22" i="14" s="1"/>
  <c r="I19" i="14"/>
  <c r="I18" i="14" s="1"/>
  <c r="I12" i="14"/>
  <c r="J35" i="15"/>
  <c r="L35" i="15" s="1"/>
  <c r="Q64" i="14"/>
  <c r="Q63" i="14"/>
  <c r="Q60" i="14"/>
  <c r="Q58" i="14"/>
  <c r="Q57" i="14"/>
  <c r="Q56" i="14"/>
  <c r="Q54" i="14"/>
  <c r="Q52" i="14"/>
  <c r="Q51" i="14"/>
  <c r="Q50" i="14"/>
  <c r="Q47" i="14"/>
  <c r="Q41" i="14"/>
  <c r="Q39" i="14"/>
  <c r="Q35" i="14"/>
  <c r="Q34" i="14"/>
  <c r="Q33" i="14"/>
  <c r="Q29" i="14"/>
  <c r="Q28" i="14"/>
  <c r="Q27" i="14"/>
  <c r="Q25" i="14"/>
  <c r="Q23" i="14"/>
  <c r="Q20" i="14"/>
  <c r="Q17" i="14"/>
  <c r="Q16" i="14"/>
  <c r="Q15" i="14"/>
  <c r="Q14" i="14"/>
  <c r="Q13" i="14"/>
  <c r="M46" i="14"/>
  <c r="O46" i="14" s="1"/>
  <c r="M38" i="14"/>
  <c r="G374" i="13"/>
  <c r="G371" i="13"/>
  <c r="G368" i="13"/>
  <c r="I368" i="13" s="1"/>
  <c r="G364" i="13"/>
  <c r="G363" i="13" s="1"/>
  <c r="G359" i="13"/>
  <c r="I359" i="13" s="1"/>
  <c r="G356" i="13"/>
  <c r="G352" i="13"/>
  <c r="G345" i="13"/>
  <c r="G341" i="13"/>
  <c r="I341" i="13" s="1"/>
  <c r="G336" i="13"/>
  <c r="I336" i="13" s="1"/>
  <c r="G333" i="13"/>
  <c r="G329" i="13"/>
  <c r="G324" i="13"/>
  <c r="I324" i="13" s="1"/>
  <c r="G321" i="13"/>
  <c r="G317" i="13"/>
  <c r="G312" i="13"/>
  <c r="I312" i="13" s="1"/>
  <c r="G309" i="13"/>
  <c r="G305" i="13"/>
  <c r="I305" i="13" s="1"/>
  <c r="G302" i="13"/>
  <c r="G299" i="13"/>
  <c r="G294" i="13"/>
  <c r="G293" i="13" s="1"/>
  <c r="I294" i="13"/>
  <c r="G291" i="13"/>
  <c r="G287" i="13"/>
  <c r="I287" i="13" s="1"/>
  <c r="G284" i="13"/>
  <c r="I284" i="13" s="1"/>
  <c r="G279" i="13"/>
  <c r="G276" i="13"/>
  <c r="I276" i="13" s="1"/>
  <c r="G272" i="13"/>
  <c r="G267" i="13"/>
  <c r="I267" i="13" s="1"/>
  <c r="G261" i="13"/>
  <c r="I261" i="13" s="1"/>
  <c r="G255" i="13"/>
  <c r="G249" i="13"/>
  <c r="G246" i="13"/>
  <c r="G241" i="13"/>
  <c r="I241" i="13" s="1"/>
  <c r="G238" i="13"/>
  <c r="G234" i="13"/>
  <c r="I234" i="13" s="1"/>
  <c r="G231" i="13"/>
  <c r="G227" i="13"/>
  <c r="I227" i="13" s="1"/>
  <c r="G223" i="13"/>
  <c r="G219" i="13"/>
  <c r="G213" i="13"/>
  <c r="G208" i="13"/>
  <c r="G207" i="13" s="1"/>
  <c r="G205" i="13"/>
  <c r="G201" i="13"/>
  <c r="G197" i="13"/>
  <c r="I197" i="13" s="1"/>
  <c r="G196" i="13"/>
  <c r="G193" i="13"/>
  <c r="I193" i="13" s="1"/>
  <c r="G189" i="13"/>
  <c r="G184" i="13"/>
  <c r="G179" i="13"/>
  <c r="G174" i="13"/>
  <c r="I174" i="13" s="1"/>
  <c r="G169" i="13"/>
  <c r="G163" i="13"/>
  <c r="G158" i="13"/>
  <c r="I158" i="13" s="1"/>
  <c r="G153" i="13"/>
  <c r="G152" i="13" s="1"/>
  <c r="G151" i="13" s="1"/>
  <c r="G148" i="13"/>
  <c r="G143" i="13"/>
  <c r="G138" i="13"/>
  <c r="G133" i="13"/>
  <c r="G128" i="13"/>
  <c r="G123" i="13"/>
  <c r="G118" i="13"/>
  <c r="G79" i="13"/>
  <c r="I79" i="13"/>
  <c r="G114" i="13"/>
  <c r="G111" i="13"/>
  <c r="G100" i="13"/>
  <c r="G97" i="13"/>
  <c r="I97" i="13" s="1"/>
  <c r="G93" i="13"/>
  <c r="G92" i="13" s="1"/>
  <c r="G91" i="13" s="1"/>
  <c r="I91" i="13" s="1"/>
  <c r="G89" i="13"/>
  <c r="I89" i="13" s="1"/>
  <c r="G86" i="13"/>
  <c r="I86" i="13" s="1"/>
  <c r="G82" i="13"/>
  <c r="G75" i="13"/>
  <c r="G71" i="13"/>
  <c r="I71" i="13" s="1"/>
  <c r="G67" i="13"/>
  <c r="G66" i="13" s="1"/>
  <c r="I67" i="13"/>
  <c r="G64" i="13"/>
  <c r="G52" i="13"/>
  <c r="G55" i="13"/>
  <c r="I55" i="13" s="1"/>
  <c r="G58" i="13"/>
  <c r="I58" i="13" s="1"/>
  <c r="G29" i="13"/>
  <c r="I29" i="13" s="1"/>
  <c r="G44" i="13"/>
  <c r="I44" i="13" s="1"/>
  <c r="G41" i="13"/>
  <c r="G38" i="13"/>
  <c r="I38" i="13" s="1"/>
  <c r="G32" i="13"/>
  <c r="I32" i="13" s="1"/>
  <c r="G17" i="13"/>
  <c r="I17" i="13" s="1"/>
  <c r="G12" i="13"/>
  <c r="G11" i="13" s="1"/>
  <c r="B10" i="14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7" i="13"/>
  <c r="B8" i="13" s="1"/>
  <c r="B9" i="13" s="1"/>
  <c r="B10" i="13" s="1"/>
  <c r="B11" i="13" s="1"/>
  <c r="B12" i="13" s="1"/>
  <c r="B13" i="13" s="1"/>
  <c r="B14" i="13" s="1"/>
  <c r="B15" i="13" s="1"/>
  <c r="B16" i="13" s="1"/>
  <c r="B17" i="13" s="1"/>
  <c r="B18" i="13" s="1"/>
  <c r="B19" i="13" s="1"/>
  <c r="B20" i="13" s="1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5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2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19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6" i="13" s="1"/>
  <c r="B147" i="13" s="1"/>
  <c r="B148" i="13" s="1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3" i="13" s="1"/>
  <c r="B174" i="13" s="1"/>
  <c r="B175" i="13" s="1"/>
  <c r="B176" i="13" s="1"/>
  <c r="B177" i="13" s="1"/>
  <c r="B178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0" i="13" s="1"/>
  <c r="B201" i="13" s="1"/>
  <c r="B202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7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4" i="13" s="1"/>
  <c r="B255" i="13" s="1"/>
  <c r="B256" i="13" s="1"/>
  <c r="B257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1" i="13" s="1"/>
  <c r="B282" i="13" s="1"/>
  <c r="B283" i="13" s="1"/>
  <c r="B284" i="13" s="1"/>
  <c r="B285" i="13" s="1"/>
  <c r="B286" i="13" s="1"/>
  <c r="B287" i="13" s="1"/>
  <c r="B288" i="13" s="1"/>
  <c r="B289" i="13" s="1"/>
  <c r="B290" i="13" s="1"/>
  <c r="B291" i="13" s="1"/>
  <c r="B292" i="13" s="1"/>
  <c r="B293" i="13" s="1"/>
  <c r="B294" i="13" s="1"/>
  <c r="B295" i="13" s="1"/>
  <c r="B296" i="13" s="1"/>
  <c r="B297" i="13" s="1"/>
  <c r="B298" i="13" s="1"/>
  <c r="B299" i="13" s="1"/>
  <c r="B300" i="13" s="1"/>
  <c r="B301" i="13" s="1"/>
  <c r="B302" i="13" s="1"/>
  <c r="B303" i="13" s="1"/>
  <c r="B304" i="13" s="1"/>
  <c r="B305" i="13" s="1"/>
  <c r="B306" i="13" s="1"/>
  <c r="B307" i="13" s="1"/>
  <c r="B308" i="13" s="1"/>
  <c r="B309" i="13" s="1"/>
  <c r="B310" i="13" s="1"/>
  <c r="B311" i="13" s="1"/>
  <c r="B312" i="13" s="1"/>
  <c r="B313" i="13" s="1"/>
  <c r="B314" i="13" s="1"/>
  <c r="B315" i="13" s="1"/>
  <c r="B316" i="13" s="1"/>
  <c r="B317" i="13" s="1"/>
  <c r="B318" i="13" s="1"/>
  <c r="B319" i="13" s="1"/>
  <c r="B320" i="13" s="1"/>
  <c r="B321" i="13" s="1"/>
  <c r="B322" i="13" s="1"/>
  <c r="B323" i="13" s="1"/>
  <c r="B324" i="13" s="1"/>
  <c r="B325" i="13" s="1"/>
  <c r="B326" i="13" s="1"/>
  <c r="B327" i="13" s="1"/>
  <c r="B328" i="13" s="1"/>
  <c r="B329" i="13" s="1"/>
  <c r="B330" i="13" s="1"/>
  <c r="B331" i="13" s="1"/>
  <c r="B332" i="13" s="1"/>
  <c r="B333" i="13" s="1"/>
  <c r="B334" i="13" s="1"/>
  <c r="B335" i="13" s="1"/>
  <c r="B336" i="13" s="1"/>
  <c r="B337" i="13" s="1"/>
  <c r="B338" i="13" s="1"/>
  <c r="B339" i="13" s="1"/>
  <c r="B340" i="13" s="1"/>
  <c r="B341" i="13" s="1"/>
  <c r="B342" i="13" s="1"/>
  <c r="B343" i="13" s="1"/>
  <c r="B344" i="13" s="1"/>
  <c r="B345" i="13" s="1"/>
  <c r="B346" i="13" s="1"/>
  <c r="B347" i="13" s="1"/>
  <c r="B348" i="13" s="1"/>
  <c r="B349" i="13" s="1"/>
  <c r="B350" i="13" s="1"/>
  <c r="B351" i="13" s="1"/>
  <c r="B352" i="13" s="1"/>
  <c r="B353" i="13" s="1"/>
  <c r="B354" i="13" s="1"/>
  <c r="B355" i="13" s="1"/>
  <c r="B356" i="13" s="1"/>
  <c r="B357" i="13" s="1"/>
  <c r="B358" i="13" s="1"/>
  <c r="B359" i="13" s="1"/>
  <c r="B360" i="13" s="1"/>
  <c r="B361" i="13" s="1"/>
  <c r="B362" i="13" s="1"/>
  <c r="B363" i="13" s="1"/>
  <c r="B364" i="13" s="1"/>
  <c r="B365" i="13" s="1"/>
  <c r="B366" i="13" s="1"/>
  <c r="B367" i="13" s="1"/>
  <c r="B368" i="13" s="1"/>
  <c r="B369" i="13" s="1"/>
  <c r="B370" i="13" s="1"/>
  <c r="B371" i="13" s="1"/>
  <c r="B372" i="13" s="1"/>
  <c r="B373" i="13" s="1"/>
  <c r="B374" i="13" s="1"/>
  <c r="B375" i="13" s="1"/>
  <c r="B376" i="13" s="1"/>
  <c r="B377" i="13" s="1"/>
  <c r="B378" i="13" s="1"/>
  <c r="B379" i="13" s="1"/>
  <c r="B380" i="13" s="1"/>
  <c r="B381" i="13" s="1"/>
  <c r="B382" i="13" s="1"/>
  <c r="B383" i="13" s="1"/>
  <c r="B384" i="13" s="1"/>
  <c r="B385" i="13" s="1"/>
  <c r="B386" i="13" s="1"/>
  <c r="B387" i="13" s="1"/>
  <c r="B388" i="13" s="1"/>
  <c r="B389" i="13" s="1"/>
  <c r="B390" i="13" s="1"/>
  <c r="B391" i="13" s="1"/>
  <c r="B392" i="13" s="1"/>
  <c r="B393" i="13" s="1"/>
  <c r="B394" i="13" s="1"/>
  <c r="B395" i="13" s="1"/>
  <c r="B396" i="13" s="1"/>
  <c r="B397" i="13" s="1"/>
  <c r="B398" i="13" s="1"/>
  <c r="B36" i="15"/>
  <c r="B37" i="15" s="1"/>
  <c r="B38" i="15" s="1"/>
  <c r="B39" i="15" s="1"/>
  <c r="B40" i="15" s="1"/>
  <c r="G63" i="13"/>
  <c r="G70" i="13"/>
  <c r="I70" i="13" s="1"/>
  <c r="G96" i="13"/>
  <c r="G78" i="13"/>
  <c r="I78" i="13" s="1"/>
  <c r="G188" i="13"/>
  <c r="I188" i="13" s="1"/>
  <c r="G237" i="13"/>
  <c r="I237" i="13" s="1"/>
  <c r="G266" i="13"/>
  <c r="I266" i="13" s="1"/>
  <c r="G34" i="13"/>
  <c r="G380" i="13"/>
  <c r="G16" i="13"/>
  <c r="I16" i="13" s="1"/>
  <c r="G226" i="13"/>
  <c r="G233" i="13"/>
  <c r="G218" i="13"/>
  <c r="G106" i="13"/>
  <c r="I106" i="13"/>
  <c r="G9" i="13"/>
  <c r="G54" i="13"/>
  <c r="I54" i="13" s="1"/>
  <c r="G85" i="13"/>
  <c r="I85" i="13"/>
  <c r="G173" i="13"/>
  <c r="I173" i="13" s="1"/>
  <c r="G187" i="13"/>
  <c r="I187" i="13" s="1"/>
  <c r="G192" i="13"/>
  <c r="I192" i="13" s="1"/>
  <c r="G240" i="13"/>
  <c r="G236" i="13" s="1"/>
  <c r="G298" i="13"/>
  <c r="I298" i="13" s="1"/>
  <c r="G304" i="13"/>
  <c r="I304" i="13" s="1"/>
  <c r="G311" i="13"/>
  <c r="I311" i="13" s="1"/>
  <c r="G335" i="13"/>
  <c r="I335" i="13"/>
  <c r="G351" i="13"/>
  <c r="G358" i="13"/>
  <c r="I358" i="13" s="1"/>
  <c r="G394" i="13"/>
  <c r="G393" i="13" s="1"/>
  <c r="I393" i="13" s="1"/>
  <c r="L24" i="15"/>
  <c r="J32" i="15"/>
  <c r="L32" i="15" s="1"/>
  <c r="G88" i="13"/>
  <c r="G122" i="13"/>
  <c r="G121" i="13" s="1"/>
  <c r="I121" i="13" s="1"/>
  <c r="G142" i="13"/>
  <c r="G195" i="13"/>
  <c r="I195" i="13" s="1"/>
  <c r="G212" i="13"/>
  <c r="G211" i="13" s="1"/>
  <c r="I211" i="13" s="1"/>
  <c r="G260" i="13"/>
  <c r="I260" i="13" s="1"/>
  <c r="G275" i="13"/>
  <c r="I275" i="13" s="1"/>
  <c r="G283" i="13"/>
  <c r="I283" i="13"/>
  <c r="G286" i="13"/>
  <c r="G340" i="13"/>
  <c r="I340" i="13" s="1"/>
  <c r="G355" i="13"/>
  <c r="I355" i="13" s="1"/>
  <c r="G347" i="13"/>
  <c r="I347" i="13" s="1"/>
  <c r="I380" i="13"/>
  <c r="G379" i="13"/>
  <c r="I293" i="13"/>
  <c r="I212" i="13"/>
  <c r="G141" i="13"/>
  <c r="I286" i="13"/>
  <c r="I240" i="13"/>
  <c r="G191" i="13"/>
  <c r="I191" i="13" s="1"/>
  <c r="I9" i="13"/>
  <c r="G8" i="13"/>
  <c r="I8" i="13" s="1"/>
  <c r="I379" i="13" l="1"/>
  <c r="G378" i="13"/>
  <c r="I141" i="13"/>
  <c r="G147" i="13"/>
  <c r="I148" i="13"/>
  <c r="I329" i="13"/>
  <c r="G328" i="13"/>
  <c r="I345" i="13"/>
  <c r="G344" i="13"/>
  <c r="I344" i="13" s="1"/>
  <c r="I363" i="13"/>
  <c r="G354" i="13"/>
  <c r="I354" i="13" s="1"/>
  <c r="G265" i="13"/>
  <c r="I265" i="13" s="1"/>
  <c r="I41" i="13"/>
  <c r="G40" i="13"/>
  <c r="I40" i="13" s="1"/>
  <c r="I205" i="13"/>
  <c r="G204" i="13"/>
  <c r="I204" i="13" s="1"/>
  <c r="I302" i="13"/>
  <c r="G301" i="13"/>
  <c r="I301" i="13" s="1"/>
  <c r="I317" i="13"/>
  <c r="G316" i="13"/>
  <c r="I316" i="13" s="1"/>
  <c r="G117" i="13"/>
  <c r="I118" i="13"/>
  <c r="I179" i="13"/>
  <c r="G178" i="13"/>
  <c r="I371" i="13"/>
  <c r="G370" i="13"/>
  <c r="I25" i="13"/>
  <c r="G24" i="13"/>
  <c r="I24" i="13" s="1"/>
  <c r="H141" i="13"/>
  <c r="I142" i="13"/>
  <c r="I163" i="13"/>
  <c r="G162" i="13"/>
  <c r="I231" i="13"/>
  <c r="G230" i="13"/>
  <c r="S677" i="14"/>
  <c r="S1390" i="14"/>
  <c r="S1415" i="14"/>
  <c r="S1461" i="14"/>
  <c r="S1465" i="14"/>
  <c r="S1684" i="14"/>
  <c r="S1700" i="14"/>
  <c r="S1717" i="14"/>
  <c r="S1729" i="14"/>
  <c r="S1749" i="14"/>
  <c r="S1753" i="14"/>
  <c r="S1790" i="14"/>
  <c r="S1794" i="14"/>
  <c r="S1810" i="14"/>
  <c r="H331" i="13"/>
  <c r="I226" i="13"/>
  <c r="I96" i="13"/>
  <c r="I143" i="13"/>
  <c r="I333" i="13"/>
  <c r="K1051" i="14"/>
  <c r="H376" i="13"/>
  <c r="I394" i="13"/>
  <c r="G172" i="13"/>
  <c r="I172" i="13" s="1"/>
  <c r="G323" i="13"/>
  <c r="I323" i="13" s="1"/>
  <c r="G225" i="13"/>
  <c r="I225" i="13" s="1"/>
  <c r="G367" i="13"/>
  <c r="I367" i="13" s="1"/>
  <c r="G43" i="13"/>
  <c r="I43" i="13" s="1"/>
  <c r="I66" i="13"/>
  <c r="G157" i="13"/>
  <c r="I189" i="13"/>
  <c r="I213" i="13"/>
  <c r="I238" i="13"/>
  <c r="I299" i="13"/>
  <c r="I356" i="13"/>
  <c r="I396" i="13"/>
  <c r="I1723" i="14"/>
  <c r="Q1723" i="14" s="1"/>
  <c r="R147" i="14"/>
  <c r="H244" i="13"/>
  <c r="H203" i="13"/>
  <c r="H7" i="13"/>
  <c r="H6" i="13" s="1"/>
  <c r="I123" i="13"/>
  <c r="I321" i="13"/>
  <c r="I352" i="13"/>
  <c r="I364" i="13"/>
  <c r="Q1047" i="14"/>
  <c r="G320" i="13"/>
  <c r="I320" i="13" s="1"/>
  <c r="I291" i="13"/>
  <c r="H236" i="13"/>
  <c r="I236" i="13" s="1"/>
  <c r="H84" i="13"/>
  <c r="S1702" i="14"/>
  <c r="S1751" i="14"/>
  <c r="S1772" i="14"/>
  <c r="S1792" i="14"/>
  <c r="S1800" i="14"/>
  <c r="S1773" i="14"/>
  <c r="S1845" i="14"/>
  <c r="S1851" i="14"/>
  <c r="K229" i="14"/>
  <c r="S229" i="14" s="1"/>
  <c r="Q229" i="14"/>
  <c r="I226" i="14"/>
  <c r="Q226" i="14" s="1"/>
  <c r="Q335" i="14"/>
  <c r="K335" i="14"/>
  <c r="I368" i="14"/>
  <c r="Q369" i="14"/>
  <c r="Q440" i="14"/>
  <c r="I439" i="14"/>
  <c r="Q439" i="14" s="1"/>
  <c r="H229" i="13"/>
  <c r="I233" i="13"/>
  <c r="G297" i="13"/>
  <c r="I297" i="13" s="1"/>
  <c r="G332" i="13"/>
  <c r="I332" i="13" s="1"/>
  <c r="G57" i="13"/>
  <c r="I57" i="13" s="1"/>
  <c r="I11" i="13"/>
  <c r="G7" i="13"/>
  <c r="G183" i="13"/>
  <c r="I184" i="13"/>
  <c r="I208" i="13"/>
  <c r="I223" i="13"/>
  <c r="G222" i="13"/>
  <c r="I246" i="13"/>
  <c r="G245" i="13"/>
  <c r="I245" i="13" s="1"/>
  <c r="G103" i="13"/>
  <c r="I104" i="13"/>
  <c r="H4" i="15"/>
  <c r="H343" i="13"/>
  <c r="I351" i="13"/>
  <c r="H63" i="13"/>
  <c r="H62" i="13" s="1"/>
  <c r="I64" i="13"/>
  <c r="I128" i="13"/>
  <c r="G127" i="13"/>
  <c r="I207" i="13"/>
  <c r="G203" i="13"/>
  <c r="I374" i="13"/>
  <c r="G373" i="13"/>
  <c r="I328" i="13"/>
  <c r="G319" i="13"/>
  <c r="I319" i="13" s="1"/>
  <c r="I34" i="13"/>
  <c r="G28" i="13"/>
  <c r="I82" i="13"/>
  <c r="G81" i="13"/>
  <c r="H210" i="13"/>
  <c r="H151" i="13"/>
  <c r="I151" i="13" s="1"/>
  <c r="I152" i="13"/>
  <c r="I378" i="13"/>
  <c r="G377" i="13"/>
  <c r="I100" i="13"/>
  <c r="G99" i="13"/>
  <c r="I201" i="13"/>
  <c r="G200" i="13"/>
  <c r="L28" i="15"/>
  <c r="J23" i="15"/>
  <c r="L23" i="15" s="1"/>
  <c r="I122" i="13"/>
  <c r="G259" i="13"/>
  <c r="I259" i="13" s="1"/>
  <c r="G343" i="13"/>
  <c r="G84" i="13"/>
  <c r="I84" i="13" s="1"/>
  <c r="I88" i="13"/>
  <c r="G290" i="13"/>
  <c r="I218" i="13"/>
  <c r="G217" i="13"/>
  <c r="I63" i="13"/>
  <c r="G62" i="13"/>
  <c r="I62" i="13" s="1"/>
  <c r="I75" i="13"/>
  <c r="G74" i="13"/>
  <c r="I92" i="13"/>
  <c r="I111" i="13"/>
  <c r="G110" i="13"/>
  <c r="I133" i="13"/>
  <c r="G132" i="13"/>
  <c r="I272" i="13"/>
  <c r="G271" i="13"/>
  <c r="I309" i="13"/>
  <c r="G308" i="13"/>
  <c r="I308" i="13" s="1"/>
  <c r="I408" i="13"/>
  <c r="G407" i="13"/>
  <c r="K600" i="14"/>
  <c r="I599" i="14"/>
  <c r="K606" i="14"/>
  <c r="Q606" i="14"/>
  <c r="Q610" i="14"/>
  <c r="K610" i="14"/>
  <c r="Q625" i="14"/>
  <c r="M624" i="14"/>
  <c r="O624" i="14" s="1"/>
  <c r="K655" i="14"/>
  <c r="I653" i="14"/>
  <c r="Q653" i="14" s="1"/>
  <c r="K673" i="14"/>
  <c r="Q673" i="14"/>
  <c r="Q691" i="14"/>
  <c r="K691" i="14"/>
  <c r="S691" i="14" s="1"/>
  <c r="K700" i="14"/>
  <c r="Q700" i="14"/>
  <c r="K790" i="14"/>
  <c r="Q790" i="14"/>
  <c r="K812" i="14"/>
  <c r="S812" i="14" s="1"/>
  <c r="Q812" i="14"/>
  <c r="I807" i="14"/>
  <c r="Q807" i="14" s="1"/>
  <c r="M857" i="14"/>
  <c r="Q857" i="14" s="1"/>
  <c r="Q858" i="14"/>
  <c r="Q915" i="14"/>
  <c r="K915" i="14"/>
  <c r="Q924" i="14"/>
  <c r="K924" i="14"/>
  <c r="S924" i="14" s="1"/>
  <c r="Q932" i="14"/>
  <c r="K932" i="14"/>
  <c r="K944" i="14"/>
  <c r="Q944" i="14"/>
  <c r="K948" i="14"/>
  <c r="Q948" i="14"/>
  <c r="K958" i="14"/>
  <c r="S958" i="14" s="1"/>
  <c r="Q958" i="14"/>
  <c r="K963" i="14"/>
  <c r="S963" i="14" s="1"/>
  <c r="Q963" i="14"/>
  <c r="I961" i="14"/>
  <c r="Q961" i="14" s="1"/>
  <c r="K986" i="14"/>
  <c r="Q986" i="14"/>
  <c r="K1004" i="14"/>
  <c r="S1004" i="14" s="1"/>
  <c r="Q1004" i="14"/>
  <c r="Q1036" i="14"/>
  <c r="K1036" i="14"/>
  <c r="S1036" i="14" s="1"/>
  <c r="I1033" i="14"/>
  <c r="Q1033" i="14" s="1"/>
  <c r="Q1122" i="14"/>
  <c r="I1119" i="14"/>
  <c r="Q1119" i="14" s="1"/>
  <c r="Q1126" i="14"/>
  <c r="K1126" i="14"/>
  <c r="K1158" i="14"/>
  <c r="S1158" i="14" s="1"/>
  <c r="Q1158" i="14"/>
  <c r="I1155" i="14"/>
  <c r="Q1175" i="14"/>
  <c r="K1175" i="14"/>
  <c r="S1175" i="14" s="1"/>
  <c r="Q1192" i="14"/>
  <c r="I1189" i="14"/>
  <c r="Q1189" i="14" s="1"/>
  <c r="J245" i="14"/>
  <c r="R245" i="14" s="1"/>
  <c r="R246" i="14"/>
  <c r="I370" i="13"/>
  <c r="G331" i="13"/>
  <c r="I331" i="13" s="1"/>
  <c r="I12" i="13"/>
  <c r="I52" i="13"/>
  <c r="G51" i="13"/>
  <c r="I114" i="13"/>
  <c r="G113" i="13"/>
  <c r="I113" i="13" s="1"/>
  <c r="I117" i="13"/>
  <c r="G116" i="13"/>
  <c r="I116" i="13" s="1"/>
  <c r="I138" i="13"/>
  <c r="G137" i="13"/>
  <c r="I249" i="13"/>
  <c r="G248" i="13"/>
  <c r="I279" i="13"/>
  <c r="G278" i="13"/>
  <c r="Q743" i="14"/>
  <c r="I169" i="13"/>
  <c r="G168" i="13"/>
  <c r="I196" i="13"/>
  <c r="I219" i="13"/>
  <c r="I255" i="13"/>
  <c r="G254" i="13"/>
  <c r="H366" i="13"/>
  <c r="H307" i="13"/>
  <c r="H50" i="13"/>
  <c r="Q1232" i="14"/>
  <c r="K1232" i="14"/>
  <c r="Q1240" i="14"/>
  <c r="K1240" i="14"/>
  <c r="S1240" i="14" s="1"/>
  <c r="I1435" i="14"/>
  <c r="K1439" i="14"/>
  <c r="S1439" i="14" s="1"/>
  <c r="Q1439" i="14"/>
  <c r="Q1816" i="14"/>
  <c r="I1813" i="14"/>
  <c r="Q1843" i="14"/>
  <c r="K1843" i="14"/>
  <c r="S1843" i="14" s="1"/>
  <c r="J122" i="14"/>
  <c r="R123" i="14"/>
  <c r="J256" i="14"/>
  <c r="R259" i="14"/>
  <c r="I153" i="13"/>
  <c r="I415" i="13"/>
  <c r="G414" i="13"/>
  <c r="I93" i="13"/>
  <c r="I410" i="13"/>
  <c r="G409" i="13"/>
  <c r="I409" i="13" s="1"/>
  <c r="K1624" i="14"/>
  <c r="S1624" i="14" s="1"/>
  <c r="J1623" i="14"/>
  <c r="R1816" i="14"/>
  <c r="J1813" i="14"/>
  <c r="J1812" i="14" s="1"/>
  <c r="R1812" i="14" s="1"/>
  <c r="J1795" i="14"/>
  <c r="R1795" i="14" s="1"/>
  <c r="K1796" i="14"/>
  <c r="S1796" i="14" s="1"/>
  <c r="R1796" i="14"/>
  <c r="H289" i="13"/>
  <c r="J1693" i="14"/>
  <c r="R1693" i="14" s="1"/>
  <c r="R1694" i="14"/>
  <c r="K1694" i="14"/>
  <c r="J1849" i="14"/>
  <c r="R1852" i="14"/>
  <c r="S1589" i="14"/>
  <c r="S1807" i="14"/>
  <c r="S1578" i="14"/>
  <c r="S1594" i="14"/>
  <c r="S1605" i="14"/>
  <c r="S1653" i="14"/>
  <c r="S1662" i="14"/>
  <c r="S1591" i="14"/>
  <c r="S1603" i="14"/>
  <c r="S1625" i="14"/>
  <c r="S1709" i="14"/>
  <c r="S1768" i="14"/>
  <c r="S1687" i="14"/>
  <c r="S1691" i="14"/>
  <c r="S1695" i="14"/>
  <c r="S1703" i="14"/>
  <c r="S1707" i="14"/>
  <c r="S1711" i="14"/>
  <c r="S1716" i="14"/>
  <c r="S1720" i="14"/>
  <c r="S1728" i="14"/>
  <c r="S1732" i="14"/>
  <c r="S1752" i="14"/>
  <c r="S1766" i="14"/>
  <c r="S1793" i="14"/>
  <c r="S1809" i="14"/>
  <c r="S1848" i="14"/>
  <c r="S1763" i="14"/>
  <c r="I954" i="14"/>
  <c r="I951" i="14" s="1"/>
  <c r="K951" i="14" s="1"/>
  <c r="S951" i="14" s="1"/>
  <c r="O1783" i="14"/>
  <c r="K1852" i="14"/>
  <c r="S1852" i="14" s="1"/>
  <c r="N37" i="14"/>
  <c r="N30" i="14" s="1"/>
  <c r="S380" i="14"/>
  <c r="J1189" i="14"/>
  <c r="R1189" i="14" s="1"/>
  <c r="S836" i="14"/>
  <c r="S1590" i="14"/>
  <c r="S1606" i="14"/>
  <c r="J1698" i="14"/>
  <c r="S1690" i="14"/>
  <c r="S1719" i="14"/>
  <c r="B1524" i="14"/>
  <c r="B1525" i="14" s="1"/>
  <c r="B1526" i="14" s="1"/>
  <c r="B1527" i="14" s="1"/>
  <c r="B1528" i="14" s="1"/>
  <c r="B1529" i="14" s="1"/>
  <c r="B1530" i="14" s="1"/>
  <c r="B1531" i="14" s="1"/>
  <c r="B1532" i="14" s="1"/>
  <c r="B1533" i="14" s="1"/>
  <c r="B1534" i="14" s="1"/>
  <c r="B1535" i="14" s="1"/>
  <c r="B1536" i="14" s="1"/>
  <c r="B1537" i="14" s="1"/>
  <c r="B1538" i="14" s="1"/>
  <c r="B1539" i="14" s="1"/>
  <c r="B1540" i="14" s="1"/>
  <c r="B1541" i="14" s="1"/>
  <c r="B1542" i="14" s="1"/>
  <c r="B1543" i="14" s="1"/>
  <c r="B1544" i="14" s="1"/>
  <c r="B1545" i="14" s="1"/>
  <c r="B1546" i="14" s="1"/>
  <c r="B1547" i="14" s="1"/>
  <c r="B1548" i="14" s="1"/>
  <c r="B1549" i="14" s="1"/>
  <c r="B1550" i="14" s="1"/>
  <c r="B1551" i="14" s="1"/>
  <c r="B1552" i="14" s="1"/>
  <c r="B1553" i="14" s="1"/>
  <c r="B1554" i="14" s="1"/>
  <c r="B1555" i="14" s="1"/>
  <c r="B1556" i="14" s="1"/>
  <c r="B1557" i="14" s="1"/>
  <c r="S442" i="14"/>
  <c r="S454" i="14"/>
  <c r="S1545" i="14"/>
  <c r="S1230" i="14"/>
  <c r="S1540" i="14"/>
  <c r="S333" i="14"/>
  <c r="S14" i="14"/>
  <c r="S35" i="14"/>
  <c r="S51" i="14"/>
  <c r="S130" i="14"/>
  <c r="S144" i="14"/>
  <c r="S232" i="14"/>
  <c r="S248" i="14"/>
  <c r="S270" i="14"/>
  <c r="S285" i="14"/>
  <c r="S353" i="14"/>
  <c r="S383" i="14"/>
  <c r="S649" i="14"/>
  <c r="S702" i="14"/>
  <c r="S770" i="14"/>
  <c r="S778" i="14"/>
  <c r="S782" i="14"/>
  <c r="S852" i="14"/>
  <c r="S856" i="14"/>
  <c r="S875" i="14"/>
  <c r="S879" i="14"/>
  <c r="S898" i="14"/>
  <c r="S906" i="14"/>
  <c r="S910" i="14"/>
  <c r="S970" i="14"/>
  <c r="S1026" i="14"/>
  <c r="S1139" i="14"/>
  <c r="S1151" i="14"/>
  <c r="S1262" i="14"/>
  <c r="S1389" i="14"/>
  <c r="S1424" i="14"/>
  <c r="S1460" i="14"/>
  <c r="S1464" i="14"/>
  <c r="S1523" i="14"/>
  <c r="K681" i="14"/>
  <c r="Q681" i="14"/>
  <c r="K798" i="14"/>
  <c r="S798" i="14" s="1"/>
  <c r="Q798" i="14"/>
  <c r="Q1107" i="14"/>
  <c r="K1107" i="14"/>
  <c r="Q1143" i="14"/>
  <c r="K1143" i="14"/>
  <c r="I613" i="14"/>
  <c r="Q719" i="14"/>
  <c r="K630" i="14"/>
  <c r="S630" i="14" s="1"/>
  <c r="K1663" i="14"/>
  <c r="S1663" i="14" s="1"/>
  <c r="K870" i="14"/>
  <c r="S870" i="14" s="1"/>
  <c r="Q848" i="14"/>
  <c r="K893" i="14"/>
  <c r="S893" i="14" s="1"/>
  <c r="K136" i="14"/>
  <c r="K806" i="14"/>
  <c r="S806" i="14" s="1"/>
  <c r="K1035" i="14"/>
  <c r="S1035" i="14" s="1"/>
  <c r="K146" i="14"/>
  <c r="I1745" i="14"/>
  <c r="Q1745" i="14" s="1"/>
  <c r="K1799" i="14"/>
  <c r="S1799" i="14" s="1"/>
  <c r="Q1416" i="14"/>
  <c r="K79" i="14"/>
  <c r="S79" i="14" s="1"/>
  <c r="Q79" i="14"/>
  <c r="Q170" i="14"/>
  <c r="K170" i="14"/>
  <c r="S170" i="14" s="1"/>
  <c r="I246" i="14"/>
  <c r="Q249" i="14"/>
  <c r="K786" i="14"/>
  <c r="S786" i="14" s="1"/>
  <c r="Q786" i="14"/>
  <c r="Q820" i="14"/>
  <c r="K820" i="14"/>
  <c r="Q850" i="14"/>
  <c r="K850" i="14"/>
  <c r="S850" i="14" s="1"/>
  <c r="Q945" i="14"/>
  <c r="K945" i="14"/>
  <c r="K978" i="14"/>
  <c r="S978" i="14" s="1"/>
  <c r="Q978" i="14"/>
  <c r="K1010" i="14"/>
  <c r="S1010" i="14" s="1"/>
  <c r="Q1010" i="14"/>
  <c r="I1025" i="14"/>
  <c r="Q1025" i="14" s="1"/>
  <c r="K1028" i="14"/>
  <c r="S1028" i="14" s="1"/>
  <c r="Q1048" i="14"/>
  <c r="K1048" i="14"/>
  <c r="S1048" i="14" s="1"/>
  <c r="Q943" i="14"/>
  <c r="K943" i="14"/>
  <c r="S943" i="14" s="1"/>
  <c r="I741" i="14"/>
  <c r="Q741" i="14" s="1"/>
  <c r="K1196" i="14"/>
  <c r="S1196" i="14" s="1"/>
  <c r="K639" i="14"/>
  <c r="S639" i="14" s="1"/>
  <c r="O1608" i="14"/>
  <c r="S1608" i="14" s="1"/>
  <c r="I115" i="14"/>
  <c r="Q115" i="14" s="1"/>
  <c r="I1266" i="14"/>
  <c r="Q1266" i="14" s="1"/>
  <c r="I984" i="14"/>
  <c r="Q984" i="14" s="1"/>
  <c r="I679" i="14"/>
  <c r="Q679" i="14" s="1"/>
  <c r="I1284" i="14"/>
  <c r="K1284" i="14" s="1"/>
  <c r="Q607" i="14"/>
  <c r="I648" i="14"/>
  <c r="M1466" i="14"/>
  <c r="Q1466" i="14" s="1"/>
  <c r="M1626" i="14"/>
  <c r="I1798" i="14"/>
  <c r="K159" i="14"/>
  <c r="K1231" i="14"/>
  <c r="S1231" i="14" s="1"/>
  <c r="K959" i="14"/>
  <c r="S959" i="14" s="1"/>
  <c r="K871" i="14"/>
  <c r="S871" i="14" s="1"/>
  <c r="K720" i="14"/>
  <c r="S720" i="14" s="1"/>
  <c r="K249" i="14"/>
  <c r="S249" i="14" s="1"/>
  <c r="Q1608" i="14"/>
  <c r="Q1847" i="14"/>
  <c r="K763" i="14"/>
  <c r="S763" i="14" s="1"/>
  <c r="Q655" i="14"/>
  <c r="K994" i="14"/>
  <c r="K185" i="14"/>
  <c r="S185" i="14" s="1"/>
  <c r="I688" i="14"/>
  <c r="Q688" i="14" s="1"/>
  <c r="Q882" i="14"/>
  <c r="K440" i="14"/>
  <c r="S440" i="14" s="1"/>
  <c r="K796" i="14"/>
  <c r="S796" i="14" s="1"/>
  <c r="K664" i="14"/>
  <c r="I1786" i="14"/>
  <c r="Q1652" i="14"/>
  <c r="Q971" i="14"/>
  <c r="K971" i="14"/>
  <c r="K1174" i="14"/>
  <c r="S1174" i="14" s="1"/>
  <c r="I1172" i="14"/>
  <c r="Q1239" i="14"/>
  <c r="K1239" i="14"/>
  <c r="S1239" i="14" s="1"/>
  <c r="Q1395" i="14"/>
  <c r="M1394" i="14"/>
  <c r="Q1394" i="14" s="1"/>
  <c r="K1527" i="14"/>
  <c r="S1527" i="14" s="1"/>
  <c r="I1521" i="14"/>
  <c r="I1520" i="14" s="1"/>
  <c r="Q1520" i="14" s="1"/>
  <c r="Q1580" i="14"/>
  <c r="M1579" i="14"/>
  <c r="O1579" i="14" s="1"/>
  <c r="Q1644" i="14"/>
  <c r="K1644" i="14"/>
  <c r="S1644" i="14" s="1"/>
  <c r="Q1667" i="14"/>
  <c r="K1667" i="14"/>
  <c r="S1667" i="14" s="1"/>
  <c r="K1759" i="14"/>
  <c r="S1759" i="14" s="1"/>
  <c r="I1757" i="14"/>
  <c r="J24" i="14"/>
  <c r="R24" i="14" s="1"/>
  <c r="R26" i="14"/>
  <c r="R190" i="14"/>
  <c r="O190" i="14"/>
  <c r="S190" i="14" s="1"/>
  <c r="J368" i="14"/>
  <c r="K368" i="14" s="1"/>
  <c r="R369" i="14"/>
  <c r="R344" i="14"/>
  <c r="N343" i="14"/>
  <c r="R1158" i="14"/>
  <c r="J1155" i="14"/>
  <c r="R1155" i="14" s="1"/>
  <c r="J1068" i="14"/>
  <c r="R1068" i="14" s="1"/>
  <c r="R1071" i="14"/>
  <c r="Q663" i="14"/>
  <c r="K663" i="14"/>
  <c r="S663" i="14" s="1"/>
  <c r="Q951" i="14"/>
  <c r="Q954" i="14"/>
  <c r="Q840" i="14"/>
  <c r="Q767" i="14"/>
  <c r="Q654" i="14"/>
  <c r="I1552" i="14"/>
  <c r="I968" i="14"/>
  <c r="Q968" i="14" s="1"/>
  <c r="O1627" i="14"/>
  <c r="K1547" i="14"/>
  <c r="Q690" i="14"/>
  <c r="O1621" i="14"/>
  <c r="K862" i="14"/>
  <c r="S862" i="14" s="1"/>
  <c r="Q1727" i="14"/>
  <c r="K143" i="14"/>
  <c r="S143" i="14" s="1"/>
  <c r="Q143" i="14"/>
  <c r="O148" i="14"/>
  <c r="S148" i="14" s="1"/>
  <c r="K752" i="14"/>
  <c r="I751" i="14"/>
  <c r="Q751" i="14" s="1"/>
  <c r="K785" i="14"/>
  <c r="Q785" i="14"/>
  <c r="M838" i="14"/>
  <c r="Q863" i="14"/>
  <c r="K863" i="14"/>
  <c r="S863" i="14" s="1"/>
  <c r="Q894" i="14"/>
  <c r="K894" i="14"/>
  <c r="S894" i="14" s="1"/>
  <c r="K903" i="14"/>
  <c r="S903" i="14" s="1"/>
  <c r="Q903" i="14"/>
  <c r="Q977" i="14"/>
  <c r="K977" i="14"/>
  <c r="S977" i="14" s="1"/>
  <c r="Q1166" i="14"/>
  <c r="K1166" i="14"/>
  <c r="S1166" i="14" s="1"/>
  <c r="Q1197" i="14"/>
  <c r="K1197" i="14"/>
  <c r="S1197" i="14" s="1"/>
  <c r="Q1210" i="14"/>
  <c r="M1209" i="14"/>
  <c r="Q1209" i="14" s="1"/>
  <c r="Q1397" i="14"/>
  <c r="K1397" i="14"/>
  <c r="S1397" i="14" s="1"/>
  <c r="M1449" i="14"/>
  <c r="Q1450" i="14"/>
  <c r="O1450" i="14"/>
  <c r="I1543" i="14"/>
  <c r="Q1543" i="14" s="1"/>
  <c r="I1396" i="14"/>
  <c r="J838" i="14"/>
  <c r="J613" i="14"/>
  <c r="M147" i="14"/>
  <c r="Q147" i="14" s="1"/>
  <c r="I174" i="14"/>
  <c r="I180" i="14"/>
  <c r="M343" i="14"/>
  <c r="I733" i="14"/>
  <c r="Q733" i="14" s="1"/>
  <c r="K754" i="14"/>
  <c r="S754" i="14" s="1"/>
  <c r="S792" i="14"/>
  <c r="S861" i="14"/>
  <c r="S884" i="14"/>
  <c r="I1001" i="14"/>
  <c r="Q1001" i="14" s="1"/>
  <c r="S1049" i="14"/>
  <c r="K1064" i="14"/>
  <c r="S1064" i="14" s="1"/>
  <c r="K1190" i="14"/>
  <c r="S1190" i="14" s="1"/>
  <c r="S827" i="14"/>
  <c r="K1801" i="14"/>
  <c r="S1801" i="14" s="1"/>
  <c r="S1783" i="14"/>
  <c r="S1770" i="14"/>
  <c r="S373" i="14"/>
  <c r="S436" i="14"/>
  <c r="S458" i="14"/>
  <c r="S801" i="14"/>
  <c r="S813" i="14"/>
  <c r="S833" i="14"/>
  <c r="S837" i="14"/>
  <c r="S936" i="14"/>
  <c r="S1069" i="14"/>
  <c r="S1113" i="14"/>
  <c r="S1129" i="14"/>
  <c r="S1145" i="14"/>
  <c r="S1161" i="14"/>
  <c r="S1165" i="14"/>
  <c r="S1198" i="14"/>
  <c r="S1224" i="14"/>
  <c r="S1228" i="14"/>
  <c r="S1236" i="14"/>
  <c r="S1272" i="14"/>
  <c r="S1288" i="14"/>
  <c r="S1409" i="14"/>
  <c r="S1436" i="14"/>
  <c r="S1468" i="14"/>
  <c r="S1522" i="14"/>
  <c r="S1526" i="14"/>
  <c r="S1538" i="14"/>
  <c r="S842" i="14"/>
  <c r="S988" i="14"/>
  <c r="S1550" i="14"/>
  <c r="S1528" i="14"/>
  <c r="S1666" i="14"/>
  <c r="S1701" i="14"/>
  <c r="S1730" i="14"/>
  <c r="S1750" i="14"/>
  <c r="S1791" i="14"/>
  <c r="S1811" i="14"/>
  <c r="O1607" i="14"/>
  <c r="S1607" i="14" s="1"/>
  <c r="S1554" i="14"/>
  <c r="S1577" i="14"/>
  <c r="S1633" i="14"/>
  <c r="S1802" i="14"/>
  <c r="S1755" i="14"/>
  <c r="J1692" i="14"/>
  <c r="R1692" i="14" s="1"/>
  <c r="S1621" i="14"/>
  <c r="J1646" i="14"/>
  <c r="R1646" i="14" s="1"/>
  <c r="R1669" i="14"/>
  <c r="S1704" i="14"/>
  <c r="S681" i="14"/>
  <c r="S840" i="14"/>
  <c r="K1693" i="14"/>
  <c r="S1693" i="14" s="1"/>
  <c r="S1579" i="14"/>
  <c r="S1665" i="14"/>
  <c r="S1592" i="14"/>
  <c r="S1767" i="14"/>
  <c r="R1626" i="14"/>
  <c r="O1626" i="14"/>
  <c r="S1626" i="14" s="1"/>
  <c r="K1651" i="14"/>
  <c r="S1651" i="14" s="1"/>
  <c r="R1651" i="14"/>
  <c r="J255" i="14"/>
  <c r="R255" i="14" s="1"/>
  <c r="R256" i="14"/>
  <c r="R857" i="14"/>
  <c r="N838" i="14"/>
  <c r="O838" i="14" s="1"/>
  <c r="R1391" i="14"/>
  <c r="N1386" i="14"/>
  <c r="O38" i="14"/>
  <c r="S38" i="14" s="1"/>
  <c r="I902" i="14"/>
  <c r="K648" i="14"/>
  <c r="S648" i="14" s="1"/>
  <c r="S1761" i="14"/>
  <c r="K1122" i="14"/>
  <c r="S1122" i="14" s="1"/>
  <c r="I1634" i="14"/>
  <c r="K1634" i="14" s="1"/>
  <c r="S1634" i="14" s="1"/>
  <c r="Q736" i="14"/>
  <c r="K946" i="14"/>
  <c r="S946" i="14" s="1"/>
  <c r="J774" i="14"/>
  <c r="R774" i="14" s="1"/>
  <c r="R1786" i="14"/>
  <c r="I670" i="14"/>
  <c r="I661" i="14"/>
  <c r="Q661" i="14" s="1"/>
  <c r="I1842" i="14"/>
  <c r="R155" i="14"/>
  <c r="R1394" i="14"/>
  <c r="M1619" i="14"/>
  <c r="M1614" i="14" s="1"/>
  <c r="M1611" i="14" s="1"/>
  <c r="Q1611" i="14" s="1"/>
  <c r="O858" i="14"/>
  <c r="I43" i="14"/>
  <c r="I42" i="14" s="1"/>
  <c r="Q19" i="14"/>
  <c r="K1053" i="14"/>
  <c r="S1053" i="14" s="1"/>
  <c r="I942" i="14"/>
  <c r="I941" i="14" s="1"/>
  <c r="I636" i="14"/>
  <c r="Q636" i="14" s="1"/>
  <c r="I717" i="14"/>
  <c r="Q717" i="14" s="1"/>
  <c r="I1229" i="14"/>
  <c r="Q1229" i="14" s="1"/>
  <c r="Q662" i="14"/>
  <c r="I883" i="14"/>
  <c r="Q883" i="14" s="1"/>
  <c r="K1422" i="14"/>
  <c r="S1422" i="14" s="1"/>
  <c r="I123" i="14"/>
  <c r="K123" i="14" s="1"/>
  <c r="S123" i="14" s="1"/>
  <c r="I1610" i="14"/>
  <c r="J53" i="14"/>
  <c r="R53" i="14" s="1"/>
  <c r="J174" i="14"/>
  <c r="R174" i="14" s="1"/>
  <c r="J883" i="14"/>
  <c r="R883" i="14" s="1"/>
  <c r="J1584" i="14"/>
  <c r="J1575" i="14" s="1"/>
  <c r="J1061" i="14"/>
  <c r="R1061" i="14" s="1"/>
  <c r="K163" i="14"/>
  <c r="S163" i="14" s="1"/>
  <c r="S1740" i="14"/>
  <c r="J1771" i="14"/>
  <c r="J1765" i="14" s="1"/>
  <c r="R1422" i="14"/>
  <c r="K614" i="14"/>
  <c r="S614" i="14" s="1"/>
  <c r="N274" i="14"/>
  <c r="R274" i="14" s="1"/>
  <c r="K1652" i="14"/>
  <c r="S1652" i="14" s="1"/>
  <c r="K886" i="14"/>
  <c r="S886" i="14" s="1"/>
  <c r="O1858" i="14"/>
  <c r="S1858" i="14" s="1"/>
  <c r="K629" i="14"/>
  <c r="S629" i="14" s="1"/>
  <c r="J1119" i="14"/>
  <c r="R1119" i="14" s="1"/>
  <c r="R858" i="14"/>
  <c r="R1652" i="14"/>
  <c r="J1025" i="14"/>
  <c r="Q365" i="14"/>
  <c r="K1050" i="14"/>
  <c r="S1050" i="14" s="1"/>
  <c r="Q612" i="14"/>
  <c r="K985" i="14"/>
  <c r="S985" i="14" s="1"/>
  <c r="M1413" i="14"/>
  <c r="Q1413" i="14" s="1"/>
  <c r="I1075" i="14"/>
  <c r="Q1075" i="14" s="1"/>
  <c r="M462" i="14"/>
  <c r="Q462" i="14" s="1"/>
  <c r="K1774" i="14"/>
  <c r="S1774" i="14" s="1"/>
  <c r="R456" i="14"/>
  <c r="Q754" i="14"/>
  <c r="K926" i="14"/>
  <c r="S926" i="14" s="1"/>
  <c r="R132" i="14"/>
  <c r="K76" i="14"/>
  <c r="S76" i="14" s="1"/>
  <c r="J1431" i="14"/>
  <c r="R1431" i="14" s="1"/>
  <c r="N1629" i="14"/>
  <c r="J1756" i="14"/>
  <c r="R1756" i="14" s="1"/>
  <c r="I1300" i="14"/>
  <c r="I725" i="14"/>
  <c r="K725" i="14" s="1"/>
  <c r="S725" i="14" s="1"/>
  <c r="Q775" i="14"/>
  <c r="I697" i="14"/>
  <c r="K697" i="14" s="1"/>
  <c r="I860" i="14"/>
  <c r="Q884" i="14"/>
  <c r="O1394" i="14"/>
  <c r="S1394" i="14" s="1"/>
  <c r="I627" i="14"/>
  <c r="Q627" i="14" s="1"/>
  <c r="I787" i="14"/>
  <c r="N186" i="14"/>
  <c r="J645" i="14"/>
  <c r="R645" i="14" s="1"/>
  <c r="J751" i="14"/>
  <c r="R751" i="14" s="1"/>
  <c r="J717" i="14"/>
  <c r="R717" i="14" s="1"/>
  <c r="J601" i="14"/>
  <c r="R601" i="14" s="1"/>
  <c r="J1842" i="14"/>
  <c r="O132" i="14"/>
  <c r="S132" i="14" s="1"/>
  <c r="S1627" i="14"/>
  <c r="K337" i="14"/>
  <c r="S337" i="14" s="1"/>
  <c r="K913" i="14"/>
  <c r="S913" i="14" s="1"/>
  <c r="R223" i="14"/>
  <c r="K1760" i="14"/>
  <c r="Q792" i="14"/>
  <c r="I1097" i="14"/>
  <c r="Q1097" i="14" s="1"/>
  <c r="S1443" i="14"/>
  <c r="S848" i="14"/>
  <c r="S1556" i="14"/>
  <c r="O1467" i="14"/>
  <c r="S1467" i="14" s="1"/>
  <c r="S1123" i="14"/>
  <c r="S1234" i="14"/>
  <c r="S1407" i="14"/>
  <c r="J1552" i="14"/>
  <c r="R1552" i="14" s="1"/>
  <c r="S1547" i="14"/>
  <c r="K1553" i="14"/>
  <c r="S1553" i="14" s="1"/>
  <c r="S600" i="14"/>
  <c r="S673" i="14"/>
  <c r="S994" i="14"/>
  <c r="S1143" i="14"/>
  <c r="N1519" i="14"/>
  <c r="H14" i="15" s="1"/>
  <c r="Q1396" i="14"/>
  <c r="R1548" i="14"/>
  <c r="K1724" i="14"/>
  <c r="S1724" i="14" s="1"/>
  <c r="K439" i="14"/>
  <c r="S439" i="14" s="1"/>
  <c r="Q223" i="14"/>
  <c r="R1454" i="14"/>
  <c r="Q1061" i="14"/>
  <c r="K1189" i="14"/>
  <c r="S1189" i="14" s="1"/>
  <c r="M1194" i="14"/>
  <c r="M1044" i="14" s="1"/>
  <c r="Q1521" i="14"/>
  <c r="M196" i="14"/>
  <c r="Q196" i="14" s="1"/>
  <c r="I135" i="14"/>
  <c r="K135" i="14" s="1"/>
  <c r="S135" i="14" s="1"/>
  <c r="R37" i="14"/>
  <c r="O197" i="14"/>
  <c r="S197" i="14" s="1"/>
  <c r="Q1630" i="14"/>
  <c r="K338" i="14"/>
  <c r="S338" i="14" s="1"/>
  <c r="M122" i="14"/>
  <c r="Q712" i="14"/>
  <c r="Q1399" i="14"/>
  <c r="O1399" i="14"/>
  <c r="S1399" i="14" s="1"/>
  <c r="K1521" i="14"/>
  <c r="S1521" i="14" s="1"/>
  <c r="O343" i="14"/>
  <c r="S343" i="14" s="1"/>
  <c r="M348" i="14"/>
  <c r="S632" i="14"/>
  <c r="S652" i="14"/>
  <c r="S701" i="14"/>
  <c r="S705" i="14"/>
  <c r="S773" i="14"/>
  <c r="S781" i="14"/>
  <c r="S851" i="14"/>
  <c r="S855" i="14"/>
  <c r="S874" i="14"/>
  <c r="S878" i="14"/>
  <c r="S897" i="14"/>
  <c r="S901" i="14"/>
  <c r="S909" i="14"/>
  <c r="S969" i="14"/>
  <c r="S1029" i="14"/>
  <c r="S1037" i="14"/>
  <c r="S1041" i="14"/>
  <c r="S1062" i="14"/>
  <c r="S1090" i="14"/>
  <c r="S1094" i="14"/>
  <c r="S1106" i="14"/>
  <c r="S1110" i="14"/>
  <c r="S1138" i="14"/>
  <c r="S1142" i="14"/>
  <c r="S1154" i="14"/>
  <c r="S1186" i="14"/>
  <c r="S1207" i="14"/>
  <c r="S1245" i="14"/>
  <c r="S1261" i="14"/>
  <c r="S1285" i="14"/>
  <c r="S1297" i="14"/>
  <c r="S1370" i="14"/>
  <c r="S1374" i="14"/>
  <c r="S1378" i="14"/>
  <c r="S1388" i="14"/>
  <c r="S1444" i="14"/>
  <c r="S1448" i="14"/>
  <c r="S1459" i="14"/>
  <c r="S998" i="14"/>
  <c r="S802" i="14"/>
  <c r="S1199" i="14"/>
  <c r="S1225" i="14"/>
  <c r="S1233" i="14"/>
  <c r="S1237" i="14"/>
  <c r="S1249" i="14"/>
  <c r="S1273" i="14"/>
  <c r="S1301" i="14"/>
  <c r="S982" i="14"/>
  <c r="S1042" i="14"/>
  <c r="S1375" i="14"/>
  <c r="S1379" i="14"/>
  <c r="S287" i="14"/>
  <c r="S341" i="14"/>
  <c r="S631" i="14"/>
  <c r="S643" i="14"/>
  <c r="S675" i="14"/>
  <c r="S723" i="14"/>
  <c r="S846" i="14"/>
  <c r="S1077" i="14"/>
  <c r="S1121" i="14"/>
  <c r="S1260" i="14"/>
  <c r="S1264" i="14"/>
  <c r="S1377" i="14"/>
  <c r="S1426" i="14"/>
  <c r="R1429" i="14"/>
  <c r="J434" i="14"/>
  <c r="R434" i="14" s="1"/>
  <c r="R435" i="14"/>
  <c r="S1463" i="14"/>
  <c r="S1284" i="14"/>
  <c r="S610" i="14"/>
  <c r="S655" i="14"/>
  <c r="S932" i="14"/>
  <c r="S820" i="14"/>
  <c r="S948" i="14"/>
  <c r="S606" i="14"/>
  <c r="S700" i="14"/>
  <c r="S711" i="14"/>
  <c r="S719" i="14"/>
  <c r="S1405" i="14"/>
  <c r="S659" i="14"/>
  <c r="S667" i="14"/>
  <c r="S683" i="14"/>
  <c r="S687" i="14"/>
  <c r="S695" i="14"/>
  <c r="S715" i="14"/>
  <c r="S731" i="14"/>
  <c r="S739" i="14"/>
  <c r="S747" i="14"/>
  <c r="S755" i="14"/>
  <c r="S759" i="14"/>
  <c r="S809" i="14"/>
  <c r="S865" i="14"/>
  <c r="S869" i="14"/>
  <c r="S888" i="14"/>
  <c r="S892" i="14"/>
  <c r="S972" i="14"/>
  <c r="S980" i="14"/>
  <c r="S992" i="14"/>
  <c r="S1000" i="14"/>
  <c r="S1008" i="14"/>
  <c r="S1016" i="14"/>
  <c r="S1032" i="14"/>
  <c r="S1040" i="14"/>
  <c r="S1065" i="14"/>
  <c r="S1081" i="14"/>
  <c r="S1093" i="14"/>
  <c r="S1109" i="14"/>
  <c r="S1125" i="14"/>
  <c r="S1141" i="14"/>
  <c r="S1157" i="14"/>
  <c r="S1206" i="14"/>
  <c r="S1244" i="14"/>
  <c r="S1268" i="14"/>
  <c r="S1296" i="14"/>
  <c r="S890" i="14"/>
  <c r="S974" i="14"/>
  <c r="S1246" i="14"/>
  <c r="S1369" i="14"/>
  <c r="S1373" i="14"/>
  <c r="S1447" i="14"/>
  <c r="S1371" i="14"/>
  <c r="S1403" i="14"/>
  <c r="S1411" i="14"/>
  <c r="S1434" i="14"/>
  <c r="S1438" i="14"/>
  <c r="S602" i="14"/>
  <c r="S1232" i="14"/>
  <c r="S651" i="14"/>
  <c r="S743" i="14"/>
  <c r="S944" i="14"/>
  <c r="S448" i="14"/>
  <c r="S457" i="14"/>
  <c r="S704" i="14"/>
  <c r="S772" i="14"/>
  <c r="S780" i="14"/>
  <c r="S784" i="14"/>
  <c r="S854" i="14"/>
  <c r="S873" i="14"/>
  <c r="S877" i="14"/>
  <c r="S896" i="14"/>
  <c r="S900" i="14"/>
  <c r="S912" i="14"/>
  <c r="S956" i="14"/>
  <c r="S1185" i="14"/>
  <c r="S1292" i="14"/>
  <c r="R1467" i="14"/>
  <c r="S1400" i="14"/>
  <c r="S1414" i="14"/>
  <c r="S1450" i="14"/>
  <c r="S625" i="14"/>
  <c r="S872" i="14"/>
  <c r="S699" i="14"/>
  <c r="O1210" i="14"/>
  <c r="S1210" i="14" s="1"/>
  <c r="S1051" i="14"/>
  <c r="S915" i="14"/>
  <c r="S818" i="14"/>
  <c r="S987" i="14"/>
  <c r="S136" i="14"/>
  <c r="S971" i="14"/>
  <c r="S662" i="14"/>
  <c r="S441" i="14"/>
  <c r="S634" i="14"/>
  <c r="S642" i="14"/>
  <c r="S650" i="14"/>
  <c r="S703" i="14"/>
  <c r="S685" i="14"/>
  <c r="S713" i="14"/>
  <c r="S867" i="14"/>
  <c r="S1006" i="14"/>
  <c r="S1038" i="14"/>
  <c r="S1067" i="14"/>
  <c r="S1079" i="14"/>
  <c r="S1095" i="14"/>
  <c r="S1159" i="14"/>
  <c r="S1200" i="14"/>
  <c r="S1242" i="14"/>
  <c r="S1270" i="14"/>
  <c r="S1274" i="14"/>
  <c r="R815" i="14"/>
  <c r="S665" i="14"/>
  <c r="S698" i="14"/>
  <c r="S721" i="14"/>
  <c r="S729" i="14"/>
  <c r="S745" i="14"/>
  <c r="S757" i="14"/>
  <c r="S811" i="14"/>
  <c r="S844" i="14"/>
  <c r="S990" i="14"/>
  <c r="S1014" i="14"/>
  <c r="S1030" i="14"/>
  <c r="S1055" i="14"/>
  <c r="S1083" i="14"/>
  <c r="S1099" i="14"/>
  <c r="S1163" i="14"/>
  <c r="S1191" i="14"/>
  <c r="S1208" i="14"/>
  <c r="S1226" i="14"/>
  <c r="S1238" i="14"/>
  <c r="S1250" i="14"/>
  <c r="S1286" i="14"/>
  <c r="S1298" i="14"/>
  <c r="S1302" i="14"/>
  <c r="N795" i="14"/>
  <c r="R795" i="14" s="1"/>
  <c r="R814" i="14"/>
  <c r="S790" i="14"/>
  <c r="S986" i="14"/>
  <c r="S1047" i="14"/>
  <c r="S799" i="14"/>
  <c r="S803" i="14"/>
  <c r="S831" i="14"/>
  <c r="S835" i="14"/>
  <c r="S1107" i="14"/>
  <c r="R352" i="14"/>
  <c r="S612" i="14"/>
  <c r="S753" i="14"/>
  <c r="S616" i="14"/>
  <c r="S949" i="14"/>
  <c r="S1126" i="14"/>
  <c r="S222" i="14"/>
  <c r="S364" i="14"/>
  <c r="S664" i="14"/>
  <c r="R706" i="14"/>
  <c r="O1209" i="14"/>
  <c r="S1209" i="14" s="1"/>
  <c r="S611" i="14"/>
  <c r="S1289" i="14"/>
  <c r="S728" i="14"/>
  <c r="S1269" i="14"/>
  <c r="S905" i="14"/>
  <c r="S628" i="14"/>
  <c r="S1195" i="14"/>
  <c r="S945" i="14"/>
  <c r="S752" i="14"/>
  <c r="S785" i="14"/>
  <c r="S624" i="14"/>
  <c r="N1194" i="14"/>
  <c r="N1044" i="14" s="1"/>
  <c r="S1203" i="14"/>
  <c r="S1221" i="14"/>
  <c r="S1213" i="14"/>
  <c r="S656" i="14"/>
  <c r="S736" i="14"/>
  <c r="S769" i="14"/>
  <c r="S925" i="14"/>
  <c r="Q174" i="14"/>
  <c r="K174" i="14"/>
  <c r="S174" i="14" s="1"/>
  <c r="K180" i="14"/>
  <c r="S180" i="14" s="1"/>
  <c r="I179" i="14"/>
  <c r="K179" i="14" s="1"/>
  <c r="K1002" i="14"/>
  <c r="S1002" i="14" s="1"/>
  <c r="Q1002" i="14"/>
  <c r="Q1034" i="14"/>
  <c r="K1034" i="14"/>
  <c r="S1034" i="14" s="1"/>
  <c r="Q1368" i="14"/>
  <c r="K1368" i="14"/>
  <c r="S1368" i="14" s="1"/>
  <c r="I1386" i="14"/>
  <c r="K1386" i="14" s="1"/>
  <c r="K1387" i="14"/>
  <c r="S1387" i="14" s="1"/>
  <c r="O1429" i="14"/>
  <c r="S1429" i="14" s="1"/>
  <c r="M1428" i="14"/>
  <c r="M1548" i="14"/>
  <c r="O1549" i="14"/>
  <c r="S1549" i="14" s="1"/>
  <c r="K1600" i="14"/>
  <c r="S1600" i="14" s="1"/>
  <c r="Q1600" i="14"/>
  <c r="Q1604" i="14"/>
  <c r="K1604" i="14"/>
  <c r="S1604" i="14" s="1"/>
  <c r="Q1659" i="14"/>
  <c r="K1659" i="14"/>
  <c r="S1659" i="14" s="1"/>
  <c r="Q1718" i="14"/>
  <c r="K1718" i="14"/>
  <c r="S1718" i="14" s="1"/>
  <c r="R1183" i="14"/>
  <c r="K1183" i="14"/>
  <c r="S1183" i="14" s="1"/>
  <c r="J1147" i="14"/>
  <c r="R1147" i="14" s="1"/>
  <c r="R1150" i="14"/>
  <c r="J1089" i="14"/>
  <c r="R1089" i="14" s="1"/>
  <c r="K1092" i="14"/>
  <c r="S1092" i="14" s="1"/>
  <c r="J1650" i="14"/>
  <c r="R1650" i="14" s="1"/>
  <c r="Q1155" i="14"/>
  <c r="K1454" i="14"/>
  <c r="K984" i="14"/>
  <c r="S984" i="14" s="1"/>
  <c r="R1419" i="14"/>
  <c r="M455" i="14"/>
  <c r="M437" i="14" s="1"/>
  <c r="I645" i="14"/>
  <c r="K645" i="14" s="1"/>
  <c r="S645" i="14" s="1"/>
  <c r="R623" i="14"/>
  <c r="K1291" i="14"/>
  <c r="S1291" i="14" s="1"/>
  <c r="O1619" i="14"/>
  <c r="S1619" i="14" s="1"/>
  <c r="Q135" i="14"/>
  <c r="K1441" i="14"/>
  <c r="I332" i="14"/>
  <c r="K332" i="14" s="1"/>
  <c r="S332" i="14" s="1"/>
  <c r="I1046" i="14"/>
  <c r="I1009" i="14"/>
  <c r="Q1009" i="14" s="1"/>
  <c r="Q735" i="14"/>
  <c r="I976" i="14"/>
  <c r="Q976" i="14" s="1"/>
  <c r="I709" i="14"/>
  <c r="Q709" i="14" s="1"/>
  <c r="K1795" i="14"/>
  <c r="S1795" i="14" s="1"/>
  <c r="K727" i="14"/>
  <c r="S727" i="14" s="1"/>
  <c r="Q1136" i="14"/>
  <c r="O277" i="14"/>
  <c r="S277" i="14" s="1"/>
  <c r="K1202" i="14"/>
  <c r="S1202" i="14" s="1"/>
  <c r="Q378" i="14"/>
  <c r="O372" i="14"/>
  <c r="S372" i="14" s="1"/>
  <c r="M128" i="14"/>
  <c r="Q132" i="14"/>
  <c r="K175" i="14"/>
  <c r="S175" i="14" s="1"/>
  <c r="Q175" i="14"/>
  <c r="Q193" i="14"/>
  <c r="I192" i="14"/>
  <c r="I374" i="14"/>
  <c r="Q374" i="14" s="1"/>
  <c r="K375" i="14"/>
  <c r="S375" i="14" s="1"/>
  <c r="Q375" i="14"/>
  <c r="Q615" i="14"/>
  <c r="K615" i="14"/>
  <c r="S615" i="14" s="1"/>
  <c r="Q914" i="14"/>
  <c r="K914" i="14"/>
  <c r="S914" i="14" s="1"/>
  <c r="K962" i="14"/>
  <c r="S962" i="14" s="1"/>
  <c r="Q962" i="14"/>
  <c r="K59" i="14"/>
  <c r="S59" i="14" s="1"/>
  <c r="I765" i="14"/>
  <c r="N42" i="14"/>
  <c r="R42" i="14" s="1"/>
  <c r="K1001" i="14"/>
  <c r="S1001" i="14" s="1"/>
  <c r="R466" i="14"/>
  <c r="Q1552" i="14"/>
  <c r="I1194" i="14"/>
  <c r="K1611" i="14"/>
  <c r="K1100" i="14"/>
  <c r="S1100" i="14" s="1"/>
  <c r="K718" i="14"/>
  <c r="S718" i="14" s="1"/>
  <c r="K1668" i="14"/>
  <c r="S1668" i="14" s="1"/>
  <c r="K1294" i="14"/>
  <c r="S1294" i="14" s="1"/>
  <c r="Q1064" i="14"/>
  <c r="Q1635" i="14"/>
  <c r="Q1858" i="14"/>
  <c r="K1816" i="14"/>
  <c r="S1816" i="14" s="1"/>
  <c r="K166" i="14"/>
  <c r="S166" i="14" s="1"/>
  <c r="K1664" i="14"/>
  <c r="S1664" i="14" s="1"/>
  <c r="K1114" i="14"/>
  <c r="S1114" i="14" s="1"/>
  <c r="K768" i="14"/>
  <c r="S768" i="14" s="1"/>
  <c r="Q768" i="14"/>
  <c r="Q777" i="14"/>
  <c r="K777" i="14"/>
  <c r="S777" i="14" s="1"/>
  <c r="Q849" i="14"/>
  <c r="K849" i="14"/>
  <c r="S849" i="14" s="1"/>
  <c r="Q346" i="14"/>
  <c r="O346" i="14"/>
  <c r="S346" i="14" s="1"/>
  <c r="Q435" i="14"/>
  <c r="K435" i="14"/>
  <c r="S435" i="14" s="1"/>
  <c r="O499" i="14"/>
  <c r="S499" i="14" s="1"/>
  <c r="Q499" i="14"/>
  <c r="R128" i="14"/>
  <c r="K734" i="14"/>
  <c r="S734" i="14" s="1"/>
  <c r="K223" i="14"/>
  <c r="S223" i="14" s="1"/>
  <c r="Q995" i="14"/>
  <c r="Q163" i="14"/>
  <c r="J1382" i="14"/>
  <c r="R1382" i="14" s="1"/>
  <c r="S607" i="14"/>
  <c r="K1383" i="14"/>
  <c r="S1383" i="14" s="1"/>
  <c r="S233" i="14"/>
  <c r="S271" i="14"/>
  <c r="S286" i="14"/>
  <c r="S376" i="14"/>
  <c r="S834" i="14"/>
  <c r="S937" i="14"/>
  <c r="S1054" i="14"/>
  <c r="S1070" i="14"/>
  <c r="S1098" i="14"/>
  <c r="S1130" i="14"/>
  <c r="S1146" i="14"/>
  <c r="S1162" i="14"/>
  <c r="S1406" i="14"/>
  <c r="S660" i="14"/>
  <c r="S668" i="14"/>
  <c r="S676" i="14"/>
  <c r="S684" i="14"/>
  <c r="S692" i="14"/>
  <c r="S696" i="14"/>
  <c r="S716" i="14"/>
  <c r="S724" i="14"/>
  <c r="S732" i="14"/>
  <c r="S740" i="14"/>
  <c r="S748" i="14"/>
  <c r="S756" i="14"/>
  <c r="S760" i="14"/>
  <c r="S810" i="14"/>
  <c r="S843" i="14"/>
  <c r="S847" i="14"/>
  <c r="S866" i="14"/>
  <c r="S889" i="14"/>
  <c r="S973" i="14"/>
  <c r="S981" i="14"/>
  <c r="S989" i="14"/>
  <c r="S997" i="14"/>
  <c r="S1005" i="14"/>
  <c r="S1013" i="14"/>
  <c r="S1066" i="14"/>
  <c r="S712" i="14"/>
  <c r="I993" i="14"/>
  <c r="Q993" i="14" s="1"/>
  <c r="S1789" i="14"/>
  <c r="J85" i="14"/>
  <c r="R85" i="14" s="1"/>
  <c r="S640" i="14"/>
  <c r="S644" i="14"/>
  <c r="S1265" i="14"/>
  <c r="S1293" i="14"/>
  <c r="S1408" i="14"/>
  <c r="S134" i="14"/>
  <c r="S445" i="14"/>
  <c r="S464" i="14"/>
  <c r="S151" i="14"/>
  <c r="S244" i="14"/>
  <c r="S443" i="14"/>
  <c r="S447" i="14"/>
  <c r="S335" i="14"/>
  <c r="O352" i="14"/>
  <c r="S352" i="14" s="1"/>
  <c r="S168" i="14"/>
  <c r="S224" i="14"/>
  <c r="S358" i="14"/>
  <c r="S379" i="14"/>
  <c r="R120" i="14"/>
  <c r="J118" i="14"/>
  <c r="K119" i="14"/>
  <c r="S119" i="14" s="1"/>
  <c r="R368" i="14"/>
  <c r="S195" i="14"/>
  <c r="S334" i="14"/>
  <c r="S342" i="14"/>
  <c r="S361" i="14"/>
  <c r="O366" i="14"/>
  <c r="S366" i="14" s="1"/>
  <c r="S240" i="14"/>
  <c r="S257" i="14"/>
  <c r="S276" i="14"/>
  <c r="K19" i="14"/>
  <c r="S19" i="14" s="1"/>
  <c r="B246" i="14"/>
  <c r="S252" i="14"/>
  <c r="S131" i="14"/>
  <c r="S225" i="14"/>
  <c r="S241" i="14"/>
  <c r="S258" i="14"/>
  <c r="J281" i="14"/>
  <c r="R281" i="14" s="1"/>
  <c r="S247" i="14"/>
  <c r="S234" i="14"/>
  <c r="S238" i="14"/>
  <c r="S268" i="14"/>
  <c r="S272" i="14"/>
  <c r="S25" i="14"/>
  <c r="S54" i="14"/>
  <c r="S138" i="14"/>
  <c r="S173" i="14"/>
  <c r="S182" i="14"/>
  <c r="S242" i="14"/>
  <c r="S231" i="14"/>
  <c r="S235" i="14"/>
  <c r="S243" i="14"/>
  <c r="S251" i="14"/>
  <c r="S269" i="14"/>
  <c r="S273" i="14"/>
  <c r="S280" i="14"/>
  <c r="S284" i="14"/>
  <c r="S145" i="14"/>
  <c r="R43" i="14"/>
  <c r="R62" i="14"/>
  <c r="S161" i="14"/>
  <c r="S56" i="14"/>
  <c r="S152" i="14"/>
  <c r="S159" i="14"/>
  <c r="S13" i="14"/>
  <c r="S194" i="14"/>
  <c r="S50" i="14"/>
  <c r="S191" i="14"/>
  <c r="S58" i="14"/>
  <c r="S137" i="14"/>
  <c r="S178" i="14"/>
  <c r="S198" i="14"/>
  <c r="S129" i="14"/>
  <c r="R22" i="14"/>
  <c r="S172" i="14"/>
  <c r="I7" i="15"/>
  <c r="R19" i="14"/>
  <c r="S17" i="14"/>
  <c r="S63" i="14"/>
  <c r="S20" i="14"/>
  <c r="S117" i="14"/>
  <c r="S164" i="14"/>
  <c r="S121" i="14"/>
  <c r="S153" i="14"/>
  <c r="S157" i="14"/>
  <c r="S162" i="14"/>
  <c r="S176" i="14"/>
  <c r="S181" i="14"/>
  <c r="S46" i="14"/>
  <c r="K89" i="14"/>
  <c r="S89" i="14" s="1"/>
  <c r="S146" i="14"/>
  <c r="R89" i="14"/>
  <c r="S116" i="14"/>
  <c r="M860" i="14"/>
  <c r="Q880" i="14"/>
  <c r="M37" i="14"/>
  <c r="Q37" i="14" s="1"/>
  <c r="K1119" i="14"/>
  <c r="S1119" i="14" s="1"/>
  <c r="J1841" i="14"/>
  <c r="R1841" i="14" s="1"/>
  <c r="R1842" i="14"/>
  <c r="K31" i="14"/>
  <c r="S31" i="14" s="1"/>
  <c r="I1692" i="14"/>
  <c r="Q1692" i="14" s="1"/>
  <c r="R838" i="14"/>
  <c r="K1089" i="14"/>
  <c r="S1089" i="14" s="1"/>
  <c r="Q881" i="14"/>
  <c r="K221" i="14"/>
  <c r="S221" i="14" s="1"/>
  <c r="J1734" i="14"/>
  <c r="R1734" i="14" s="1"/>
  <c r="Q88" i="14"/>
  <c r="I85" i="14"/>
  <c r="I140" i="14"/>
  <c r="K140" i="14" s="1"/>
  <c r="S140" i="14" s="1"/>
  <c r="R1413" i="14"/>
  <c r="N1412" i="14"/>
  <c r="N1381" i="14" s="1"/>
  <c r="R1367" i="14"/>
  <c r="K1367" i="14"/>
  <c r="S1367" i="14" s="1"/>
  <c r="O128" i="14"/>
  <c r="K1714" i="14"/>
  <c r="S1714" i="14" s="1"/>
  <c r="O40" i="14"/>
  <c r="S40" i="14" s="1"/>
  <c r="K765" i="14"/>
  <c r="S765" i="14" s="1"/>
  <c r="Q1693" i="14"/>
  <c r="K1033" i="14"/>
  <c r="S1033" i="14" s="1"/>
  <c r="R1386" i="14"/>
  <c r="I449" i="14"/>
  <c r="Q762" i="14"/>
  <c r="K762" i="14"/>
  <c r="S762" i="14" s="1"/>
  <c r="M329" i="14"/>
  <c r="Q343" i="14"/>
  <c r="K1623" i="14"/>
  <c r="K453" i="14"/>
  <c r="S453" i="14" s="1"/>
  <c r="K141" i="14"/>
  <c r="S141" i="14" s="1"/>
  <c r="I128" i="14"/>
  <c r="Q128" i="14" s="1"/>
  <c r="Q129" i="14"/>
  <c r="Q246" i="14"/>
  <c r="I245" i="14"/>
  <c r="Q245" i="14" s="1"/>
  <c r="Q267" i="14"/>
  <c r="I266" i="14"/>
  <c r="K266" i="14" s="1"/>
  <c r="K267" i="14"/>
  <c r="S267" i="14" s="1"/>
  <c r="M1849" i="14"/>
  <c r="M1841" i="14" s="1"/>
  <c r="M1840" i="14" s="1"/>
  <c r="G17" i="15" s="1"/>
  <c r="I17" i="15" s="1"/>
  <c r="Q1857" i="14"/>
  <c r="K1537" i="14"/>
  <c r="S1537" i="14" s="1"/>
  <c r="Q1537" i="14"/>
  <c r="I1536" i="14"/>
  <c r="K80" i="14"/>
  <c r="S80" i="14" s="1"/>
  <c r="Q80" i="14"/>
  <c r="Q934" i="14"/>
  <c r="I923" i="14"/>
  <c r="K934" i="14"/>
  <c r="S934" i="14" s="1"/>
  <c r="K1745" i="14"/>
  <c r="S1745" i="14" s="1"/>
  <c r="I1744" i="14"/>
  <c r="R343" i="14"/>
  <c r="N329" i="14"/>
  <c r="R329" i="14" s="1"/>
  <c r="Q1804" i="14"/>
  <c r="K1804" i="14"/>
  <c r="S1804" i="14" s="1"/>
  <c r="Q459" i="14"/>
  <c r="I456" i="14"/>
  <c r="I455" i="14" s="1"/>
  <c r="K459" i="14"/>
  <c r="S459" i="14" s="1"/>
  <c r="Q475" i="14"/>
  <c r="O475" i="14"/>
  <c r="S475" i="14" s="1"/>
  <c r="M467" i="14"/>
  <c r="O467" i="14" s="1"/>
  <c r="S467" i="14" s="1"/>
  <c r="Q512" i="14"/>
  <c r="O512" i="14"/>
  <c r="S512" i="14" s="1"/>
  <c r="I1133" i="14"/>
  <c r="S227" i="14"/>
  <c r="S260" i="14"/>
  <c r="S264" i="14"/>
  <c r="O463" i="14"/>
  <c r="S463" i="14" s="1"/>
  <c r="S858" i="14"/>
  <c r="S1278" i="14"/>
  <c r="S1306" i="14"/>
  <c r="S188" i="14"/>
  <c r="I158" i="14"/>
  <c r="K158" i="14" s="1"/>
  <c r="K954" i="14"/>
  <c r="S954" i="14" s="1"/>
  <c r="M274" i="14"/>
  <c r="I78" i="14"/>
  <c r="K638" i="14"/>
  <c r="S638" i="14" s="1"/>
  <c r="K349" i="14"/>
  <c r="S349" i="14" s="1"/>
  <c r="K742" i="14"/>
  <c r="S742" i="14" s="1"/>
  <c r="K797" i="14"/>
  <c r="S797" i="14" s="1"/>
  <c r="Q1028" i="14"/>
  <c r="K1214" i="14"/>
  <c r="S1214" i="14" s="1"/>
  <c r="K805" i="14"/>
  <c r="S805" i="14" s="1"/>
  <c r="Q996" i="14"/>
  <c r="I434" i="14"/>
  <c r="Q434" i="14" s="1"/>
  <c r="K369" i="14"/>
  <c r="S369" i="14" s="1"/>
  <c r="O882" i="14"/>
  <c r="S882" i="14" s="1"/>
  <c r="K1085" i="14"/>
  <c r="S1085" i="14" s="1"/>
  <c r="K789" i="14"/>
  <c r="S789" i="14" s="1"/>
  <c r="K672" i="14"/>
  <c r="S672" i="14" s="1"/>
  <c r="K1222" i="14"/>
  <c r="S1222" i="14" s="1"/>
  <c r="K950" i="14"/>
  <c r="S950" i="14" s="1"/>
  <c r="K938" i="14"/>
  <c r="S938" i="14" s="1"/>
  <c r="Q1576" i="14"/>
  <c r="K1786" i="14"/>
  <c r="S1786" i="14" s="1"/>
  <c r="Q1387" i="14"/>
  <c r="I1597" i="14"/>
  <c r="I1584" i="14" s="1"/>
  <c r="O1622" i="14"/>
  <c r="S1622" i="14" s="1"/>
  <c r="M371" i="14"/>
  <c r="I1082" i="14"/>
  <c r="Q1082" i="14" s="1"/>
  <c r="I1104" i="14"/>
  <c r="S27" i="14"/>
  <c r="S160" i="14"/>
  <c r="S279" i="14"/>
  <c r="S669" i="14"/>
  <c r="S693" i="14"/>
  <c r="S1445" i="14"/>
  <c r="S1531" i="14"/>
  <c r="S1797" i="14"/>
  <c r="K115" i="14"/>
  <c r="S115" i="14" s="1"/>
  <c r="K860" i="14"/>
  <c r="R613" i="14"/>
  <c r="R1575" i="14"/>
  <c r="K647" i="14"/>
  <c r="S647" i="14" s="1"/>
  <c r="O708" i="14"/>
  <c r="S708" i="14" s="1"/>
  <c r="O1857" i="14"/>
  <c r="S1857" i="14" s="1"/>
  <c r="K933" i="14"/>
  <c r="S933" i="14" s="1"/>
  <c r="K793" i="14"/>
  <c r="S793" i="14" s="1"/>
  <c r="K246" i="14"/>
  <c r="S246" i="14" s="1"/>
  <c r="O344" i="14"/>
  <c r="S344" i="14" s="1"/>
  <c r="K776" i="14"/>
  <c r="S776" i="14" s="1"/>
  <c r="M815" i="14"/>
  <c r="O815" i="14" s="1"/>
  <c r="S815" i="14" s="1"/>
  <c r="K1173" i="14"/>
  <c r="S1173" i="14" s="1"/>
  <c r="M707" i="14"/>
  <c r="K452" i="14"/>
  <c r="S452" i="14" s="1"/>
  <c r="Q1383" i="14"/>
  <c r="Q1049" i="14"/>
  <c r="I1382" i="14"/>
  <c r="K1382" i="14" s="1"/>
  <c r="S1382" i="14" s="1"/>
  <c r="S1063" i="14"/>
  <c r="S1091" i="14"/>
  <c r="S1187" i="14"/>
  <c r="N626" i="14"/>
  <c r="N598" i="14" s="1"/>
  <c r="R697" i="14"/>
  <c r="M1575" i="14"/>
  <c r="O1584" i="14"/>
  <c r="K941" i="14"/>
  <c r="S941" i="14" s="1"/>
  <c r="Q941" i="14"/>
  <c r="R1723" i="14"/>
  <c r="K1723" i="14"/>
  <c r="S1723" i="14" s="1"/>
  <c r="I155" i="14"/>
  <c r="K156" i="14"/>
  <c r="S156" i="14" s="1"/>
  <c r="Q156" i="14"/>
  <c r="Q605" i="14"/>
  <c r="K605" i="14"/>
  <c r="S605" i="14" s="1"/>
  <c r="Q830" i="14"/>
  <c r="K830" i="14"/>
  <c r="S830" i="14" s="1"/>
  <c r="Q1020" i="14"/>
  <c r="I1017" i="14"/>
  <c r="Q1686" i="14"/>
  <c r="I1683" i="14"/>
  <c r="K1686" i="14"/>
  <c r="S1686" i="14" s="1"/>
  <c r="Q1699" i="14"/>
  <c r="I1698" i="14"/>
  <c r="J354" i="14"/>
  <c r="J348" i="14" s="1"/>
  <c r="K357" i="14"/>
  <c r="S357" i="14" s="1"/>
  <c r="J1300" i="14"/>
  <c r="K1300" i="14" s="1"/>
  <c r="S1300" i="14" s="1"/>
  <c r="K1303" i="14"/>
  <c r="S1303" i="14" s="1"/>
  <c r="R996" i="14"/>
  <c r="K996" i="14"/>
  <c r="S996" i="14" s="1"/>
  <c r="R926" i="14"/>
  <c r="J923" i="14"/>
  <c r="K923" i="14" s="1"/>
  <c r="S923" i="14" s="1"/>
  <c r="R1801" i="14"/>
  <c r="J1798" i="14"/>
  <c r="R1798" i="14" s="1"/>
  <c r="R1584" i="14"/>
  <c r="R1744" i="14"/>
  <c r="R1771" i="14"/>
  <c r="Q140" i="14"/>
  <c r="Q648" i="14"/>
  <c r="Q1579" i="14"/>
  <c r="Q180" i="14"/>
  <c r="K245" i="14"/>
  <c r="S245" i="14" s="1"/>
  <c r="Q1607" i="14"/>
  <c r="R1724" i="14"/>
  <c r="R1857" i="14"/>
  <c r="K1009" i="14"/>
  <c r="S1009" i="14" s="1"/>
  <c r="R1715" i="14"/>
  <c r="R1623" i="14"/>
  <c r="K613" i="14"/>
  <c r="K1846" i="14"/>
  <c r="S1846" i="14" s="1"/>
  <c r="K1363" i="14"/>
  <c r="S1363" i="14" s="1"/>
  <c r="J961" i="14"/>
  <c r="R961" i="14" s="1"/>
  <c r="J438" i="14"/>
  <c r="R446" i="14"/>
  <c r="R158" i="14"/>
  <c r="K839" i="14"/>
  <c r="S839" i="14" s="1"/>
  <c r="N365" i="14"/>
  <c r="K1223" i="14"/>
  <c r="S1223" i="14" s="1"/>
  <c r="O1641" i="14"/>
  <c r="S1641" i="14" s="1"/>
  <c r="R382" i="14"/>
  <c r="K1660" i="14"/>
  <c r="S1660" i="14" s="1"/>
  <c r="R1276" i="14"/>
  <c r="K382" i="14"/>
  <c r="S382" i="14" s="1"/>
  <c r="K1648" i="14"/>
  <c r="S1648" i="14" s="1"/>
  <c r="Q86" i="14"/>
  <c r="K86" i="14"/>
  <c r="S86" i="14" s="1"/>
  <c r="I795" i="14"/>
  <c r="K795" i="14" s="1"/>
  <c r="K1266" i="14"/>
  <c r="S1266" i="14" s="1"/>
  <c r="I604" i="14"/>
  <c r="K1643" i="14"/>
  <c r="S1643" i="14" s="1"/>
  <c r="J1194" i="14"/>
  <c r="K1194" i="14" s="1"/>
  <c r="K1276" i="14"/>
  <c r="S1276" i="14" s="1"/>
  <c r="K1020" i="14"/>
  <c r="S1020" i="14" s="1"/>
  <c r="K1215" i="14"/>
  <c r="S1215" i="14" s="1"/>
  <c r="K1204" i="14"/>
  <c r="S1204" i="14" s="1"/>
  <c r="R1303" i="14"/>
  <c r="K1699" i="14"/>
  <c r="S1699" i="14" s="1"/>
  <c r="R196" i="14"/>
  <c r="N192" i="14"/>
  <c r="Q1382" i="14"/>
  <c r="Q609" i="14"/>
  <c r="K609" i="14"/>
  <c r="S609" i="14" s="1"/>
  <c r="Q1670" i="14"/>
  <c r="M1669" i="14"/>
  <c r="N462" i="14"/>
  <c r="R463" i="14"/>
  <c r="K62" i="14"/>
  <c r="S62" i="14" s="1"/>
  <c r="K44" i="14"/>
  <c r="S44" i="14" s="1"/>
  <c r="M623" i="14"/>
  <c r="I1541" i="14"/>
  <c r="Q923" i="14"/>
  <c r="S881" i="14"/>
  <c r="I838" i="14"/>
  <c r="Q838" i="14" s="1"/>
  <c r="I817" i="14"/>
  <c r="I1647" i="14"/>
  <c r="J75" i="14"/>
  <c r="R75" i="14" s="1"/>
  <c r="I61" i="14"/>
  <c r="K61" i="14" s="1"/>
  <c r="S61" i="14" s="1"/>
  <c r="Q1284" i="14"/>
  <c r="Q624" i="14"/>
  <c r="J1629" i="14"/>
  <c r="K282" i="14"/>
  <c r="S282" i="14" s="1"/>
  <c r="Q1795" i="14"/>
  <c r="Q1643" i="14"/>
  <c r="K169" i="14"/>
  <c r="S169" i="14" s="1"/>
  <c r="R1607" i="14"/>
  <c r="Q1300" i="14"/>
  <c r="K1229" i="14"/>
  <c r="S1229" i="14" s="1"/>
  <c r="O1396" i="14"/>
  <c r="I1212" i="14"/>
  <c r="M1640" i="14"/>
  <c r="J1172" i="14"/>
  <c r="R1172" i="14" s="1"/>
  <c r="K964" i="14"/>
  <c r="S964" i="14" s="1"/>
  <c r="O816" i="14"/>
  <c r="S816" i="14" s="1"/>
  <c r="K1150" i="14"/>
  <c r="S1150" i="14" s="1"/>
  <c r="K1241" i="14"/>
  <c r="S1241" i="14" s="1"/>
  <c r="K340" i="14"/>
  <c r="S340" i="14" s="1"/>
  <c r="I1661" i="14"/>
  <c r="I1658" i="14" s="1"/>
  <c r="R357" i="14"/>
  <c r="Q148" i="14"/>
  <c r="K1632" i="14"/>
  <c r="S1632" i="14" s="1"/>
  <c r="Q1632" i="14"/>
  <c r="N122" i="14"/>
  <c r="N118" i="14" s="1"/>
  <c r="O126" i="14"/>
  <c r="S126" i="14" s="1"/>
  <c r="R1615" i="14"/>
  <c r="N1614" i="14"/>
  <c r="S1685" i="14"/>
  <c r="Q1071" i="14"/>
  <c r="I1068" i="14"/>
  <c r="K1071" i="14"/>
  <c r="S1071" i="14" s="1"/>
  <c r="Q1774" i="14"/>
  <c r="I1771" i="14"/>
  <c r="Q1852" i="14"/>
  <c r="I1849" i="14"/>
  <c r="S1722" i="14"/>
  <c r="O147" i="14"/>
  <c r="S147" i="14" s="1"/>
  <c r="O1669" i="14"/>
  <c r="S1669" i="14" s="1"/>
  <c r="S378" i="14"/>
  <c r="Q1789" i="14"/>
  <c r="Q239" i="14"/>
  <c r="K239" i="14"/>
  <c r="S239" i="14" s="1"/>
  <c r="I236" i="14"/>
  <c r="R744" i="14"/>
  <c r="K744" i="14"/>
  <c r="S744" i="14" s="1"/>
  <c r="S1027" i="14"/>
  <c r="S1637" i="14"/>
  <c r="S265" i="14"/>
  <c r="S350" i="14"/>
  <c r="S355" i="14"/>
  <c r="S360" i="14"/>
  <c r="S370" i="14"/>
  <c r="S384" i="14"/>
  <c r="S345" i="14"/>
  <c r="S362" i="14"/>
  <c r="K1078" i="14"/>
  <c r="S1078" i="14" s="1"/>
  <c r="S633" i="14"/>
  <c r="S641" i="14"/>
  <c r="S737" i="14"/>
  <c r="S749" i="14"/>
  <c r="S800" i="14"/>
  <c r="S804" i="14"/>
  <c r="S859" i="14"/>
  <c r="S1087" i="14"/>
  <c r="S1115" i="14"/>
  <c r="S1135" i="14"/>
  <c r="S1171" i="14"/>
  <c r="S1423" i="14"/>
  <c r="S1631" i="14"/>
  <c r="S1805" i="14"/>
  <c r="S1817" i="14"/>
  <c r="S1706" i="14"/>
  <c r="S1710" i="14"/>
  <c r="S1731" i="14"/>
  <c r="S1743" i="14"/>
  <c r="S1747" i="14"/>
  <c r="S1760" i="14"/>
  <c r="S1764" i="14"/>
  <c r="S1784" i="14"/>
  <c r="S1788" i="14"/>
  <c r="S1808" i="14"/>
  <c r="S1853" i="14"/>
  <c r="S1855" i="14"/>
  <c r="S1612" i="14"/>
  <c r="K682" i="14"/>
  <c r="S682" i="14" s="1"/>
  <c r="S819" i="14"/>
  <c r="I1111" i="14"/>
  <c r="S845" i="14"/>
  <c r="S1255" i="14"/>
  <c r="S1780" i="14"/>
  <c r="S250" i="14"/>
  <c r="S254" i="14"/>
  <c r="S899" i="14"/>
  <c r="S907" i="14"/>
  <c r="S911" i="14"/>
  <c r="S1227" i="14"/>
  <c r="S1279" i="14"/>
  <c r="S657" i="14"/>
  <c r="S1018" i="14"/>
  <c r="S1689" i="14"/>
  <c r="S1705" i="14"/>
  <c r="M45" i="14"/>
  <c r="Q48" i="14"/>
  <c r="O48" i="14"/>
  <c r="S48" i="14" s="1"/>
  <c r="J1840" i="14"/>
  <c r="R1657" i="14"/>
  <c r="K381" i="14"/>
  <c r="S381" i="14" s="1"/>
  <c r="Q381" i="14"/>
  <c r="Q26" i="14"/>
  <c r="I24" i="14"/>
  <c r="Q645" i="14"/>
  <c r="N1765" i="14"/>
  <c r="R154" i="14"/>
  <c r="J139" i="14"/>
  <c r="R139" i="14" s="1"/>
  <c r="R637" i="14"/>
  <c r="J636" i="14"/>
  <c r="R636" i="14" s="1"/>
  <c r="K637" i="14"/>
  <c r="S637" i="14" s="1"/>
  <c r="R710" i="14"/>
  <c r="K710" i="14"/>
  <c r="S710" i="14" s="1"/>
  <c r="J709" i="14"/>
  <c r="Q43" i="14"/>
  <c r="Q1842" i="14"/>
  <c r="M613" i="14"/>
  <c r="Q613" i="14" s="1"/>
  <c r="Q623" i="14"/>
  <c r="I1419" i="14"/>
  <c r="Q1626" i="14"/>
  <c r="K226" i="14"/>
  <c r="S226" i="14" s="1"/>
  <c r="O351" i="14"/>
  <c r="S351" i="14" s="1"/>
  <c r="M480" i="14"/>
  <c r="Q1194" i="14"/>
  <c r="R1714" i="14"/>
  <c r="J1713" i="14"/>
  <c r="N860" i="14"/>
  <c r="R860" i="14" s="1"/>
  <c r="O880" i="14"/>
  <c r="S880" i="14" s="1"/>
  <c r="K18" i="14"/>
  <c r="S18" i="14" s="1"/>
  <c r="Q18" i="14"/>
  <c r="O49" i="14"/>
  <c r="S49" i="14" s="1"/>
  <c r="Q49" i="14"/>
  <c r="R688" i="14"/>
  <c r="K688" i="14"/>
  <c r="S688" i="14" s="1"/>
  <c r="I11" i="14"/>
  <c r="Q11" i="14" s="1"/>
  <c r="K12" i="14"/>
  <c r="S12" i="14" s="1"/>
  <c r="Q860" i="14"/>
  <c r="R1658" i="14"/>
  <c r="K1842" i="14"/>
  <c r="S1842" i="14" s="1"/>
  <c r="K1046" i="14"/>
  <c r="S1046" i="14" s="1"/>
  <c r="Q1046" i="14"/>
  <c r="R680" i="14"/>
  <c r="K680" i="14"/>
  <c r="S680" i="14" s="1"/>
  <c r="J679" i="14"/>
  <c r="R679" i="14" s="1"/>
  <c r="M187" i="14"/>
  <c r="Q188" i="14"/>
  <c r="K43" i="14"/>
  <c r="S43" i="14" s="1"/>
  <c r="K26" i="14"/>
  <c r="S26" i="14" s="1"/>
  <c r="Q46" i="14"/>
  <c r="I53" i="14"/>
  <c r="Q53" i="14" s="1"/>
  <c r="K55" i="14"/>
  <c r="S55" i="14" s="1"/>
  <c r="Q36" i="14"/>
  <c r="I32" i="14"/>
  <c r="Q32" i="14" s="1"/>
  <c r="Q85" i="14"/>
  <c r="M139" i="14"/>
  <c r="O139" i="14" s="1"/>
  <c r="I377" i="14"/>
  <c r="Q377" i="14" s="1"/>
  <c r="I1045" i="14"/>
  <c r="I1629" i="14"/>
  <c r="M1623" i="14"/>
  <c r="I1713" i="14"/>
  <c r="Q1713" i="14" s="1"/>
  <c r="Q1714" i="14"/>
  <c r="R993" i="14"/>
  <c r="K1248" i="14"/>
  <c r="S1248" i="14" s="1"/>
  <c r="K1803" i="14"/>
  <c r="S1803" i="14" s="1"/>
  <c r="K942" i="14"/>
  <c r="S942" i="14" s="1"/>
  <c r="Q942" i="14"/>
  <c r="R30" i="14"/>
  <c r="N9" i="14"/>
  <c r="H6" i="15" s="1"/>
  <c r="O505" i="14"/>
  <c r="S505" i="14" s="1"/>
  <c r="N1441" i="14"/>
  <c r="R1441" i="14" s="1"/>
  <c r="N1611" i="14"/>
  <c r="R1614" i="14"/>
  <c r="Q120" i="14"/>
  <c r="K120" i="14"/>
  <c r="S120" i="14" s="1"/>
  <c r="J192" i="14"/>
  <c r="K193" i="14"/>
  <c r="S193" i="14" s="1"/>
  <c r="R841" i="14"/>
  <c r="K841" i="14"/>
  <c r="S841" i="14" s="1"/>
  <c r="M1391" i="14"/>
  <c r="K1097" i="14"/>
  <c r="S1097" i="14" s="1"/>
  <c r="Q282" i="14"/>
  <c r="K807" i="14"/>
  <c r="S807" i="14" s="1"/>
  <c r="R1466" i="14"/>
  <c r="O1413" i="14"/>
  <c r="S1413" i="14" s="1"/>
  <c r="R1428" i="14"/>
  <c r="K968" i="14"/>
  <c r="S968" i="14" s="1"/>
  <c r="K1520" i="14"/>
  <c r="S1520" i="14" s="1"/>
  <c r="K717" i="14"/>
  <c r="S717" i="14" s="1"/>
  <c r="Q150" i="14"/>
  <c r="O150" i="14"/>
  <c r="S150" i="14" s="1"/>
  <c r="Q283" i="14"/>
  <c r="K283" i="14"/>
  <c r="S283" i="14" s="1"/>
  <c r="Q957" i="14"/>
  <c r="K957" i="14"/>
  <c r="S957" i="14" s="1"/>
  <c r="Q1150" i="14"/>
  <c r="I1147" i="14"/>
  <c r="Q1544" i="14"/>
  <c r="K1544" i="14"/>
  <c r="S1544" i="14" s="1"/>
  <c r="K627" i="14"/>
  <c r="S627" i="14" s="1"/>
  <c r="J1610" i="14"/>
  <c r="K1610" i="14" s="1"/>
  <c r="Q608" i="14"/>
  <c r="K608" i="14"/>
  <c r="S608" i="14" s="1"/>
  <c r="S1694" i="14"/>
  <c r="K689" i="14"/>
  <c r="S689" i="14" s="1"/>
  <c r="O275" i="14"/>
  <c r="S275" i="14" s="1"/>
  <c r="Q1003" i="14"/>
  <c r="K125" i="14"/>
  <c r="S125" i="14" s="1"/>
  <c r="I354" i="14"/>
  <c r="Q357" i="14"/>
  <c r="K885" i="14"/>
  <c r="S885" i="14" s="1"/>
  <c r="Q885" i="14"/>
  <c r="S1258" i="14"/>
  <c r="S1290" i="14"/>
  <c r="S1727" i="14"/>
  <c r="Q1783" i="14"/>
  <c r="M1782" i="14"/>
  <c r="S1427" i="14"/>
  <c r="S1433" i="14"/>
  <c r="K1748" i="14"/>
  <c r="S1748" i="14" s="1"/>
  <c r="S1282" i="14"/>
  <c r="S1742" i="14"/>
  <c r="I1140" i="14"/>
  <c r="S34" i="14"/>
  <c r="S167" i="14"/>
  <c r="S330" i="14"/>
  <c r="S1410" i="14"/>
  <c r="S1530" i="14"/>
  <c r="K1056" i="14"/>
  <c r="S1056" i="14" s="1"/>
  <c r="S331" i="14"/>
  <c r="S367" i="14"/>
  <c r="S1437" i="14"/>
  <c r="S1820" i="14"/>
  <c r="S1819" i="14"/>
  <c r="Q1715" i="14"/>
  <c r="K1715" i="14"/>
  <c r="S1715" i="14" s="1"/>
  <c r="R1075" i="14"/>
  <c r="K1075" i="14"/>
  <c r="S1075" i="14" s="1"/>
  <c r="Q12" i="14"/>
  <c r="O623" i="14"/>
  <c r="S623" i="14" s="1"/>
  <c r="Q670" i="14"/>
  <c r="K670" i="14"/>
  <c r="S670" i="14" s="1"/>
  <c r="Q902" i="14"/>
  <c r="K902" i="14"/>
  <c r="S902" i="14" s="1"/>
  <c r="Q1798" i="14"/>
  <c r="Q787" i="14"/>
  <c r="I774" i="14"/>
  <c r="K787" i="14"/>
  <c r="S787" i="14" s="1"/>
  <c r="Q1172" i="14"/>
  <c r="I1812" i="14"/>
  <c r="Q1813" i="14"/>
  <c r="I1756" i="14"/>
  <c r="Q1757" i="14"/>
  <c r="Q1739" i="14"/>
  <c r="K1739" i="14"/>
  <c r="S1739" i="14" s="1"/>
  <c r="Q55" i="14"/>
  <c r="Q38" i="14"/>
  <c r="I21" i="14"/>
  <c r="Q21" i="14" s="1"/>
  <c r="K22" i="14"/>
  <c r="S22" i="14" s="1"/>
  <c r="K36" i="14"/>
  <c r="S36" i="14" s="1"/>
  <c r="O1840" i="14"/>
  <c r="Q765" i="14"/>
  <c r="K1650" i="14"/>
  <c r="S1650" i="14" s="1"/>
  <c r="O329" i="14"/>
  <c r="O1841" i="14"/>
  <c r="R1849" i="14"/>
  <c r="O1849" i="14"/>
  <c r="I1283" i="14"/>
  <c r="J1396" i="14"/>
  <c r="K1402" i="14"/>
  <c r="S1402" i="14" s="1"/>
  <c r="K741" i="14"/>
  <c r="S741" i="14" s="1"/>
  <c r="K1757" i="14"/>
  <c r="S1757" i="14" s="1"/>
  <c r="O1466" i="14"/>
  <c r="S1466" i="14" s="1"/>
  <c r="Q1555" i="14"/>
  <c r="O1555" i="14"/>
  <c r="S1555" i="14" s="1"/>
  <c r="K766" i="14"/>
  <c r="S766" i="14" s="1"/>
  <c r="R766" i="14"/>
  <c r="R653" i="14"/>
  <c r="K653" i="14"/>
  <c r="S653" i="14" s="1"/>
  <c r="R381" i="14"/>
  <c r="J377" i="14"/>
  <c r="R21" i="14"/>
  <c r="Q493" i="14"/>
  <c r="O493" i="14"/>
  <c r="S493" i="14" s="1"/>
  <c r="Q1587" i="14"/>
  <c r="K1587" i="14"/>
  <c r="S1587" i="14" s="1"/>
  <c r="Q82" i="14"/>
  <c r="K82" i="14"/>
  <c r="S82" i="14" s="1"/>
  <c r="M171" i="14"/>
  <c r="Q172" i="14"/>
  <c r="K177" i="14"/>
  <c r="S177" i="14" s="1"/>
  <c r="Q177" i="14"/>
  <c r="Q183" i="14"/>
  <c r="K183" i="14"/>
  <c r="S183" i="14" s="1"/>
  <c r="I1785" i="14"/>
  <c r="Q1786" i="14"/>
  <c r="Q259" i="14"/>
  <c r="I256" i="14"/>
  <c r="K259" i="14"/>
  <c r="S259" i="14" s="1"/>
  <c r="K828" i="14"/>
  <c r="S828" i="14" s="1"/>
  <c r="Q828" i="14"/>
  <c r="S15" i="14"/>
  <c r="S23" i="14"/>
  <c r="S29" i="14"/>
  <c r="S41" i="14"/>
  <c r="S52" i="14"/>
  <c r="S261" i="14"/>
  <c r="S16" i="14"/>
  <c r="S28" i="14"/>
  <c r="S33" i="14"/>
  <c r="S47" i="14"/>
  <c r="S57" i="14"/>
  <c r="S60" i="14"/>
  <c r="S1127" i="14"/>
  <c r="S1131" i="14"/>
  <c r="S1254" i="14"/>
  <c r="K42" i="14"/>
  <c r="R88" i="14"/>
  <c r="K88" i="14"/>
  <c r="S88" i="14" s="1"/>
  <c r="R61" i="14"/>
  <c r="S39" i="14"/>
  <c r="I162" i="13" l="1"/>
  <c r="G161" i="13"/>
  <c r="I161" i="13" s="1"/>
  <c r="G177" i="13"/>
  <c r="I177" i="13" s="1"/>
  <c r="I178" i="13"/>
  <c r="I147" i="13"/>
  <c r="G146" i="13"/>
  <c r="I146" i="13" s="1"/>
  <c r="K1813" i="14"/>
  <c r="S1813" i="14" s="1"/>
  <c r="I230" i="13"/>
  <c r="G229" i="13"/>
  <c r="I229" i="13" s="1"/>
  <c r="I157" i="13"/>
  <c r="G156" i="13"/>
  <c r="I156" i="13" s="1"/>
  <c r="K1435" i="14"/>
  <c r="S1435" i="14" s="1"/>
  <c r="Q1435" i="14"/>
  <c r="I1432" i="14"/>
  <c r="I254" i="13"/>
  <c r="G253" i="13"/>
  <c r="I253" i="13" s="1"/>
  <c r="G167" i="13"/>
  <c r="I167" i="13" s="1"/>
  <c r="I168" i="13"/>
  <c r="K599" i="14"/>
  <c r="S599" i="14" s="1"/>
  <c r="Q599" i="14"/>
  <c r="I132" i="13"/>
  <c r="G131" i="13"/>
  <c r="I131" i="13" s="1"/>
  <c r="I81" i="13"/>
  <c r="G77" i="13"/>
  <c r="I77" i="13" s="1"/>
  <c r="I203" i="13"/>
  <c r="I103" i="13"/>
  <c r="G102" i="13"/>
  <c r="I102" i="13" s="1"/>
  <c r="I7" i="13"/>
  <c r="G6" i="13"/>
  <c r="I6" i="13" s="1"/>
  <c r="I30" i="14"/>
  <c r="Q725" i="14"/>
  <c r="K751" i="14"/>
  <c r="S751" i="14" s="1"/>
  <c r="K993" i="14"/>
  <c r="S993" i="14" s="1"/>
  <c r="O857" i="14"/>
  <c r="S857" i="14" s="1"/>
  <c r="K1543" i="14"/>
  <c r="S1543" i="14" s="1"/>
  <c r="J1697" i="14"/>
  <c r="R1698" i="14"/>
  <c r="I248" i="13"/>
  <c r="G244" i="13"/>
  <c r="I244" i="13" s="1"/>
  <c r="I51" i="13"/>
  <c r="G307" i="13"/>
  <c r="I307" i="13" s="1"/>
  <c r="I74" i="13"/>
  <c r="G69" i="13"/>
  <c r="I69" i="13" s="1"/>
  <c r="I217" i="13"/>
  <c r="I99" i="13"/>
  <c r="G95" i="13"/>
  <c r="I95" i="13" s="1"/>
  <c r="J1052" i="14"/>
  <c r="K1734" i="14"/>
  <c r="S1734" i="14" s="1"/>
  <c r="K32" i="14"/>
  <c r="S32" i="14" s="1"/>
  <c r="Q1634" i="14"/>
  <c r="M118" i="14"/>
  <c r="R1813" i="14"/>
  <c r="G406" i="13"/>
  <c r="I407" i="13"/>
  <c r="G270" i="13"/>
  <c r="I270" i="13" s="1"/>
  <c r="I271" i="13"/>
  <c r="I110" i="13"/>
  <c r="G109" i="13"/>
  <c r="I109" i="13" s="1"/>
  <c r="I343" i="13"/>
  <c r="I28" i="13"/>
  <c r="G23" i="13"/>
  <c r="I23" i="13" s="1"/>
  <c r="G366" i="13"/>
  <c r="I373" i="13"/>
  <c r="I127" i="13"/>
  <c r="G126" i="13"/>
  <c r="I126" i="13" s="1"/>
  <c r="H120" i="13"/>
  <c r="H22" i="13" s="1"/>
  <c r="H398" i="13" s="1"/>
  <c r="H427" i="13" s="1"/>
  <c r="M1454" i="14"/>
  <c r="O1454" i="14" s="1"/>
  <c r="K733" i="14"/>
  <c r="S733" i="14" s="1"/>
  <c r="J10" i="14"/>
  <c r="G413" i="13"/>
  <c r="I414" i="13"/>
  <c r="I278" i="13"/>
  <c r="G274" i="13"/>
  <c r="I274" i="13" s="1"/>
  <c r="I137" i="13"/>
  <c r="G136" i="13"/>
  <c r="I136" i="13" s="1"/>
  <c r="I290" i="13"/>
  <c r="G289" i="13"/>
  <c r="I289" i="13" s="1"/>
  <c r="I200" i="13"/>
  <c r="G199" i="13"/>
  <c r="I199" i="13" s="1"/>
  <c r="I377" i="13"/>
  <c r="G376" i="13"/>
  <c r="I222" i="13"/>
  <c r="G221" i="13"/>
  <c r="I221" i="13" s="1"/>
  <c r="G182" i="13"/>
  <c r="I182" i="13" s="1"/>
  <c r="I183" i="13"/>
  <c r="K976" i="14"/>
  <c r="S976" i="14" s="1"/>
  <c r="I329" i="14"/>
  <c r="K329" i="14" s="1"/>
  <c r="Q332" i="14"/>
  <c r="K961" i="14"/>
  <c r="S961" i="14" s="1"/>
  <c r="O1044" i="14"/>
  <c r="K1155" i="14"/>
  <c r="S1155" i="14" s="1"/>
  <c r="K53" i="14"/>
  <c r="S53" i="14" s="1"/>
  <c r="K128" i="14"/>
  <c r="S128" i="14" s="1"/>
  <c r="K1552" i="14"/>
  <c r="S1552" i="14" s="1"/>
  <c r="Q1449" i="14"/>
  <c r="O1449" i="14"/>
  <c r="S1449" i="14" s="1"/>
  <c r="M1442" i="14"/>
  <c r="M1441" i="14" s="1"/>
  <c r="K1692" i="14"/>
  <c r="S1692" i="14" s="1"/>
  <c r="K1629" i="14"/>
  <c r="K434" i="14"/>
  <c r="S434" i="14" s="1"/>
  <c r="R1629" i="14"/>
  <c r="K1025" i="14"/>
  <c r="S1025" i="14" s="1"/>
  <c r="R1025" i="14"/>
  <c r="J940" i="14"/>
  <c r="R940" i="14" s="1"/>
  <c r="I940" i="14"/>
  <c r="O274" i="14"/>
  <c r="S274" i="14" s="1"/>
  <c r="K1798" i="14"/>
  <c r="S1798" i="14" s="1"/>
  <c r="O613" i="14"/>
  <c r="S613" i="14" s="1"/>
  <c r="Q456" i="14"/>
  <c r="O1611" i="14"/>
  <c r="S1611" i="14" s="1"/>
  <c r="K1082" i="14"/>
  <c r="S1082" i="14" s="1"/>
  <c r="I122" i="14"/>
  <c r="I118" i="14" s="1"/>
  <c r="Q467" i="14"/>
  <c r="K661" i="14"/>
  <c r="S661" i="14" s="1"/>
  <c r="N266" i="14"/>
  <c r="Q1614" i="14"/>
  <c r="I626" i="14"/>
  <c r="K883" i="14"/>
  <c r="S883" i="14" s="1"/>
  <c r="M192" i="14"/>
  <c r="O1614" i="14"/>
  <c r="S1614" i="14" s="1"/>
  <c r="K456" i="14"/>
  <c r="S456" i="14" s="1"/>
  <c r="J1733" i="14"/>
  <c r="R1733" i="14" s="1"/>
  <c r="Q123" i="14"/>
  <c r="K374" i="14"/>
  <c r="S374" i="14" s="1"/>
  <c r="Q1619" i="14"/>
  <c r="R186" i="14"/>
  <c r="N179" i="14"/>
  <c r="R179" i="14" s="1"/>
  <c r="M30" i="14"/>
  <c r="O37" i="14"/>
  <c r="S37" i="14" s="1"/>
  <c r="K1172" i="14"/>
  <c r="S1172" i="14" s="1"/>
  <c r="O196" i="14"/>
  <c r="S196" i="14" s="1"/>
  <c r="Q1454" i="14"/>
  <c r="K1061" i="14"/>
  <c r="S1061" i="14" s="1"/>
  <c r="J1541" i="14"/>
  <c r="K1541" i="14" s="1"/>
  <c r="Q329" i="14"/>
  <c r="N1362" i="14"/>
  <c r="H13" i="15" s="1"/>
  <c r="R1412" i="14"/>
  <c r="K85" i="14"/>
  <c r="S85" i="14" s="1"/>
  <c r="J74" i="14"/>
  <c r="E7" i="15" s="1"/>
  <c r="O1194" i="14"/>
  <c r="S1194" i="14" s="1"/>
  <c r="R1194" i="14"/>
  <c r="Q1548" i="14"/>
  <c r="M1541" i="14"/>
  <c r="O1548" i="14"/>
  <c r="S1548" i="14" s="1"/>
  <c r="N114" i="14"/>
  <c r="H8" i="15" s="1"/>
  <c r="M1419" i="14"/>
  <c r="Q1428" i="14"/>
  <c r="O1428" i="14"/>
  <c r="S1428" i="14" s="1"/>
  <c r="S1454" i="14"/>
  <c r="R118" i="14"/>
  <c r="K118" i="14"/>
  <c r="J220" i="14"/>
  <c r="K281" i="14"/>
  <c r="S281" i="14" s="1"/>
  <c r="I1575" i="14"/>
  <c r="K1575" i="14" s="1"/>
  <c r="Q1584" i="14"/>
  <c r="K1584" i="14"/>
  <c r="S1584" i="14" s="1"/>
  <c r="Q1133" i="14"/>
  <c r="K1133" i="14"/>
  <c r="S1133" i="14" s="1"/>
  <c r="I1519" i="14"/>
  <c r="Q815" i="14"/>
  <c r="M814" i="14"/>
  <c r="M795" i="14" s="1"/>
  <c r="Q274" i="14"/>
  <c r="M266" i="14"/>
  <c r="Q266" i="14" s="1"/>
  <c r="Q78" i="14"/>
  <c r="K78" i="14"/>
  <c r="S78" i="14" s="1"/>
  <c r="I75" i="14"/>
  <c r="K838" i="14"/>
  <c r="S838" i="14" s="1"/>
  <c r="R122" i="14"/>
  <c r="Q707" i="14"/>
  <c r="O707" i="14"/>
  <c r="S707" i="14" s="1"/>
  <c r="M706" i="14"/>
  <c r="K1104" i="14"/>
  <c r="S1104" i="14" s="1"/>
  <c r="Q1104" i="14"/>
  <c r="Q1597" i="14"/>
  <c r="K1597" i="14"/>
  <c r="S1597" i="14" s="1"/>
  <c r="Q1744" i="14"/>
  <c r="K1744" i="14"/>
  <c r="S1744" i="14" s="1"/>
  <c r="Q1536" i="14"/>
  <c r="K1536" i="14"/>
  <c r="S1536" i="14" s="1"/>
  <c r="I446" i="14"/>
  <c r="Q449" i="14"/>
  <c r="K449" i="14"/>
  <c r="S449" i="14" s="1"/>
  <c r="Q371" i="14"/>
  <c r="O371" i="14"/>
  <c r="S371" i="14" s="1"/>
  <c r="M368" i="14"/>
  <c r="O122" i="14"/>
  <c r="I1657" i="14"/>
  <c r="K1658" i="14"/>
  <c r="Q236" i="14"/>
  <c r="K236" i="14"/>
  <c r="S236" i="14" s="1"/>
  <c r="Q1849" i="14"/>
  <c r="K1849" i="14"/>
  <c r="S1849" i="14" s="1"/>
  <c r="Q817" i="14"/>
  <c r="K817" i="14"/>
  <c r="S817" i="14" s="1"/>
  <c r="N455" i="14"/>
  <c r="O462" i="14"/>
  <c r="S462" i="14" s="1"/>
  <c r="R462" i="14"/>
  <c r="R923" i="14"/>
  <c r="J761" i="14"/>
  <c r="K1698" i="14"/>
  <c r="S1698" i="14" s="1"/>
  <c r="Q1698" i="14"/>
  <c r="I1697" i="14"/>
  <c r="O1575" i="14"/>
  <c r="Q1575" i="14"/>
  <c r="J1574" i="14"/>
  <c r="E15" i="15" s="1"/>
  <c r="K1068" i="14"/>
  <c r="S1068" i="14" s="1"/>
  <c r="Q1068" i="14"/>
  <c r="M1629" i="14"/>
  <c r="O1629" i="14" s="1"/>
  <c r="S1629" i="14" s="1"/>
  <c r="O1640" i="14"/>
  <c r="S1640" i="14" s="1"/>
  <c r="Q1640" i="14"/>
  <c r="Q1669" i="14"/>
  <c r="M1658" i="14"/>
  <c r="K604" i="14"/>
  <c r="S604" i="14" s="1"/>
  <c r="Q604" i="14"/>
  <c r="I601" i="14"/>
  <c r="N354" i="14"/>
  <c r="R365" i="14"/>
  <c r="O365" i="14"/>
  <c r="S365" i="14" s="1"/>
  <c r="J437" i="14"/>
  <c r="J433" i="14" s="1"/>
  <c r="E11" i="15" s="1"/>
  <c r="R438" i="14"/>
  <c r="Q122" i="14"/>
  <c r="R1300" i="14"/>
  <c r="J1283" i="14"/>
  <c r="R1283" i="14" s="1"/>
  <c r="Q1017" i="14"/>
  <c r="K1017" i="14"/>
  <c r="S1017" i="14" s="1"/>
  <c r="K155" i="14"/>
  <c r="S155" i="14" s="1"/>
  <c r="Q155" i="14"/>
  <c r="I154" i="14"/>
  <c r="N761" i="14"/>
  <c r="R761" i="14" s="1"/>
  <c r="K636" i="14"/>
  <c r="S636" i="14" s="1"/>
  <c r="I1765" i="14"/>
  <c r="K1765" i="14" s="1"/>
  <c r="K1771" i="14"/>
  <c r="Q1661" i="14"/>
  <c r="K1661" i="14"/>
  <c r="S1661" i="14" s="1"/>
  <c r="K1212" i="14"/>
  <c r="S1212" i="14" s="1"/>
  <c r="Q1212" i="14"/>
  <c r="I1841" i="14"/>
  <c r="O118" i="14"/>
  <c r="Q61" i="14"/>
  <c r="O860" i="14"/>
  <c r="S860" i="14" s="1"/>
  <c r="Q1111" i="14"/>
  <c r="K1111" i="14"/>
  <c r="S1111" i="14" s="1"/>
  <c r="K1647" i="14"/>
  <c r="S1647" i="14" s="1"/>
  <c r="Q1647" i="14"/>
  <c r="I1646" i="14"/>
  <c r="I1574" i="14" s="1"/>
  <c r="Q1683" i="14"/>
  <c r="K1683" i="14"/>
  <c r="S1683" i="14" s="1"/>
  <c r="I1682" i="14"/>
  <c r="Q1147" i="14"/>
  <c r="K1147" i="14"/>
  <c r="S1147" i="14" s="1"/>
  <c r="Q1045" i="14"/>
  <c r="K1045" i="14"/>
  <c r="S1045" i="14" s="1"/>
  <c r="R1713" i="14"/>
  <c r="K1713" i="14"/>
  <c r="S1713" i="14" s="1"/>
  <c r="Q1140" i="14"/>
  <c r="K1140" i="14"/>
  <c r="S1140" i="14" s="1"/>
  <c r="Q1623" i="14"/>
  <c r="O1623" i="14"/>
  <c r="S1623" i="14" s="1"/>
  <c r="O480" i="14"/>
  <c r="S480" i="14" s="1"/>
  <c r="Q480" i="14"/>
  <c r="K21" i="14"/>
  <c r="S21" i="14" s="1"/>
  <c r="M466" i="14"/>
  <c r="O466" i="14" s="1"/>
  <c r="S466" i="14" s="1"/>
  <c r="K11" i="14"/>
  <c r="S11" i="14" s="1"/>
  <c r="K192" i="14"/>
  <c r="R192" i="14"/>
  <c r="J114" i="14"/>
  <c r="E8" i="15" s="1"/>
  <c r="N1610" i="14"/>
  <c r="R1611" i="14"/>
  <c r="M1610" i="14"/>
  <c r="Q192" i="14"/>
  <c r="O192" i="14"/>
  <c r="K679" i="14"/>
  <c r="S679" i="14" s="1"/>
  <c r="Q24" i="14"/>
  <c r="K24" i="14"/>
  <c r="S24" i="14" s="1"/>
  <c r="I1052" i="14"/>
  <c r="Q1052" i="14" s="1"/>
  <c r="J626" i="14"/>
  <c r="Q1782" i="14"/>
  <c r="M1771" i="14"/>
  <c r="O1782" i="14"/>
  <c r="S1782" i="14" s="1"/>
  <c r="I348" i="14"/>
  <c r="Q354" i="14"/>
  <c r="K354" i="14"/>
  <c r="O1391" i="14"/>
  <c r="S1391" i="14" s="1"/>
  <c r="Q1391" i="14"/>
  <c r="M1386" i="14"/>
  <c r="M186" i="14"/>
  <c r="O187" i="14"/>
  <c r="S187" i="14" s="1"/>
  <c r="Q187" i="14"/>
  <c r="K1419" i="14"/>
  <c r="I1412" i="14"/>
  <c r="R709" i="14"/>
  <c r="K709" i="14"/>
  <c r="S709" i="14" s="1"/>
  <c r="N1681" i="14"/>
  <c r="H16" i="15" s="1"/>
  <c r="R1765" i="14"/>
  <c r="R1840" i="14"/>
  <c r="E17" i="15"/>
  <c r="K17" i="15" s="1"/>
  <c r="Q45" i="14"/>
  <c r="O45" i="14"/>
  <c r="S45" i="14" s="1"/>
  <c r="M42" i="14"/>
  <c r="J1381" i="14"/>
  <c r="R1396" i="14"/>
  <c r="K1396" i="14"/>
  <c r="S1396" i="14" s="1"/>
  <c r="R1052" i="14"/>
  <c r="J1044" i="14"/>
  <c r="K455" i="14"/>
  <c r="Q455" i="14"/>
  <c r="S329" i="14"/>
  <c r="Q1785" i="14"/>
  <c r="K1785" i="14"/>
  <c r="S1785" i="14" s="1"/>
  <c r="K1812" i="14"/>
  <c r="S1812" i="14" s="1"/>
  <c r="Q1812" i="14"/>
  <c r="Q256" i="14"/>
  <c r="I255" i="14"/>
  <c r="K256" i="14"/>
  <c r="S256" i="14" s="1"/>
  <c r="Q171" i="14"/>
  <c r="M158" i="14"/>
  <c r="O171" i="14"/>
  <c r="S171" i="14" s="1"/>
  <c r="Q940" i="14"/>
  <c r="I1733" i="14"/>
  <c r="Q1756" i="14"/>
  <c r="K1756" i="14"/>
  <c r="S1756" i="14" s="1"/>
  <c r="Q774" i="14"/>
  <c r="K774" i="14"/>
  <c r="S774" i="14" s="1"/>
  <c r="I761" i="14"/>
  <c r="Q1283" i="14"/>
  <c r="K1283" i="14"/>
  <c r="S1283" i="14" s="1"/>
  <c r="R377" i="14"/>
  <c r="J328" i="14"/>
  <c r="K1657" i="14"/>
  <c r="I598" i="14"/>
  <c r="K30" i="14"/>
  <c r="I10" i="14"/>
  <c r="K377" i="14"/>
  <c r="S377" i="14" s="1"/>
  <c r="G50" i="13" l="1"/>
  <c r="I50" i="13" s="1"/>
  <c r="Q1441" i="14"/>
  <c r="O1441" i="14"/>
  <c r="S1441" i="14" s="1"/>
  <c r="G210" i="13"/>
  <c r="I210" i="13" s="1"/>
  <c r="I376" i="13"/>
  <c r="G412" i="13"/>
  <c r="I413" i="13"/>
  <c r="K1432" i="14"/>
  <c r="S1432" i="14" s="1"/>
  <c r="I1431" i="14"/>
  <c r="Q1432" i="14"/>
  <c r="Q30" i="14"/>
  <c r="Q118" i="14"/>
  <c r="R10" i="14"/>
  <c r="J9" i="14"/>
  <c r="I366" i="13"/>
  <c r="J1696" i="14"/>
  <c r="R1696" i="14" s="1"/>
  <c r="R1697" i="14"/>
  <c r="G120" i="13"/>
  <c r="I120" i="13" s="1"/>
  <c r="E4" i="15"/>
  <c r="K4" i="15" s="1"/>
  <c r="H429" i="13"/>
  <c r="G405" i="13"/>
  <c r="I406" i="13"/>
  <c r="K626" i="14"/>
  <c r="K940" i="14"/>
  <c r="S940" i="14" s="1"/>
  <c r="Q1442" i="14"/>
  <c r="O1442" i="14"/>
  <c r="S1442" i="14" s="1"/>
  <c r="O30" i="14"/>
  <c r="K122" i="14"/>
  <c r="R1541" i="14"/>
  <c r="J1519" i="14"/>
  <c r="K1519" i="14" s="1"/>
  <c r="M465" i="14"/>
  <c r="Q465" i="14" s="1"/>
  <c r="N220" i="14"/>
  <c r="H9" i="15" s="1"/>
  <c r="R266" i="14"/>
  <c r="R74" i="14"/>
  <c r="S118" i="14"/>
  <c r="N597" i="14"/>
  <c r="H12" i="15" s="1"/>
  <c r="E9" i="15"/>
  <c r="O1419" i="14"/>
  <c r="S1419" i="14" s="1"/>
  <c r="M1412" i="14"/>
  <c r="O1412" i="14" s="1"/>
  <c r="O814" i="14"/>
  <c r="S814" i="14" s="1"/>
  <c r="Q814" i="14"/>
  <c r="S1575" i="14"/>
  <c r="O1541" i="14"/>
  <c r="S1541" i="14" s="1"/>
  <c r="M1519" i="14"/>
  <c r="Q466" i="14"/>
  <c r="K1052" i="14"/>
  <c r="S1052" i="14" s="1"/>
  <c r="Q1629" i="14"/>
  <c r="Q1541" i="14"/>
  <c r="Q1419" i="14"/>
  <c r="S30" i="14"/>
  <c r="R114" i="14"/>
  <c r="S122" i="14"/>
  <c r="I438" i="14"/>
  <c r="K446" i="14"/>
  <c r="S446" i="14" s="1"/>
  <c r="Q446" i="14"/>
  <c r="O706" i="14"/>
  <c r="S706" i="14" s="1"/>
  <c r="M697" i="14"/>
  <c r="Q706" i="14"/>
  <c r="M220" i="14"/>
  <c r="O266" i="14"/>
  <c r="S266" i="14" s="1"/>
  <c r="D14" i="15"/>
  <c r="Q75" i="14"/>
  <c r="K75" i="14"/>
  <c r="S75" i="14" s="1"/>
  <c r="I74" i="14"/>
  <c r="O368" i="14"/>
  <c r="S368" i="14" s="1"/>
  <c r="M328" i="14"/>
  <c r="G10" i="15" s="1"/>
  <c r="Q368" i="14"/>
  <c r="S192" i="14"/>
  <c r="Q154" i="14"/>
  <c r="I139" i="14"/>
  <c r="K154" i="14"/>
  <c r="S154" i="14" s="1"/>
  <c r="N348" i="14"/>
  <c r="O354" i="14"/>
  <c r="S354" i="14" s="1"/>
  <c r="R354" i="14"/>
  <c r="M1657" i="14"/>
  <c r="O1658" i="14"/>
  <c r="S1658" i="14" s="1"/>
  <c r="Q601" i="14"/>
  <c r="K601" i="14"/>
  <c r="S601" i="14" s="1"/>
  <c r="N437" i="14"/>
  <c r="R455" i="14"/>
  <c r="O455" i="14"/>
  <c r="S455" i="14" s="1"/>
  <c r="Q1646" i="14"/>
  <c r="K1646" i="14"/>
  <c r="S1646" i="14" s="1"/>
  <c r="M761" i="14"/>
  <c r="Q761" i="14" s="1"/>
  <c r="Q795" i="14"/>
  <c r="O795" i="14"/>
  <c r="S795" i="14" s="1"/>
  <c r="I1696" i="14"/>
  <c r="K1697" i="14"/>
  <c r="S1697" i="14" s="1"/>
  <c r="Q1697" i="14"/>
  <c r="I1044" i="14"/>
  <c r="Q1044" i="14" s="1"/>
  <c r="Q1682" i="14"/>
  <c r="K1682" i="14"/>
  <c r="S1682" i="14" s="1"/>
  <c r="Q1841" i="14"/>
  <c r="I1840" i="14"/>
  <c r="K1841" i="14"/>
  <c r="S1841" i="14" s="1"/>
  <c r="Q1658" i="14"/>
  <c r="Q1610" i="14"/>
  <c r="O1610" i="14"/>
  <c r="S1610" i="14" s="1"/>
  <c r="M1574" i="14"/>
  <c r="Q1412" i="14"/>
  <c r="K1412" i="14"/>
  <c r="Q348" i="14"/>
  <c r="I328" i="14"/>
  <c r="K348" i="14"/>
  <c r="N1574" i="14"/>
  <c r="R1610" i="14"/>
  <c r="M179" i="14"/>
  <c r="Q186" i="14"/>
  <c r="O186" i="14"/>
  <c r="S186" i="14" s="1"/>
  <c r="Q1771" i="14"/>
  <c r="M1765" i="14"/>
  <c r="O1771" i="14"/>
  <c r="S1771" i="14" s="1"/>
  <c r="O42" i="14"/>
  <c r="S42" i="14" s="1"/>
  <c r="Q42" i="14"/>
  <c r="O1386" i="14"/>
  <c r="S1386" i="14" s="1"/>
  <c r="M1381" i="14"/>
  <c r="Q1386" i="14"/>
  <c r="J598" i="14"/>
  <c r="R598" i="14" s="1"/>
  <c r="R626" i="14"/>
  <c r="M9" i="14"/>
  <c r="G6" i="15" s="1"/>
  <c r="K761" i="14"/>
  <c r="O465" i="14"/>
  <c r="S465" i="14" s="1"/>
  <c r="K255" i="14"/>
  <c r="S255" i="14" s="1"/>
  <c r="Q255" i="14"/>
  <c r="I220" i="14"/>
  <c r="E10" i="15"/>
  <c r="D15" i="15"/>
  <c r="K1574" i="14"/>
  <c r="Q1574" i="14"/>
  <c r="K1733" i="14"/>
  <c r="S1733" i="14" s="1"/>
  <c r="Q1733" i="14"/>
  <c r="K8" i="15"/>
  <c r="R1044" i="14"/>
  <c r="K10" i="14"/>
  <c r="S10" i="14" s="1"/>
  <c r="Q10" i="14"/>
  <c r="I9" i="14"/>
  <c r="O158" i="14"/>
  <c r="S158" i="14" s="1"/>
  <c r="Q158" i="14"/>
  <c r="J1362" i="14"/>
  <c r="R1381" i="14"/>
  <c r="K7" i="15"/>
  <c r="K598" i="14" l="1"/>
  <c r="Q1431" i="14"/>
  <c r="K1431" i="14"/>
  <c r="S1431" i="14" s="1"/>
  <c r="M433" i="14"/>
  <c r="I1381" i="14"/>
  <c r="K1381" i="14" s="1"/>
  <c r="R220" i="14"/>
  <c r="J1681" i="14"/>
  <c r="G22" i="13"/>
  <c r="G404" i="13"/>
  <c r="I405" i="13"/>
  <c r="E6" i="15"/>
  <c r="K6" i="15" s="1"/>
  <c r="R9" i="14"/>
  <c r="G411" i="13"/>
  <c r="I411" i="13" s="1"/>
  <c r="I412" i="13"/>
  <c r="R1519" i="14"/>
  <c r="E14" i="15"/>
  <c r="K14" i="15" s="1"/>
  <c r="S1412" i="14"/>
  <c r="K9" i="15"/>
  <c r="O9" i="14"/>
  <c r="G14" i="15"/>
  <c r="I14" i="15" s="1"/>
  <c r="O1519" i="14"/>
  <c r="S1519" i="14" s="1"/>
  <c r="J597" i="14"/>
  <c r="E12" i="15" s="1"/>
  <c r="Q1519" i="14"/>
  <c r="O220" i="14"/>
  <c r="G9" i="15"/>
  <c r="I9" i="15" s="1"/>
  <c r="Q74" i="14"/>
  <c r="D7" i="15"/>
  <c r="K74" i="14"/>
  <c r="S74" i="14" s="1"/>
  <c r="M626" i="14"/>
  <c r="Q697" i="14"/>
  <c r="O697" i="14"/>
  <c r="S697" i="14" s="1"/>
  <c r="Q438" i="14"/>
  <c r="K438" i="14"/>
  <c r="S438" i="14" s="1"/>
  <c r="I437" i="14"/>
  <c r="Q1840" i="14"/>
  <c r="K1840" i="14"/>
  <c r="S1840" i="14" s="1"/>
  <c r="D17" i="15"/>
  <c r="K1044" i="14"/>
  <c r="S1044" i="14" s="1"/>
  <c r="Q139" i="14"/>
  <c r="I114" i="14"/>
  <c r="K139" i="14"/>
  <c r="S139" i="14" s="1"/>
  <c r="I597" i="14"/>
  <c r="D12" i="15" s="1"/>
  <c r="O761" i="14"/>
  <c r="S761" i="14" s="1"/>
  <c r="N328" i="14"/>
  <c r="O348" i="14"/>
  <c r="S348" i="14" s="1"/>
  <c r="R348" i="14"/>
  <c r="K1696" i="14"/>
  <c r="S1696" i="14" s="1"/>
  <c r="Q1696" i="14"/>
  <c r="R437" i="14"/>
  <c r="O437" i="14"/>
  <c r="N433" i="14"/>
  <c r="O433" i="14" s="1"/>
  <c r="O1657" i="14"/>
  <c r="S1657" i="14" s="1"/>
  <c r="Q1657" i="14"/>
  <c r="I1681" i="14"/>
  <c r="M1681" i="14"/>
  <c r="Q1765" i="14"/>
  <c r="O1765" i="14"/>
  <c r="S1765" i="14" s="1"/>
  <c r="O179" i="14"/>
  <c r="S179" i="14" s="1"/>
  <c r="Q179" i="14"/>
  <c r="Q328" i="14"/>
  <c r="D10" i="15"/>
  <c r="J10" i="15" s="1"/>
  <c r="M1362" i="14"/>
  <c r="O1381" i="14"/>
  <c r="G15" i="15"/>
  <c r="J15" i="15" s="1"/>
  <c r="O1574" i="14"/>
  <c r="S1574" i="14" s="1"/>
  <c r="H15" i="15"/>
  <c r="R1574" i="14"/>
  <c r="M114" i="14"/>
  <c r="O114" i="14" s="1"/>
  <c r="K328" i="14"/>
  <c r="Q9" i="14"/>
  <c r="D6" i="15"/>
  <c r="J6" i="15" s="1"/>
  <c r="K9" i="14"/>
  <c r="S9" i="14" s="1"/>
  <c r="E13" i="15"/>
  <c r="R1362" i="14"/>
  <c r="G11" i="15"/>
  <c r="F15" i="15"/>
  <c r="D9" i="15"/>
  <c r="Q220" i="14"/>
  <c r="K220" i="14"/>
  <c r="S220" i="14" s="1"/>
  <c r="I6" i="15"/>
  <c r="I22" i="13" l="1"/>
  <c r="G398" i="13"/>
  <c r="G421" i="13"/>
  <c r="I404" i="13"/>
  <c r="S1381" i="14"/>
  <c r="R1681" i="14"/>
  <c r="E16" i="15"/>
  <c r="K16" i="15" s="1"/>
  <c r="Q1381" i="14"/>
  <c r="I1362" i="14"/>
  <c r="K1362" i="14" s="1"/>
  <c r="F14" i="15"/>
  <c r="L14" i="15" s="1"/>
  <c r="K597" i="14"/>
  <c r="Q114" i="14"/>
  <c r="J14" i="15"/>
  <c r="R597" i="14"/>
  <c r="G8" i="15"/>
  <c r="I8" i="15" s="1"/>
  <c r="I433" i="14"/>
  <c r="Q437" i="14"/>
  <c r="K437" i="14"/>
  <c r="S437" i="14" s="1"/>
  <c r="O626" i="14"/>
  <c r="S626" i="14" s="1"/>
  <c r="M598" i="14"/>
  <c r="Q626" i="14"/>
  <c r="J7" i="15"/>
  <c r="F7" i="15"/>
  <c r="L7" i="15" s="1"/>
  <c r="H10" i="15"/>
  <c r="O328" i="14"/>
  <c r="S328" i="14" s="1"/>
  <c r="R328" i="14"/>
  <c r="J17" i="15"/>
  <c r="F17" i="15"/>
  <c r="L17" i="15" s="1"/>
  <c r="R433" i="14"/>
  <c r="H11" i="15"/>
  <c r="K11" i="15" s="1"/>
  <c r="D8" i="15"/>
  <c r="F8" i="15" s="1"/>
  <c r="K114" i="14"/>
  <c r="S114" i="14" s="1"/>
  <c r="D16" i="15"/>
  <c r="F16" i="15" s="1"/>
  <c r="K1681" i="14"/>
  <c r="K15" i="15"/>
  <c r="O1362" i="14"/>
  <c r="S1362" i="14" s="1"/>
  <c r="G13" i="15"/>
  <c r="O1681" i="14"/>
  <c r="G16" i="15"/>
  <c r="Q1681" i="14"/>
  <c r="F10" i="15"/>
  <c r="D13" i="15"/>
  <c r="F13" i="15" s="1"/>
  <c r="Q1362" i="14"/>
  <c r="I15" i="15"/>
  <c r="L15" i="15" s="1"/>
  <c r="F9" i="15"/>
  <c r="L9" i="15" s="1"/>
  <c r="J9" i="15"/>
  <c r="F12" i="15"/>
  <c r="K12" i="15"/>
  <c r="K13" i="15"/>
  <c r="F6" i="15"/>
  <c r="L6" i="15" s="1"/>
  <c r="E5" i="15"/>
  <c r="I421" i="13" l="1"/>
  <c r="G428" i="13"/>
  <c r="G427" i="13"/>
  <c r="I398" i="13"/>
  <c r="J8" i="15"/>
  <c r="L8" i="15"/>
  <c r="H5" i="15"/>
  <c r="K5" i="15" s="1"/>
  <c r="S1681" i="14"/>
  <c r="O598" i="14"/>
  <c r="S598" i="14" s="1"/>
  <c r="Q598" i="14"/>
  <c r="M597" i="14"/>
  <c r="K433" i="14"/>
  <c r="S433" i="14" s="1"/>
  <c r="Q433" i="14"/>
  <c r="D11" i="15"/>
  <c r="I11" i="15"/>
  <c r="I10" i="15"/>
  <c r="L10" i="15" s="1"/>
  <c r="K10" i="15"/>
  <c r="I16" i="15"/>
  <c r="L16" i="15" s="1"/>
  <c r="J16" i="15"/>
  <c r="I13" i="15"/>
  <c r="L13" i="15" s="1"/>
  <c r="J13" i="15"/>
  <c r="E18" i="15"/>
  <c r="D4" i="15" l="1"/>
  <c r="F4" i="15" s="1"/>
  <c r="I427" i="13"/>
  <c r="G4" i="15"/>
  <c r="G429" i="13"/>
  <c r="I429" i="13" s="1"/>
  <c r="I428" i="13"/>
  <c r="F11" i="15"/>
  <c r="L11" i="15" s="1"/>
  <c r="J11" i="15"/>
  <c r="D5" i="15"/>
  <c r="Q597" i="14"/>
  <c r="G12" i="15"/>
  <c r="O597" i="14"/>
  <c r="S597" i="14" s="1"/>
  <c r="K40" i="15"/>
  <c r="K20" i="15"/>
  <c r="J4" i="15" l="1"/>
  <c r="I4" i="15"/>
  <c r="L4" i="15" s="1"/>
  <c r="D18" i="15"/>
  <c r="F18" i="15" s="1"/>
  <c r="F5" i="15"/>
  <c r="I12" i="15"/>
  <c r="L12" i="15" s="1"/>
  <c r="J12" i="15"/>
  <c r="G5" i="15"/>
  <c r="J5" i="15" l="1"/>
  <c r="I5" i="15"/>
  <c r="L5" i="15" s="1"/>
  <c r="L20" i="15" s="1"/>
  <c r="G19" i="15"/>
  <c r="I19" i="15" s="1"/>
  <c r="J40" i="15" l="1"/>
  <c r="L40" i="15" s="1"/>
  <c r="J20" i="15"/>
</calcChain>
</file>

<file path=xl/sharedStrings.xml><?xml version="1.0" encoding="utf-8"?>
<sst xmlns="http://schemas.openxmlformats.org/spreadsheetml/2006/main" count="3334" uniqueCount="584">
  <si>
    <t>Dotácie na strategické športy</t>
  </si>
  <si>
    <t>PROGRAM   8: ŠPORT A MLÁDEŽ</t>
  </si>
  <si>
    <t>Základná škola, Na dolinách 27, Trenčín</t>
  </si>
  <si>
    <t>Základná umelecká škola Karola Pádivého, Nám. SNP 2, Trenčín</t>
  </si>
  <si>
    <t>Nová letná plaváreň - KR</t>
  </si>
  <si>
    <t>Bazovského Galéria</t>
  </si>
  <si>
    <t>KC Kubra</t>
  </si>
  <si>
    <t>Kultúrne centrum seniorov</t>
  </si>
  <si>
    <t>Základná škola, Kubranská 80, Trenčín</t>
  </si>
  <si>
    <t>Základná škola, Veľkomoravská 12, Trenčín</t>
  </si>
  <si>
    <t>Základná škola, Hodžova 37, Trenčín</t>
  </si>
  <si>
    <t>Základná škola, Ul. L. Novomeského 11, Trenčín</t>
  </si>
  <si>
    <t>Zakladná škola, Bezručova 66, Trenčín</t>
  </si>
  <si>
    <t>Zakladná škola, Dlhé Hony 1, Trenčín</t>
  </si>
  <si>
    <t>Materská škola, Šafárikova 11, Trenčín</t>
  </si>
  <si>
    <t>DHZ Záblatie</t>
  </si>
  <si>
    <t>DHZ Opatová</t>
  </si>
  <si>
    <t>DHZ Kubrica</t>
  </si>
  <si>
    <t>Mestské hospodárstvo a správa lesov, m.r.o, Trenčín</t>
  </si>
  <si>
    <t>Základná škola, Východná 9, Trenčín</t>
  </si>
  <si>
    <t>Dotácie na šport a mládež</t>
  </si>
  <si>
    <t>Dotácie na výnimočné akcie</t>
  </si>
  <si>
    <t>Dotácie na mládež</t>
  </si>
  <si>
    <t>PROGRAM   2: PROPAGÁCIA A CESTOVNÝ RUCH</t>
  </si>
  <si>
    <t>PROGRAM   3: INTERNÉ SLUŽBY MESTA</t>
  </si>
  <si>
    <t>PROGRAM   4: SLUŽBY OBČANOM</t>
  </si>
  <si>
    <t>PROGRAM   5: Bezpečnosť</t>
  </si>
  <si>
    <t>PROGRAM   6: DOPRAVA</t>
  </si>
  <si>
    <t>PROGRAM   7: Vzdelávanie</t>
  </si>
  <si>
    <t>PROGRAM   9: KULTÚRA</t>
  </si>
  <si>
    <t>PROGRAM  10: ŽIVOTNÉ PROSTREDIE</t>
  </si>
  <si>
    <t>PROGRAM  11: SOCIÁLNE SLUŽBY</t>
  </si>
  <si>
    <t>PROGRAM  12: ROZVOJ MESTA</t>
  </si>
  <si>
    <t>Prebytok bežného rozpočtu</t>
  </si>
  <si>
    <t>P r í j m y</t>
  </si>
  <si>
    <t>V ý d a v k y</t>
  </si>
  <si>
    <t>Výsledok hospodárenia</t>
  </si>
  <si>
    <t>Križovatka pod starým mostom a CSS - rekonštrukcia</t>
  </si>
  <si>
    <t>Chodník križovatka Majerská, Kasárenská, Na Kamenci</t>
  </si>
  <si>
    <t>Chodník Hanzlíkovská</t>
  </si>
  <si>
    <t>Rekonštrukcia Mierového námestia</t>
  </si>
  <si>
    <t>Napojenie Ul.Opatovská na Ul.Armádna pri VÚO</t>
  </si>
  <si>
    <t>PROGRAM   1: MANAŽMENT a PLÁNOVANIE</t>
  </si>
  <si>
    <t>Mesto Trenčín</t>
  </si>
  <si>
    <t>Kapitálové príjmy spolu</t>
  </si>
  <si>
    <t>PRÍJMY Spolu</t>
  </si>
  <si>
    <t>Rozvoz stravy</t>
  </si>
  <si>
    <t>Nozdrkovský chodník v úseku ČOV</t>
  </si>
  <si>
    <t>Miestne médiá</t>
  </si>
  <si>
    <t>Fontány</t>
  </si>
  <si>
    <t>Verejné toalety</t>
  </si>
  <si>
    <t>Stredisko Soblahov</t>
  </si>
  <si>
    <t>Krytá plaváreň</t>
  </si>
  <si>
    <t>Stredisko Brezina</t>
  </si>
  <si>
    <t>CVČ Trenčín</t>
  </si>
  <si>
    <t>09603</t>
  </si>
  <si>
    <t>0980</t>
  </si>
  <si>
    <t>Terénna opatr. služba SSMT</t>
  </si>
  <si>
    <t>1070</t>
  </si>
  <si>
    <t>JDSP</t>
  </si>
  <si>
    <t>Za porušenie predpisov</t>
  </si>
  <si>
    <t>Pokuty, penále a iné sankcie</t>
  </si>
  <si>
    <t>Licencie</t>
  </si>
  <si>
    <t>Nocľaháreň</t>
  </si>
  <si>
    <t>Podporná činnosť</t>
  </si>
  <si>
    <t>Nákup budov, objektov alebo ich častí</t>
  </si>
  <si>
    <t>Zariadenie pre seniorov</t>
  </si>
  <si>
    <t>MŠ Opatovská</t>
  </si>
  <si>
    <t>1090</t>
  </si>
  <si>
    <t>Príspevky neštátnym subjektom</t>
  </si>
  <si>
    <t>Karanténna stanica</t>
  </si>
  <si>
    <t>MŠ Považská</t>
  </si>
  <si>
    <t>MŠ Švermova</t>
  </si>
  <si>
    <t>MŠ Kubranská</t>
  </si>
  <si>
    <t>MŠ Medňanského</t>
  </si>
  <si>
    <t>MŠ 28.októbra</t>
  </si>
  <si>
    <t>Za školy a školské zariadenia</t>
  </si>
  <si>
    <t>Za stravné</t>
  </si>
  <si>
    <t>Detské jasle</t>
  </si>
  <si>
    <t>Manažment SSMT</t>
  </si>
  <si>
    <t>0960</t>
  </si>
  <si>
    <t>0111</t>
  </si>
  <si>
    <t>0820</t>
  </si>
  <si>
    <t>1040</t>
  </si>
  <si>
    <t>1012</t>
  </si>
  <si>
    <t>1020</t>
  </si>
  <si>
    <t>Implementácia projektov EU</t>
  </si>
  <si>
    <t>09602</t>
  </si>
  <si>
    <t>71 44</t>
  </si>
  <si>
    <t>MŠ Halašu</t>
  </si>
  <si>
    <t>Školské zariadenia mesta Trenčína, m.r.o.</t>
  </si>
  <si>
    <t>71 42</t>
  </si>
  <si>
    <t>MŠ Šmidkeho</t>
  </si>
  <si>
    <t>71 39</t>
  </si>
  <si>
    <t>71 53</t>
  </si>
  <si>
    <t>78 72</t>
  </si>
  <si>
    <t>ŠJ Šafárikova</t>
  </si>
  <si>
    <t>Správa SZTN</t>
  </si>
  <si>
    <t>72 42</t>
  </si>
  <si>
    <t>ZŠ Potočná</t>
  </si>
  <si>
    <t>71 38</t>
  </si>
  <si>
    <t>71 37</t>
  </si>
  <si>
    <t>71 51</t>
  </si>
  <si>
    <t>MŠ Pri Parku</t>
  </si>
  <si>
    <t>71 40</t>
  </si>
  <si>
    <t>MŠ  Turkovej</t>
  </si>
  <si>
    <t>71 47</t>
  </si>
  <si>
    <t>71 41</t>
  </si>
  <si>
    <t>MŠ  Soblahovská</t>
  </si>
  <si>
    <t>71 49</t>
  </si>
  <si>
    <t>71 46</t>
  </si>
  <si>
    <t>71 45</t>
  </si>
  <si>
    <t>MŠ Stromová</t>
  </si>
  <si>
    <t>71 57</t>
  </si>
  <si>
    <t>71 58</t>
  </si>
  <si>
    <t>MŠ Na dolinách</t>
  </si>
  <si>
    <t>Sociálne služby mesta Trenčín, m.r.o.</t>
  </si>
  <si>
    <t>Prepravná služba</t>
  </si>
  <si>
    <t>09211</t>
  </si>
  <si>
    <t>F I N A N Č N É   O P E R Á C I E</t>
  </si>
  <si>
    <t xml:space="preserve"> </t>
  </si>
  <si>
    <t>kategória</t>
  </si>
  <si>
    <t>položka</t>
  </si>
  <si>
    <t>príjem</t>
  </si>
  <si>
    <t>podpoložka</t>
  </si>
  <si>
    <t>Bežné príjmy spolu</t>
  </si>
  <si>
    <t>PP</t>
  </si>
  <si>
    <t>P/P</t>
  </si>
  <si>
    <t>FK</t>
  </si>
  <si>
    <t>EK</t>
  </si>
  <si>
    <t>ukazovateľ</t>
  </si>
  <si>
    <t>09121</t>
  </si>
  <si>
    <t>Politika vzdelávania</t>
  </si>
  <si>
    <t>Tovary a služby</t>
  </si>
  <si>
    <t>Služby</t>
  </si>
  <si>
    <t>Školský úrad</t>
  </si>
  <si>
    <t>Poistné a príspevok do poisťovní</t>
  </si>
  <si>
    <t>Materiál</t>
  </si>
  <si>
    <t>Nájomné za nájom</t>
  </si>
  <si>
    <t>Cestovné náhrady</t>
  </si>
  <si>
    <t>Odmeňovanie učiteľov</t>
  </si>
  <si>
    <t>Bežné transfery</t>
  </si>
  <si>
    <t>Transfery jednotlivcom a neziskovým právnickým osobám</t>
  </si>
  <si>
    <t>Mzdy, platy, služobné príjmy a ostatné osobné vyrovnania</t>
  </si>
  <si>
    <t>Dopravné</t>
  </si>
  <si>
    <t>Rutinná a štandardná údržba</t>
  </si>
  <si>
    <t>Energie, voda a komunikácie</t>
  </si>
  <si>
    <t>Mestský informačný systém</t>
  </si>
  <si>
    <t>Strategické plánovanie mesta</t>
  </si>
  <si>
    <t>Podpora kultúrnych stredísk</t>
  </si>
  <si>
    <t>0510</t>
  </si>
  <si>
    <t>Zvoz a odvoz odpadu</t>
  </si>
  <si>
    <t>Odpadové hospodárstvo</t>
  </si>
  <si>
    <t>Nebytové priestory</t>
  </si>
  <si>
    <t>Hospodárska správa a evidencia majetku mesta</t>
  </si>
  <si>
    <t>Právne služby</t>
  </si>
  <si>
    <t>0840</t>
  </si>
  <si>
    <t>Cintorínske a pohrebné služby</t>
  </si>
  <si>
    <t>0320</t>
  </si>
  <si>
    <t>Ochrana pred požiarmi</t>
  </si>
  <si>
    <t>Hnuteľný majetok</t>
  </si>
  <si>
    <t>Preventívna ochrana zamestnancov</t>
  </si>
  <si>
    <t>0310</t>
  </si>
  <si>
    <t>Zabezpečovanie verejného poriadku</t>
  </si>
  <si>
    <t>Činnosť a prevádzka mestského úradu</t>
  </si>
  <si>
    <t>0660</t>
  </si>
  <si>
    <t>Správa bytového fondu</t>
  </si>
  <si>
    <t>Bývanie</t>
  </si>
  <si>
    <t>0220</t>
  </si>
  <si>
    <t>Civilná ochrana</t>
  </si>
  <si>
    <t>0950</t>
  </si>
  <si>
    <t>Voľnočasové vzdelávanie</t>
  </si>
  <si>
    <t>09601</t>
  </si>
  <si>
    <t>Školské jedálne</t>
  </si>
  <si>
    <t>Nedaňové príjmy</t>
  </si>
  <si>
    <t>Kapitálové príjmy</t>
  </si>
  <si>
    <t>Príjem z predaja pozemkov a nehmotných aktív</t>
  </si>
  <si>
    <t>Z predaja pozemkov</t>
  </si>
  <si>
    <t>Z vkladov</t>
  </si>
  <si>
    <t>Úroky z domácich úverov, pôžičiek a vkladov</t>
  </si>
  <si>
    <t>Z náhrad z poistného plnenia</t>
  </si>
  <si>
    <t>Iné nedaňové príjmy</t>
  </si>
  <si>
    <t>Ostatné príjmy</t>
  </si>
  <si>
    <t>Z odvodov z hazardných hier a iných podobných hier</t>
  </si>
  <si>
    <t>Klientske centrum</t>
  </si>
  <si>
    <t>Organizácia kultúrnych podujatí</t>
  </si>
  <si>
    <t>Obnova rodinných pomerov</t>
  </si>
  <si>
    <t>Prepravná služba SSMT</t>
  </si>
  <si>
    <t>Obstarávanie kapitálových aktív</t>
  </si>
  <si>
    <t>Nákup dopravných prostriedkov všetkých druhov</t>
  </si>
  <si>
    <t>Denné centrá pre seniorov</t>
  </si>
  <si>
    <t>Podpora seniorov</t>
  </si>
  <si>
    <t>Zabezpečovanie volieb</t>
  </si>
  <si>
    <t>0810</t>
  </si>
  <si>
    <t>Dotácie na šport</t>
  </si>
  <si>
    <t>Transfery v rámci verejnej správy</t>
  </si>
  <si>
    <t>Organizácia občianskych obradov</t>
  </si>
  <si>
    <t>Základné školy</t>
  </si>
  <si>
    <t>Realizácia stavieb a ich technického zhodnotenia</t>
  </si>
  <si>
    <t>0133</t>
  </si>
  <si>
    <t>Činnosť matriky</t>
  </si>
  <si>
    <t>0610</t>
  </si>
  <si>
    <t>Štátny fond rozvoja bývania</t>
  </si>
  <si>
    <t>09111</t>
  </si>
  <si>
    <t>Materské školy</t>
  </si>
  <si>
    <t>Zasadnutia orgánov mesta</t>
  </si>
  <si>
    <t>Manažment mesta</t>
  </si>
  <si>
    <t>Prevádzka a údržba budov</t>
  </si>
  <si>
    <t>0620</t>
  </si>
  <si>
    <t>Verejná zeleň</t>
  </si>
  <si>
    <t>Pochovanie občana</t>
  </si>
  <si>
    <t>Prezentácia mesta</t>
  </si>
  <si>
    <t>MŠ Niva</t>
  </si>
  <si>
    <t>Športová Hala</t>
  </si>
  <si>
    <t>Športová infraštruktúra</t>
  </si>
  <si>
    <t>Futbalový štadión</t>
  </si>
  <si>
    <t>Zimný štadión</t>
  </si>
  <si>
    <t>Plavárne</t>
  </si>
  <si>
    <t>0443</t>
  </si>
  <si>
    <t>Územné plánovanie mesta</t>
  </si>
  <si>
    <t>Výkon funkcie primátora</t>
  </si>
  <si>
    <t>0640</t>
  </si>
  <si>
    <t>Verejné osvetlenie</t>
  </si>
  <si>
    <t>Pozemky</t>
  </si>
  <si>
    <t>0170</t>
  </si>
  <si>
    <t>Nákup pozemkov a nehmotných aktív</t>
  </si>
  <si>
    <t>Administratívne a iné poplatky a platby</t>
  </si>
  <si>
    <t>Administratívne poplatky</t>
  </si>
  <si>
    <t>Ostatné poplatky</t>
  </si>
  <si>
    <t>Granty a transfery</t>
  </si>
  <si>
    <t>Tuzemské bežné granty a transfery</t>
  </si>
  <si>
    <t>Iné</t>
  </si>
  <si>
    <t>Prípravná a projektová dokumentácia</t>
  </si>
  <si>
    <t>Prevádzka mestských trhovísk</t>
  </si>
  <si>
    <t>0830</t>
  </si>
  <si>
    <t>Nákup strojov, prístrojov, zariadení, techniky a náradia</t>
  </si>
  <si>
    <t>0451</t>
  </si>
  <si>
    <t>Z dobropisov</t>
  </si>
  <si>
    <t>Z vratiek</t>
  </si>
  <si>
    <t>Zo štátneho rozpočtu okrem transferu na úhradu nákladov preneseného výkonu štátnej správy</t>
  </si>
  <si>
    <t>Výstavba a rekonštrukcia pozemných kom.</t>
  </si>
  <si>
    <t>MŠ Legionárska</t>
  </si>
  <si>
    <t>Podpora športových podujatí</t>
  </si>
  <si>
    <t>Podpora kultúrnych podujatí a činností</t>
  </si>
  <si>
    <t>ZOS SSMT</t>
  </si>
  <si>
    <t>Kamerový systém mesta</t>
  </si>
  <si>
    <t>0422</t>
  </si>
  <si>
    <t>Výkon funkcie zástupcu primátora</t>
  </si>
  <si>
    <t>Výkon funkcie prednostu</t>
  </si>
  <si>
    <t>KC Aktivity</t>
  </si>
  <si>
    <t>KC Stred</t>
  </si>
  <si>
    <t>Príjmy z podnikania a z vlastníctva majetku</t>
  </si>
  <si>
    <t>Príjmy z vlastníctva</t>
  </si>
  <si>
    <t>Z prenajatých budov, priestorov a objektov</t>
  </si>
  <si>
    <t>Z prenajatých strojov, prístrojov, zariadení, techniky a náradia</t>
  </si>
  <si>
    <t>Poplatky a platby z nepriemyselného a náhodného predaja a služieb</t>
  </si>
  <si>
    <t>Za predaj výrobkov, tovarov a služieb</t>
  </si>
  <si>
    <t>Zneškodňovanie odpadu</t>
  </si>
  <si>
    <t>Autobusová doprava SAD Trenčín</t>
  </si>
  <si>
    <t>0560</t>
  </si>
  <si>
    <t>0473</t>
  </si>
  <si>
    <t>Cestovný ruch</t>
  </si>
  <si>
    <t>Skládka Zámostie</t>
  </si>
  <si>
    <t>0112</t>
  </si>
  <si>
    <t>Daň. a rozp.agenda mesta a účtov.</t>
  </si>
  <si>
    <t>Autodoprava</t>
  </si>
  <si>
    <t>Mobilná ľadová plocha</t>
  </si>
  <si>
    <t>Ďalšie administratívne a iné poplatky a platby</t>
  </si>
  <si>
    <t>Za znečisťovanie ovzdušia</t>
  </si>
  <si>
    <t>Príjem z predaja kapitálových aktív</t>
  </si>
  <si>
    <t>Výnos dane z príjmov poukázaný územnej samospráve</t>
  </si>
  <si>
    <t>Daňové príjmy</t>
  </si>
  <si>
    <t>Dane z príjmov a kapitálového majetku</t>
  </si>
  <si>
    <t>Dane z príjmov fyzickej osoby</t>
  </si>
  <si>
    <t>Z pozemkov</t>
  </si>
  <si>
    <t>Dane z majetku</t>
  </si>
  <si>
    <t>Daň z nehnuteľností</t>
  </si>
  <si>
    <t>Zo stavieb</t>
  </si>
  <si>
    <t>Z bytov a nebytových priestorov v bytovom dome</t>
  </si>
  <si>
    <t>Za psa</t>
  </si>
  <si>
    <t>Dane za tovary a služby</t>
  </si>
  <si>
    <t>Dane za špecifické služby</t>
  </si>
  <si>
    <t>Za ubytovanie</t>
  </si>
  <si>
    <t>Za užívanie verejného priestranstva</t>
  </si>
  <si>
    <t>Za komunálne odpady a drobné stavebné odpady</t>
  </si>
  <si>
    <t>Z prenajatých pozemkov</t>
  </si>
  <si>
    <t>Vzdelávanie zamestnancov</t>
  </si>
  <si>
    <t>ÚPSVR - rodinné prídavky</t>
  </si>
  <si>
    <t>MPSVaR - soc.zabezp. ZOS</t>
  </si>
  <si>
    <t>Kr. staveb. úrad</t>
  </si>
  <si>
    <t>Vojnové hroby</t>
  </si>
  <si>
    <t>MVaRR SR - dotácia v obl. bývania</t>
  </si>
  <si>
    <t>Obv.Ú - matrika</t>
  </si>
  <si>
    <t>Obv.Ú - evidencia obyvateľstva</t>
  </si>
  <si>
    <t>Tuzemské kapitálové granty a transfery</t>
  </si>
  <si>
    <t>Zo štátneho rozpočtu</t>
  </si>
  <si>
    <t>Členstvo v samosp. org. a združ.</t>
  </si>
  <si>
    <t>Grantový program</t>
  </si>
  <si>
    <t>OÚ - školstvo-prenes.komp., mzdy, platy</t>
  </si>
  <si>
    <t>OÚ - škol. úrady - náklady</t>
  </si>
  <si>
    <t>OÚ -predškolský vek</t>
  </si>
  <si>
    <t>Správa a údržba pozemných komunikácií a parkovísk</t>
  </si>
  <si>
    <t>Plavecký kurz pre deti predškolského veku</t>
  </si>
  <si>
    <t>Dotácie na podujatia (nad 3.500 eur)</t>
  </si>
  <si>
    <t>MK Jahodová - slepá ulica</t>
  </si>
  <si>
    <t>Námestie študentov</t>
  </si>
  <si>
    <t>MČ Juh / mestské zásahy - Workout a Seniori cvičisko v parku nad Južankou</t>
  </si>
  <si>
    <t>Otoč MHD Sihoť</t>
  </si>
  <si>
    <t>Priechod pre chodcov pri Fiate</t>
  </si>
  <si>
    <t>Nízkoprahové denné centrum</t>
  </si>
  <si>
    <t>Vodovod cintorín Záblatie</t>
  </si>
  <si>
    <t>Správa a údržba komunikácií</t>
  </si>
  <si>
    <t>Statická doprava</t>
  </si>
  <si>
    <t>Dotácie v oblasti školstva, vzdelávania a výchovy</t>
  </si>
  <si>
    <t>Za stravné - zamestnanci</t>
  </si>
  <si>
    <t xml:space="preserve">Nízkoprahové denné centrum </t>
  </si>
  <si>
    <t>Materská škola</t>
  </si>
  <si>
    <t>Za predaj výrobkov, tovarov a služieb - ubytovanie</t>
  </si>
  <si>
    <t>Za predaj výrobkov, tovarov a služieb - stravovanie</t>
  </si>
  <si>
    <t>Za predaj výrobkov, tovarov a služieb - zaopatrenie</t>
  </si>
  <si>
    <t>ZOS 24 hod starostlivosť</t>
  </si>
  <si>
    <t>Denný a týždenný pobyt</t>
  </si>
  <si>
    <t>Celoročný pobyt</t>
  </si>
  <si>
    <t>Za predaj výrobkov, tovarov a služieb - staroba</t>
  </si>
  <si>
    <t>Za predaj výrobkov, tovarov a služieb - invalidi</t>
  </si>
  <si>
    <t xml:space="preserve">Opatrovateľská služba </t>
  </si>
  <si>
    <t>Členské do OOCR</t>
  </si>
  <si>
    <t>Trafostanica - prekládka (Mládežnícka ul.)</t>
  </si>
  <si>
    <t>Rekonštrukcia veľkej zasadacej miestnosti</t>
  </si>
  <si>
    <t>Trafostanica - prekládka (gr.-kat.kostol)</t>
  </si>
  <si>
    <t>Okresná org. Jednoty dôchodcov na Slovensku v Trenčíne z toho:</t>
  </si>
  <si>
    <t>Hospic milosrdných sestier - dotácia na činnosť</t>
  </si>
  <si>
    <t>Jednota dôchodcov - ZO č. 01</t>
  </si>
  <si>
    <t>Jednota dôchodcov - ZO č. 02</t>
  </si>
  <si>
    <t>Jednota dôchodcov - ZO č. 05</t>
  </si>
  <si>
    <t>Jednota dôchodcov - ZO č. 06</t>
  </si>
  <si>
    <t>Jednota dôchodcov - ZO č. 19</t>
  </si>
  <si>
    <t>Jednota dôchodcov - ZO č. 27</t>
  </si>
  <si>
    <t>Jednota dôchodcov - ZO č. 30</t>
  </si>
  <si>
    <t>Prípojka elektrickej energie</t>
  </si>
  <si>
    <t>HK Dukla a.s. - dotácia na nájom nebytových priestorov, energie a ľadovú plochu</t>
  </si>
  <si>
    <t>HK Dukla n.o.  - dotácia na nájom nebytových priestorov, energie a ľadovú plochu</t>
  </si>
  <si>
    <t>Kraso Trenčín o.z. - dotácia na nájom nebytových priestorov, energie a ľadovú plochu</t>
  </si>
  <si>
    <t>FRYSLA Slovakia s.r.o. - dotácia na nájom nebytových priestorov , energie a ľadovú plochu</t>
  </si>
  <si>
    <t>TJ Družstevník Záblatie - dotácia na činnosť</t>
  </si>
  <si>
    <t>TJ Družstevník Opatová - dotácia na činnosť</t>
  </si>
  <si>
    <t>Tanečný kluby Dukla Trenčín - Laugaricio Cup</t>
  </si>
  <si>
    <t>Športový klub nepočujúcich - dotácia na činnosť</t>
  </si>
  <si>
    <t>Zníženie energetickej náročnosti budovy</t>
  </si>
  <si>
    <t>Pohoda Festival s.r.o. - Festival Pohoda</t>
  </si>
  <si>
    <t>Rekonštrukcia exteriéru KS Zlatovce</t>
  </si>
  <si>
    <t>Horyzonty o.z. - HoryZonty</t>
  </si>
  <si>
    <t>Kolomaž o.z. - Sám na javisku</t>
  </si>
  <si>
    <t>LampART o.z. - činnosť</t>
  </si>
  <si>
    <t>Revitalizácia časti Hviezdoslavovej ulice</t>
  </si>
  <si>
    <t>OZ Trenčiansky ÚTULOK - dotácia na prevádzku a činnosť</t>
  </si>
  <si>
    <t>Poradenstvo - bytové problémy</t>
  </si>
  <si>
    <t>Normotvorná činnosť mesta</t>
  </si>
  <si>
    <t>Komunikácia s verej.inštitúciami v mene mesta</t>
  </si>
  <si>
    <t>Kontrola činnosti samosprávy</t>
  </si>
  <si>
    <t>453: Prevod hospodárskeho výsledku za predchádzajúci rok</t>
  </si>
  <si>
    <t>454: Prevod z rezervného fondu</t>
  </si>
  <si>
    <t>513: Prijatie dlhodobého úveru</t>
  </si>
  <si>
    <t>514: Prijatie úveru zo ŠFRB</t>
  </si>
  <si>
    <t>R O Z P O Č E T    2018</t>
  </si>
  <si>
    <t>Splácanie úrokov a ostatné platby súvisiace s úverom</t>
  </si>
  <si>
    <t>Príjem z parkovného</t>
  </si>
  <si>
    <t>ÚPP a dokumentácie, príprava ÚPN CMZ</t>
  </si>
  <si>
    <t>ÚPP a dokumentácie, štúdie</t>
  </si>
  <si>
    <t>Spoluúčasť na projektoch EÚ</t>
  </si>
  <si>
    <t>Osobné motorové vozidlo</t>
  </si>
  <si>
    <t>Hardvér</t>
  </si>
  <si>
    <t>Softvér</t>
  </si>
  <si>
    <t>Rozšírenie cintorína Opatová</t>
  </si>
  <si>
    <t>Maják na auto</t>
  </si>
  <si>
    <t>Modernizácia kamerového systému Mestskej polície v Trenčíne</t>
  </si>
  <si>
    <t>Rampy 2 ks - kúpa</t>
  </si>
  <si>
    <t>Obnova MŠ Šafárikova 11</t>
  </si>
  <si>
    <t>Obnova MŠ Opatovská 654/39</t>
  </si>
  <si>
    <t>Dopravné ihrisko</t>
  </si>
  <si>
    <t>Detské ihriská</t>
  </si>
  <si>
    <t>PD Park pre Úspech</t>
  </si>
  <si>
    <t xml:space="preserve">Klimatizácia </t>
  </si>
  <si>
    <t>Vybudovanie stojísk polopodzemných kontajnerov ul. Kvetná</t>
  </si>
  <si>
    <t>Softwarové vybavenie pre aplikáciu elektronickej registratúry</t>
  </si>
  <si>
    <t>Jednorazové dávky sociálnej pomoci</t>
  </si>
  <si>
    <t>Kúpa 48 nájomných bytov</t>
  </si>
  <si>
    <t>Komplexná svetelno-technická štúdia prioritných opatrení rekonštrukcie VO</t>
  </si>
  <si>
    <t>SO/RO</t>
  </si>
  <si>
    <t>Reštaurovanie súsošia na stĺpe na Mierovom námestí</t>
  </si>
  <si>
    <t>Cyklotrasy</t>
  </si>
  <si>
    <t>Výstavba chodníkov Záblatie Sigôtky, Záblatská ulica</t>
  </si>
  <si>
    <t>Sprístupnenie južného opevnenia Trenčianskeho hradu</t>
  </si>
  <si>
    <t>Nové parkovacie miesta</t>
  </si>
  <si>
    <t>Príprava rozpočtov</t>
  </si>
  <si>
    <t>Statická doprava Šmidkeho</t>
  </si>
  <si>
    <t>Statická doprava Dlhé Hony</t>
  </si>
  <si>
    <t>Statická doprava Dlhé Hony, Inovecká - vnútrobloky</t>
  </si>
  <si>
    <t>Statická doprava Dlhé Hony - Smažienka</t>
  </si>
  <si>
    <t>Gagarinova - vybúranie chodníka pri MŠ</t>
  </si>
  <si>
    <t>456: Zábezpeky - verejné obstarávanie</t>
  </si>
  <si>
    <t>819: Zábezpeky verejné obstarávanie</t>
  </si>
  <si>
    <t>Detské ihriská a oddychové zóny</t>
  </si>
  <si>
    <t>Trenčianske historické slávnosti</t>
  </si>
  <si>
    <t>Statická doprava Bazovského</t>
  </si>
  <si>
    <t>Statická doprava Západná</t>
  </si>
  <si>
    <t>Statická doprava Strojárenská</t>
  </si>
  <si>
    <t>Statická doprava Cintorínska</t>
  </si>
  <si>
    <t>Statická doprava Strojárenská - vnútrobloky</t>
  </si>
  <si>
    <t>Riešenie statickej dopravy a prístupovej komunikácie ku garážam Opatovská</t>
  </si>
  <si>
    <t>Riešenie statickej dopravy a prístupovej komunikácie Opatovská</t>
  </si>
  <si>
    <t>Riešenie statickej dopravy na Žilinskej</t>
  </si>
  <si>
    <t>Statická doprava Bazovského pri MŠ Šafárikova</t>
  </si>
  <si>
    <t>Zo ŠRna úhradu nákladov preneseného výkonu štátnej správy</t>
  </si>
  <si>
    <t>Zo ŠR okrem nákladov preneseného výkonu</t>
  </si>
  <si>
    <t>MHSL m.r.o.</t>
  </si>
  <si>
    <t>MŠ Šafárikova 11, Trenčín</t>
  </si>
  <si>
    <t>ŠZMT m.r.o.</t>
  </si>
  <si>
    <t>Základná umelecká škola Karola Pádivého</t>
  </si>
  <si>
    <t>P1: MANAŽMENT a PLÁNOVANIE</t>
  </si>
  <si>
    <t>P2: PROPAGÁCIA A CESTOVNÝ RUCH</t>
  </si>
  <si>
    <t>P3: INTERNÉ SLUŽBY MESTA</t>
  </si>
  <si>
    <t>P4: SLUŽBY OBČANOM</t>
  </si>
  <si>
    <t>P6: DOPRAVA</t>
  </si>
  <si>
    <t>P8: ŠPORT A MLÁDEŽ</t>
  </si>
  <si>
    <t>P9: KULTÚRA</t>
  </si>
  <si>
    <t>P10: ŽIVOTNÉ PROSTREDIE</t>
  </si>
  <si>
    <t>P11: SOCIÁLNE SLUŽBY</t>
  </si>
  <si>
    <t>P12: ROZVOJ MESTA</t>
  </si>
  <si>
    <t>PRÍJMY</t>
  </si>
  <si>
    <t>VÝDAVKY</t>
  </si>
  <si>
    <t>P5: BEZPEČNOSŤ</t>
  </si>
  <si>
    <t>P7: VZDELÁVANIE</t>
  </si>
  <si>
    <t>821: Istina z bankových úverov dlhodobých</t>
  </si>
  <si>
    <t>821: ČSOB a.s. - istina z dohôd o reštrukturalizácii dlhu</t>
  </si>
  <si>
    <t>821: SLSP a.s. - istina z dohôd o reštrukturaliácii dlhu</t>
  </si>
  <si>
    <t>821: ŠFRB:  istina - 61 nájomných bytov</t>
  </si>
  <si>
    <t>Orezy</t>
  </si>
  <si>
    <t>Centrum pre rodinu o.z. - dotácia na činnosť</t>
  </si>
  <si>
    <t>Dobudovanie učební a rekonštrukcia jedálne a kuchyne</t>
  </si>
  <si>
    <t>Letné kúpalisko</t>
  </si>
  <si>
    <t>Zabezpečenie činnosti Kultúrno - informačného centra</t>
  </si>
  <si>
    <t>Príjmy z činnosti Kultúrno - informačného centra</t>
  </si>
  <si>
    <t>MFF Eko s.r.o - EKOTOPFILM</t>
  </si>
  <si>
    <t>Dokument starostlivosti o dreviny v meste Trenčín</t>
  </si>
  <si>
    <t>Schodok/Prebytok kapitálového rozpočtu</t>
  </si>
  <si>
    <t>Schodok/Prebytok rozpočtu spolu</t>
  </si>
  <si>
    <t>0860</t>
  </si>
  <si>
    <t>Historická revue</t>
  </si>
  <si>
    <t>Opravy a výmena mobiliáru detských ihrísk MČ Západ</t>
  </si>
  <si>
    <t>Zelené plochy Na kamenci a Žabinská</t>
  </si>
  <si>
    <t>NFP z MŽP SR - Obnova MŠ Opatovská</t>
  </si>
  <si>
    <t>NFP z MŽP SR - Obnova MŠ Šafárikova</t>
  </si>
  <si>
    <t>Plavecký kurz</t>
  </si>
  <si>
    <t>Chodník v parku M.R.Štefánika</t>
  </si>
  <si>
    <t>Chodníky Staničná, Zlatovská</t>
  </si>
  <si>
    <t>Lesné ihrisko KIOSK</t>
  </si>
  <si>
    <t>Dotácia z Ministerstva dopravy a výstavby SR na obstaranie nájomných bytov</t>
  </si>
  <si>
    <t>Obnova sochy sv. Jána Nepomuckého</t>
  </si>
  <si>
    <t>Kruhový objazd Brnianska Zlatovská</t>
  </si>
  <si>
    <t>Chodník cintorín Zlatovce</t>
  </si>
  <si>
    <t>Oporný múr cintorín</t>
  </si>
  <si>
    <t>Križovatka Opatová Dobrá</t>
  </si>
  <si>
    <t>Futbalový štadión Záblatie</t>
  </si>
  <si>
    <t>Defibrilátor</t>
  </si>
  <si>
    <t>Vertikulátor</t>
  </si>
  <si>
    <t>Rozšírenie statickej dopravy na ul. Gagarinova</t>
  </si>
  <si>
    <t>Riešenie statickej dopravy Pod Skalkou</t>
  </si>
  <si>
    <t>Riešenie statickej dopravy Sibírska</t>
  </si>
  <si>
    <t>Riešenie statickej dopravy Turkovej 4-20</t>
  </si>
  <si>
    <t>Presun zastávky MHD na ul. Hodžova k VII. ZŠ</t>
  </si>
  <si>
    <t>Rozšírenie parkoviska ul. Gen. Svobodu</t>
  </si>
  <si>
    <t>J.Halašu</t>
  </si>
  <si>
    <t>Statická doprava Novomeského</t>
  </si>
  <si>
    <t>Saratovská pri záhradách</t>
  </si>
  <si>
    <t>Statická doprava Saratovská</t>
  </si>
  <si>
    <t>Saratovská  - rozšírenie komunikácie</t>
  </si>
  <si>
    <t>Statická doprava Soblahovská 59,61</t>
  </si>
  <si>
    <t>Prepaľovač káblov</t>
  </si>
  <si>
    <t>Chodník + Cyklotrasa Kasárenská ulica od MŽT po Majerskú ul.</t>
  </si>
  <si>
    <t>Parkovisko Pred poľom</t>
  </si>
  <si>
    <t>Rekonštrukcia MK Gen.Svobodu</t>
  </si>
  <si>
    <t>Chodník na Bratislavskej ul. Od Veľkomoravskej po kruháč pri Lidli</t>
  </si>
  <si>
    <t>Chodníky Sigôtky + Záblatská</t>
  </si>
  <si>
    <t>Rekonštrukcia chodníka od pohotovosti k Fak.nemocnici</t>
  </si>
  <si>
    <t>Presun zastávky pred Fak.nemocnicou</t>
  </si>
  <si>
    <t>Podchod pri Obchodnej akadémii</t>
  </si>
  <si>
    <t>Detské ihrisko Istebník Orechové/Rezidencia Vinohrady</t>
  </si>
  <si>
    <t>Polopodzemné kontajnery MČ Sever</t>
  </si>
  <si>
    <t>Vnútrobloky na Sihoti</t>
  </si>
  <si>
    <t>Krízová intervencia</t>
  </si>
  <si>
    <t>Stavebné úpravy spojovacej chodby a vybudovanie šatní</t>
  </si>
  <si>
    <t>Jahodová ulica - slepá</t>
  </si>
  <si>
    <t>MK Hanzlíkovská</t>
  </si>
  <si>
    <t>Chodník prepojenie Gen.Svobodu a Východná,  prechody s osvetlením</t>
  </si>
  <si>
    <t>Združenie kresťanských seniorov - dotácia činnosť</t>
  </si>
  <si>
    <t>Slovenský zväz protifašistických bojovníkov - ZO Trenčín 1 - dotácia na činnosť</t>
  </si>
  <si>
    <t>Mestské divadlo Trenčín o.z. - činnosť</t>
  </si>
  <si>
    <t>Chodník pri dome smútku Juh</t>
  </si>
  <si>
    <t>Polopodzemné kontajnery Juh</t>
  </si>
  <si>
    <t>Kiržovatka ul. Východná - M.Bela - Lavičkova</t>
  </si>
  <si>
    <t>Priechody pre chodcov Juh</t>
  </si>
  <si>
    <t>Chodník ul. Partizánska  - ul. Saratovská</t>
  </si>
  <si>
    <t>Klub priateľov vážnej hudby v Trenčíne - Trenčianska hudobná jar a Trenčianska hudobná jeseň 2018</t>
  </si>
  <si>
    <t>MK Stromová - chodníky</t>
  </si>
  <si>
    <t>* - v zmysle § 10 ods. 6 zákona č.583/2004 Z.z. o rozpočtových pravidlách územnej samosprávy sú súčasťou rozpočtu obce aj finančné operácie, ktorými sa vykonávajú prevody z peňažných fondov obce a realizujú sa návratné zdroje financovania a ich splácanie. Finančné operácie nie sú súčasťou príjmov a výdavkov rozpočtu obce.</t>
  </si>
  <si>
    <t xml:space="preserve">PROGRAM   1: MANAŽMENT A PLÁNOVANIE </t>
  </si>
  <si>
    <t>Osobné motorové vozidlo s technológiou</t>
  </si>
  <si>
    <t>Rekonštrukcia Vlárska</t>
  </si>
  <si>
    <t>Kotolňa Sokolovňa - búranie</t>
  </si>
  <si>
    <t>Priechod pre chodcov ul. Palackého pri MsP</t>
  </si>
  <si>
    <t>Chodník na hrádzi od Sihote 5 po most Ostrov</t>
  </si>
  <si>
    <t>Sociálne zariadenia MHSL</t>
  </si>
  <si>
    <t>* - na preklenutie časového nesúladu medzi príjmami a výdavkami rozpočtu sa môže čerpať kontokorentný úver spolu vo výške  2 500 tis. € z ČSOB a.s. s tým, že do konca roka 2018 bude predmetný úver splatený</t>
  </si>
  <si>
    <t>PD Výťah</t>
  </si>
  <si>
    <t>Saratovská - chodník</t>
  </si>
  <si>
    <t>PD Brezina</t>
  </si>
  <si>
    <t>Búranie budovy pod bývalou strojovňou chladenia pri ZŠ</t>
  </si>
  <si>
    <t>Oprava oplotenia a údržba športoviska pri bytovom dome K Výstavisku č.2</t>
  </si>
  <si>
    <t>Výruby</t>
  </si>
  <si>
    <t>o.z.Pre prírodu - projekt Zelená míľa 2018</t>
  </si>
  <si>
    <t>Kúpa tribúny futbalový štadión Záblatie</t>
  </si>
  <si>
    <t>Okružná ulica - projektová dokumentácia</t>
  </si>
  <si>
    <t>Ochrana prostredia pre život</t>
  </si>
  <si>
    <t>NFP cyklotrasa II.etapa z Juhu do centra</t>
  </si>
  <si>
    <t>Cyklotrasa II.etapa</t>
  </si>
  <si>
    <t>Parkovisko ul. Mládežnícka</t>
  </si>
  <si>
    <t>MK Karpatská</t>
  </si>
  <si>
    <t>PD Letné kúpalisko</t>
  </si>
  <si>
    <t>PD Rozkvet</t>
  </si>
  <si>
    <t>Rekonštrukcia detského ihriska na ul. Karpatskej</t>
  </si>
  <si>
    <t>Umývačka riadu</t>
  </si>
  <si>
    <t>Ostatné kapitálové výdavky</t>
  </si>
  <si>
    <t>Elektronický systém predaja a správy parkovacích kariet</t>
  </si>
  <si>
    <t>Oprava oporných múrov pri farských schodoch</t>
  </si>
  <si>
    <t>PD Pump Track</t>
  </si>
  <si>
    <t>KS Dlhé Hony - okná a dvere</t>
  </si>
  <si>
    <t>Osvetlenie podjazdu na Noviny</t>
  </si>
  <si>
    <t>Chodník pri Družbe</t>
  </si>
  <si>
    <t>Dotácia z Ministerstva dopravy a výstavby SR na obstaranie 26 nájomných bytov</t>
  </si>
  <si>
    <t>Kúpa 26 nájomných bytov</t>
  </si>
  <si>
    <t>514: Prijatie úveru zo ŠFRB (26 nájomných bytov)</t>
  </si>
  <si>
    <t xml:space="preserve">821: ŠFRB: istina - 26 nájomných bytov </t>
  </si>
  <si>
    <t xml:space="preserve">821: ŠFRB: istina - 48 nájomných bytov </t>
  </si>
  <si>
    <t>SMŠ Orechovská 14</t>
  </si>
  <si>
    <t>SMŠ Janka Kráľa 14</t>
  </si>
  <si>
    <t>SMŠ Motýlik</t>
  </si>
  <si>
    <t>SMŠ Best Friends Kids Club</t>
  </si>
  <si>
    <t>CMŠ bl.Tarzícia</t>
  </si>
  <si>
    <t>CMŠ sv.Andreja -Svorada a Benedikta</t>
  </si>
  <si>
    <t>SMŠ 2M</t>
  </si>
  <si>
    <t>CVČ pri ZŠ s MŠ sv.Andreja - Svorada a Benedikta</t>
  </si>
  <si>
    <t>ŠKD pri ZŠ s MŠ sv.Andreja - Svorada a Benedikta</t>
  </si>
  <si>
    <t>CVČ pri Piaristickom Gymnáziu Jozefa Braneckého "M-centrum"</t>
  </si>
  <si>
    <t>SŠKD FUTURUM pri SZŠ Futurum</t>
  </si>
  <si>
    <t>SZUŠ Gagarinova 7</t>
  </si>
  <si>
    <t>SZUŠ ul. Novomeského 11</t>
  </si>
  <si>
    <t>SZUŠ Stromová 1</t>
  </si>
  <si>
    <t>ŠJ pri Piaristickom gymnáziu Jozefa Braneckého</t>
  </si>
  <si>
    <t>ŠJ pri ZŠ s MŠ sv.Andreja -  Svorada a Benedikta</t>
  </si>
  <si>
    <t>ŠJ pri SZŠ FUTURUM</t>
  </si>
  <si>
    <t>ŠJ pri SZŠ pre žiakov s autizmom alebo ďalšími pervazívnymi vývinovými poruchami</t>
  </si>
  <si>
    <t>ŠJ pri S gymnáziu FUTURUM</t>
  </si>
  <si>
    <t>SŠKD pri SZŠ pre žiakov s autizmom alebo ďalšími pervazívnymi vývinovými poruchami</t>
  </si>
  <si>
    <t>SMŠ Slimáčik</t>
  </si>
  <si>
    <t>Zmena +/-</t>
  </si>
  <si>
    <t>Bežný rozpočet 2018</t>
  </si>
  <si>
    <t>Upravený bežný rozpočet 2018</t>
  </si>
  <si>
    <t>Kapitálový rozpočet 2018</t>
  </si>
  <si>
    <t>Upravený rozpočet 2018</t>
  </si>
  <si>
    <t>Upravený kapitálový rozpočet 2018</t>
  </si>
  <si>
    <t>Rozpočet 2018</t>
  </si>
  <si>
    <t>Granty</t>
  </si>
  <si>
    <t>453: SSMT m.r.o. - prostriedky z predchádzajúcich rokov</t>
  </si>
  <si>
    <t>Jednota dôchodcov - ZO č. 32</t>
  </si>
  <si>
    <t>455: Postúpené pohľadávky z MHSL m.r.o.</t>
  </si>
  <si>
    <t>Hala o.z. - HALA 2018 - Festival súčasného umenia</t>
  </si>
  <si>
    <t>AMADEUS - Oslavy 780.výročia prvej písomnej zmienky v obci Opatová nad Váhom</t>
  </si>
  <si>
    <t>Dychová hudba Textilanka - Kultúrne leto na Zámostí</t>
  </si>
  <si>
    <t>Detský folklórny súbor Kornička - Zabezpečenie činnosti DFS Kornička</t>
  </si>
  <si>
    <t>Zmena rozpočtu +/-</t>
  </si>
  <si>
    <t>Kapitálový rozpočet rok 2018</t>
  </si>
  <si>
    <t>Rozpočet rok 2018</t>
  </si>
  <si>
    <t>Schválená Zmena Programového rozpočtu Mesta Trenčín na rok 2018  uznesením č.1321 na MsZ 25.4.2018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</si>
</sst>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0" x14ac:knownFonts="1">
    <font>
      <sz val="10"/>
      <name val="Arial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20"/>
      <color indexed="18"/>
      <name val="Arial CE"/>
      <family val="2"/>
      <charset val="238"/>
    </font>
    <font>
      <sz val="8"/>
      <color indexed="18"/>
      <name val="Arial CE"/>
      <family val="2"/>
      <charset val="238"/>
    </font>
    <font>
      <sz val="6"/>
      <color indexed="18"/>
      <name val="Arial CE"/>
      <family val="2"/>
      <charset val="238"/>
    </font>
    <font>
      <sz val="9"/>
      <name val="Arial"/>
      <family val="2"/>
      <charset val="238"/>
    </font>
    <font>
      <b/>
      <sz val="8"/>
      <color indexed="18"/>
      <name val="Arial CE"/>
      <charset val="238"/>
    </font>
    <font>
      <b/>
      <i/>
      <sz val="12"/>
      <color indexed="9"/>
      <name val="Arial CE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color indexed="56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family val="2"/>
      <charset val="238"/>
    </font>
    <font>
      <b/>
      <sz val="22"/>
      <color indexed="18"/>
      <name val="Tahoma"/>
      <family val="2"/>
      <charset val="238"/>
    </font>
    <font>
      <b/>
      <sz val="12"/>
      <color indexed="9"/>
      <name val="Arial CE"/>
      <charset val="238"/>
    </font>
    <font>
      <b/>
      <sz val="11"/>
      <name val="Arial CE"/>
      <charset val="238"/>
    </font>
    <font>
      <b/>
      <i/>
      <sz val="12"/>
      <name val="Arial CE"/>
      <charset val="238"/>
    </font>
    <font>
      <b/>
      <sz val="8"/>
      <color indexed="9"/>
      <name val="Arial"/>
      <family val="2"/>
      <charset val="238"/>
    </font>
    <font>
      <b/>
      <sz val="12"/>
      <name val="Arial CE"/>
      <charset val="238"/>
    </font>
    <font>
      <i/>
      <sz val="11"/>
      <name val="Arial CE"/>
      <charset val="238"/>
    </font>
    <font>
      <sz val="10"/>
      <name val="Arial"/>
      <family val="2"/>
      <charset val="238"/>
    </font>
    <font>
      <b/>
      <i/>
      <sz val="12"/>
      <color indexed="56"/>
      <name val="Arial CE"/>
      <family val="2"/>
      <charset val="238"/>
    </font>
    <font>
      <b/>
      <i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color indexed="9"/>
      <name val="Arial CE"/>
      <family val="2"/>
      <charset val="238"/>
    </font>
    <font>
      <b/>
      <sz val="11"/>
      <name val="Arial"/>
      <family val="2"/>
      <charset val="238"/>
    </font>
    <font>
      <sz val="8"/>
      <color indexed="13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 CE"/>
      <charset val="238"/>
    </font>
    <font>
      <b/>
      <sz val="8"/>
      <name val="Arial"/>
      <family val="2"/>
      <charset val="238"/>
    </font>
    <font>
      <sz val="11"/>
      <color indexed="8"/>
      <name val="Calibri"/>
      <family val="2"/>
      <charset val="238"/>
    </font>
    <font>
      <b/>
      <i/>
      <sz val="8"/>
      <color indexed="9"/>
      <name val="Arial CE"/>
      <charset val="238"/>
    </font>
    <font>
      <b/>
      <sz val="8"/>
      <name val="Arial CE"/>
      <charset val="238"/>
    </font>
    <font>
      <b/>
      <i/>
      <sz val="11"/>
      <color indexed="9"/>
      <name val="Arial CE"/>
      <charset val="238"/>
    </font>
    <font>
      <b/>
      <i/>
      <sz val="11"/>
      <color indexed="56"/>
      <name val="Arial CE"/>
      <charset val="238"/>
    </font>
    <font>
      <i/>
      <sz val="10"/>
      <name val="Arial CE"/>
      <charset val="238"/>
    </font>
    <font>
      <b/>
      <sz val="11"/>
      <color indexed="9"/>
      <name val="Arial CE"/>
      <charset val="238"/>
    </font>
    <font>
      <b/>
      <sz val="10"/>
      <name val="Arial CE"/>
      <charset val="238"/>
    </font>
    <font>
      <b/>
      <sz val="14"/>
      <color indexed="9"/>
      <name val="Arial CE"/>
      <charset val="238"/>
    </font>
    <font>
      <sz val="14"/>
      <name val="Arial"/>
      <family val="2"/>
      <charset val="238"/>
    </font>
    <font>
      <sz val="9"/>
      <name val="Arial CE"/>
      <family val="2"/>
      <charset val="238"/>
    </font>
    <font>
      <b/>
      <sz val="15"/>
      <color indexed="1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8"/>
      <color rgb="FFFF0000"/>
      <name val="Arial"/>
      <family val="2"/>
      <charset val="238"/>
    </font>
    <font>
      <b/>
      <sz val="10"/>
      <color rgb="FFFF0000"/>
      <name val="Arial CE"/>
      <charset val="238"/>
    </font>
    <font>
      <b/>
      <sz val="10"/>
      <color theme="1"/>
      <name val="Arial CE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1F4E78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E5E5FF"/>
        <bgColor indexed="64"/>
      </patternFill>
    </fill>
    <fill>
      <patternFill patternType="solid">
        <fgColor rgb="FFFFFFD9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34" fillId="0" borderId="0"/>
    <xf numFmtId="0" fontId="4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</cellStyleXfs>
  <cellXfs count="410">
    <xf numFmtId="0" fontId="0" fillId="0" borderId="0" xfId="0"/>
    <xf numFmtId="0" fontId="9" fillId="2" borderId="1" xfId="0" applyFont="1" applyFill="1" applyBorder="1" applyAlignment="1">
      <alignment vertical="center"/>
    </xf>
    <xf numFmtId="0" fontId="11" fillId="0" borderId="2" xfId="0" applyFont="1" applyBorder="1"/>
    <xf numFmtId="0" fontId="7" fillId="0" borderId="2" xfId="0" applyFont="1" applyBorder="1"/>
    <xf numFmtId="0" fontId="10" fillId="0" borderId="2" xfId="0" applyFont="1" applyBorder="1"/>
    <xf numFmtId="0" fontId="3" fillId="4" borderId="2" xfId="0" applyFont="1" applyFill="1" applyBorder="1"/>
    <xf numFmtId="0" fontId="11" fillId="6" borderId="2" xfId="0" applyFont="1" applyFill="1" applyBorder="1"/>
    <xf numFmtId="0" fontId="11" fillId="0" borderId="2" xfId="0" applyFont="1" applyFill="1" applyBorder="1"/>
    <xf numFmtId="0" fontId="2" fillId="5" borderId="3" xfId="0" applyFont="1" applyFill="1" applyBorder="1"/>
    <xf numFmtId="0" fontId="27" fillId="6" borderId="4" xfId="0" applyFont="1" applyFill="1" applyBorder="1" applyAlignment="1"/>
    <xf numFmtId="0" fontId="27" fillId="7" borderId="2" xfId="0" applyFont="1" applyFill="1" applyBorder="1"/>
    <xf numFmtId="0" fontId="29" fillId="0" borderId="2" xfId="0" applyFont="1" applyBorder="1"/>
    <xf numFmtId="0" fontId="10" fillId="0" borderId="5" xfId="0" applyFont="1" applyBorder="1"/>
    <xf numFmtId="0" fontId="10" fillId="0" borderId="3" xfId="0" applyFont="1" applyBorder="1"/>
    <xf numFmtId="0" fontId="7" fillId="0" borderId="6" xfId="0" applyFont="1" applyBorder="1"/>
    <xf numFmtId="0" fontId="0" fillId="0" borderId="0" xfId="0" applyAlignment="1">
      <alignment horizontal="center"/>
    </xf>
    <xf numFmtId="3" fontId="0" fillId="0" borderId="0" xfId="0" applyNumberFormat="1"/>
    <xf numFmtId="3" fontId="27" fillId="6" borderId="4" xfId="0" applyNumberFormat="1" applyFont="1" applyFill="1" applyBorder="1" applyAlignment="1"/>
    <xf numFmtId="3" fontId="11" fillId="0" borderId="2" xfId="0" applyNumberFormat="1" applyFont="1" applyBorder="1"/>
    <xf numFmtId="3" fontId="7" fillId="0" borderId="2" xfId="0" applyNumberFormat="1" applyFont="1" applyBorder="1"/>
    <xf numFmtId="3" fontId="7" fillId="0" borderId="2" xfId="0" applyNumberFormat="1" applyFont="1" applyFill="1" applyBorder="1"/>
    <xf numFmtId="3" fontId="10" fillId="0" borderId="2" xfId="0" applyNumberFormat="1" applyFont="1" applyBorder="1"/>
    <xf numFmtId="3" fontId="10" fillId="0" borderId="2" xfId="0" applyNumberFormat="1" applyFont="1" applyFill="1" applyBorder="1"/>
    <xf numFmtId="3" fontId="11" fillId="0" borderId="2" xfId="0" applyNumberFormat="1" applyFont="1" applyFill="1" applyBorder="1"/>
    <xf numFmtId="3" fontId="7" fillId="0" borderId="6" xfId="0" applyNumberFormat="1" applyFont="1" applyBorder="1"/>
    <xf numFmtId="49" fontId="11" fillId="0" borderId="2" xfId="0" applyNumberFormat="1" applyFont="1" applyFill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7" fillId="7" borderId="2" xfId="0" applyFont="1" applyFill="1" applyBorder="1" applyAlignment="1">
      <alignment horizontal="center"/>
    </xf>
    <xf numFmtId="0" fontId="11" fillId="6" borderId="2" xfId="0" applyFont="1" applyFill="1" applyBorder="1" applyAlignment="1">
      <alignment horizontal="center"/>
    </xf>
    <xf numFmtId="49" fontId="11" fillId="0" borderId="2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0" fontId="7" fillId="0" borderId="3" xfId="0" applyFont="1" applyBorder="1"/>
    <xf numFmtId="0" fontId="10" fillId="0" borderId="0" xfId="0" applyFont="1"/>
    <xf numFmtId="0" fontId="10" fillId="0" borderId="2" xfId="0" applyFont="1" applyBorder="1" applyAlignment="1">
      <alignment wrapText="1"/>
    </xf>
    <xf numFmtId="3" fontId="16" fillId="2" borderId="2" xfId="0" applyNumberFormat="1" applyFont="1" applyFill="1" applyBorder="1" applyAlignment="1">
      <alignment vertical="center"/>
    </xf>
    <xf numFmtId="3" fontId="18" fillId="5" borderId="2" xfId="0" applyNumberFormat="1" applyFont="1" applyFill="1" applyBorder="1" applyAlignment="1"/>
    <xf numFmtId="3" fontId="17" fillId="3" borderId="2" xfId="0" applyNumberFormat="1" applyFont="1" applyFill="1" applyBorder="1" applyAlignment="1"/>
    <xf numFmtId="3" fontId="27" fillId="7" borderId="2" xfId="0" applyNumberFormat="1" applyFont="1" applyFill="1" applyBorder="1"/>
    <xf numFmtId="3" fontId="13" fillId="0" borderId="2" xfId="0" applyNumberFormat="1" applyFont="1" applyBorder="1"/>
    <xf numFmtId="3" fontId="10" fillId="13" borderId="2" xfId="0" applyNumberFormat="1" applyFont="1" applyFill="1" applyBorder="1"/>
    <xf numFmtId="3" fontId="11" fillId="6" borderId="2" xfId="0" applyNumberFormat="1" applyFont="1" applyFill="1" applyBorder="1"/>
    <xf numFmtId="3" fontId="21" fillId="0" borderId="2" xfId="0" applyNumberFormat="1" applyFont="1" applyBorder="1" applyAlignment="1"/>
    <xf numFmtId="0" fontId="0" fillId="0" borderId="0" xfId="0" applyAlignment="1">
      <alignment vertical="center"/>
    </xf>
    <xf numFmtId="0" fontId="20" fillId="5" borderId="5" xfId="0" applyFont="1" applyFill="1" applyBorder="1"/>
    <xf numFmtId="3" fontId="0" fillId="0" borderId="0" xfId="0" applyNumberFormat="1" applyBorder="1"/>
    <xf numFmtId="0" fontId="10" fillId="0" borderId="2" xfId="0" applyFont="1" applyFill="1" applyBorder="1"/>
    <xf numFmtId="0" fontId="10" fillId="13" borderId="2" xfId="0" applyFont="1" applyFill="1" applyBorder="1"/>
    <xf numFmtId="0" fontId="7" fillId="0" borderId="2" xfId="0" applyFont="1" applyBorder="1" applyAlignment="1">
      <alignment vertical="center"/>
    </xf>
    <xf numFmtId="49" fontId="29" fillId="0" borderId="2" xfId="0" applyNumberFormat="1" applyFont="1" applyBorder="1" applyAlignment="1">
      <alignment horizontal="center" vertical="center"/>
    </xf>
    <xf numFmtId="0" fontId="29" fillId="0" borderId="2" xfId="0" applyFont="1" applyBorder="1" applyAlignment="1">
      <alignment horizontal="left" vertical="center" wrapText="1"/>
    </xf>
    <xf numFmtId="3" fontId="7" fillId="0" borderId="2" xfId="0" applyNumberFormat="1" applyFont="1" applyBorder="1" applyAlignment="1">
      <alignment vertical="center"/>
    </xf>
    <xf numFmtId="0" fontId="7" fillId="0" borderId="2" xfId="0" applyFont="1" applyFill="1" applyBorder="1"/>
    <xf numFmtId="3" fontId="16" fillId="2" borderId="0" xfId="0" applyNumberFormat="1" applyFont="1" applyFill="1" applyBorder="1" applyAlignment="1">
      <alignment vertical="center"/>
    </xf>
    <xf numFmtId="0" fontId="0" fillId="13" borderId="0" xfId="0" applyFill="1" applyBorder="1"/>
    <xf numFmtId="0" fontId="10" fillId="13" borderId="0" xfId="0" applyFont="1" applyFill="1" applyBorder="1"/>
    <xf numFmtId="0" fontId="7" fillId="13" borderId="2" xfId="0" applyFont="1" applyFill="1" applyBorder="1"/>
    <xf numFmtId="0" fontId="0" fillId="0" borderId="7" xfId="0" applyBorder="1" applyAlignment="1"/>
    <xf numFmtId="0" fontId="25" fillId="8" borderId="5" xfId="0" applyFont="1" applyFill="1" applyBorder="1" applyAlignment="1"/>
    <xf numFmtId="0" fontId="25" fillId="8" borderId="8" xfId="0" applyFont="1" applyFill="1" applyBorder="1" applyAlignment="1"/>
    <xf numFmtId="0" fontId="0" fillId="0" borderId="9" xfId="0" applyBorder="1" applyAlignment="1"/>
    <xf numFmtId="3" fontId="1" fillId="13" borderId="0" xfId="0" applyNumberFormat="1" applyFont="1" applyFill="1" applyBorder="1"/>
    <xf numFmtId="0" fontId="27" fillId="14" borderId="2" xfId="0" applyFont="1" applyFill="1" applyBorder="1"/>
    <xf numFmtId="3" fontId="27" fillId="14" borderId="2" xfId="0" applyNumberFormat="1" applyFont="1" applyFill="1" applyBorder="1"/>
    <xf numFmtId="3" fontId="7" fillId="13" borderId="2" xfId="0" applyNumberFormat="1" applyFont="1" applyFill="1" applyBorder="1"/>
    <xf numFmtId="0" fontId="33" fillId="5" borderId="3" xfId="0" applyFont="1" applyFill="1" applyBorder="1"/>
    <xf numFmtId="0" fontId="33" fillId="6" borderId="4" xfId="0" applyFont="1" applyFill="1" applyBorder="1" applyAlignment="1"/>
    <xf numFmtId="0" fontId="33" fillId="4" borderId="2" xfId="0" applyFont="1" applyFill="1" applyBorder="1"/>
    <xf numFmtId="0" fontId="33" fillId="0" borderId="2" xfId="0" applyFont="1" applyBorder="1"/>
    <xf numFmtId="0" fontId="1" fillId="0" borderId="2" xfId="0" applyFont="1" applyBorder="1"/>
    <xf numFmtId="0" fontId="33" fillId="4" borderId="5" xfId="0" applyFont="1" applyFill="1" applyBorder="1"/>
    <xf numFmtId="0" fontId="33" fillId="4" borderId="3" xfId="0" applyFont="1" applyFill="1" applyBorder="1"/>
    <xf numFmtId="0" fontId="33" fillId="0" borderId="5" xfId="0" applyFont="1" applyBorder="1"/>
    <xf numFmtId="0" fontId="33" fillId="0" borderId="3" xfId="0" applyFont="1" applyBorder="1"/>
    <xf numFmtId="0" fontId="1" fillId="0" borderId="5" xfId="0" applyFont="1" applyBorder="1"/>
    <xf numFmtId="0" fontId="1" fillId="0" borderId="3" xfId="0" applyFont="1" applyBorder="1"/>
    <xf numFmtId="0" fontId="33" fillId="6" borderId="10" xfId="0" applyFont="1" applyFill="1" applyBorder="1" applyAlignment="1"/>
    <xf numFmtId="0" fontId="33" fillId="6" borderId="11" xfId="0" applyFont="1" applyFill="1" applyBorder="1" applyAlignment="1"/>
    <xf numFmtId="0" fontId="33" fillId="5" borderId="7" xfId="0" applyFont="1" applyFill="1" applyBorder="1"/>
    <xf numFmtId="49" fontId="31" fillId="13" borderId="0" xfId="0" applyNumberFormat="1" applyFont="1" applyFill="1" applyBorder="1" applyAlignment="1">
      <alignment horizontal="center" vertical="center"/>
    </xf>
    <xf numFmtId="3" fontId="19" fillId="13" borderId="0" xfId="0" applyNumberFormat="1" applyFont="1" applyFill="1" applyBorder="1" applyAlignment="1">
      <alignment horizontal="center" vertical="center" wrapText="1"/>
    </xf>
    <xf numFmtId="3" fontId="0" fillId="13" borderId="0" xfId="0" applyNumberFormat="1" applyFill="1" applyBorder="1"/>
    <xf numFmtId="0" fontId="7" fillId="0" borderId="12" xfId="0" applyFont="1" applyBorder="1"/>
    <xf numFmtId="0" fontId="7" fillId="0" borderId="13" xfId="0" applyFont="1" applyBorder="1"/>
    <xf numFmtId="3" fontId="18" fillId="5" borderId="14" xfId="0" applyNumberFormat="1" applyFont="1" applyFill="1" applyBorder="1" applyAlignment="1"/>
    <xf numFmtId="3" fontId="17" fillId="3" borderId="14" xfId="0" applyNumberFormat="1" applyFont="1" applyFill="1" applyBorder="1" applyAlignment="1"/>
    <xf numFmtId="3" fontId="11" fillId="0" borderId="14" xfId="0" applyNumberFormat="1" applyFont="1" applyFill="1" applyBorder="1"/>
    <xf numFmtId="3" fontId="7" fillId="0" borderId="14" xfId="0" applyNumberFormat="1" applyFont="1" applyBorder="1"/>
    <xf numFmtId="3" fontId="10" fillId="0" borderId="14" xfId="0" applyNumberFormat="1" applyFont="1" applyBorder="1"/>
    <xf numFmtId="0" fontId="7" fillId="0" borderId="15" xfId="0" applyFont="1" applyBorder="1"/>
    <xf numFmtId="49" fontId="7" fillId="0" borderId="6" xfId="0" applyNumberFormat="1" applyFont="1" applyBorder="1" applyAlignment="1">
      <alignment horizontal="center"/>
    </xf>
    <xf numFmtId="3" fontId="7" fillId="0" borderId="16" xfId="0" applyNumberFormat="1" applyFont="1" applyBorder="1"/>
    <xf numFmtId="3" fontId="7" fillId="13" borderId="2" xfId="0" applyNumberFormat="1" applyFont="1" applyFill="1" applyBorder="1" applyAlignment="1">
      <alignment vertical="center"/>
    </xf>
    <xf numFmtId="3" fontId="16" fillId="2" borderId="14" xfId="0" applyNumberFormat="1" applyFont="1" applyFill="1" applyBorder="1" applyAlignment="1">
      <alignment vertical="center"/>
    </xf>
    <xf numFmtId="3" fontId="27" fillId="7" borderId="14" xfId="0" applyNumberFormat="1" applyFont="1" applyFill="1" applyBorder="1"/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0" fontId="30" fillId="0" borderId="17" xfId="0" applyFont="1" applyBorder="1"/>
    <xf numFmtId="3" fontId="10" fillId="0" borderId="6" xfId="0" applyNumberFormat="1" applyFont="1" applyBorder="1"/>
    <xf numFmtId="3" fontId="10" fillId="0" borderId="16" xfId="0" applyNumberFormat="1" applyFont="1" applyBorder="1"/>
    <xf numFmtId="3" fontId="11" fillId="6" borderId="14" xfId="0" applyNumberFormat="1" applyFont="1" applyFill="1" applyBorder="1"/>
    <xf numFmtId="49" fontId="10" fillId="0" borderId="6" xfId="0" applyNumberFormat="1" applyFont="1" applyBorder="1" applyAlignment="1">
      <alignment horizontal="center"/>
    </xf>
    <xf numFmtId="0" fontId="39" fillId="0" borderId="5" xfId="0" applyFont="1" applyBorder="1" applyAlignment="1"/>
    <xf numFmtId="3" fontId="17" fillId="15" borderId="2" xfId="0" applyNumberFormat="1" applyFont="1" applyFill="1" applyBorder="1"/>
    <xf numFmtId="0" fontId="36" fillId="5" borderId="18" xfId="0" applyFont="1" applyFill="1" applyBorder="1"/>
    <xf numFmtId="0" fontId="20" fillId="5" borderId="19" xfId="0" applyFont="1" applyFill="1" applyBorder="1"/>
    <xf numFmtId="3" fontId="17" fillId="15" borderId="20" xfId="0" applyNumberFormat="1" applyFont="1" applyFill="1" applyBorder="1"/>
    <xf numFmtId="0" fontId="36" fillId="5" borderId="13" xfId="0" applyFont="1" applyFill="1" applyBorder="1"/>
    <xf numFmtId="0" fontId="32" fillId="0" borderId="13" xfId="0" applyFont="1" applyBorder="1" applyAlignment="1"/>
    <xf numFmtId="3" fontId="21" fillId="0" borderId="14" xfId="0" applyNumberFormat="1" applyFont="1" applyBorder="1" applyAlignment="1"/>
    <xf numFmtId="0" fontId="7" fillId="0" borderId="21" xfId="0" applyFont="1" applyBorder="1"/>
    <xf numFmtId="0" fontId="7" fillId="0" borderId="13" xfId="0" applyFont="1" applyBorder="1" applyAlignment="1">
      <alignment vertical="center"/>
    </xf>
    <xf numFmtId="3" fontId="7" fillId="0" borderId="14" xfId="0" applyNumberFormat="1" applyFont="1" applyBorder="1" applyAlignment="1">
      <alignment vertical="center"/>
    </xf>
    <xf numFmtId="3" fontId="29" fillId="0" borderId="14" xfId="0" applyNumberFormat="1" applyFont="1" applyFill="1" applyBorder="1"/>
    <xf numFmtId="3" fontId="10" fillId="0" borderId="14" xfId="0" applyNumberFormat="1" applyFont="1" applyFill="1" applyBorder="1"/>
    <xf numFmtId="3" fontId="11" fillId="0" borderId="14" xfId="0" applyNumberFormat="1" applyFont="1" applyBorder="1"/>
    <xf numFmtId="0" fontId="11" fillId="0" borderId="6" xfId="0" applyFont="1" applyFill="1" applyBorder="1"/>
    <xf numFmtId="49" fontId="11" fillId="0" borderId="6" xfId="0" applyNumberFormat="1" applyFont="1" applyFill="1" applyBorder="1" applyAlignment="1">
      <alignment horizontal="center"/>
    </xf>
    <xf numFmtId="3" fontId="11" fillId="0" borderId="6" xfId="0" applyNumberFormat="1" applyFont="1" applyFill="1" applyBorder="1"/>
    <xf numFmtId="3" fontId="11" fillId="0" borderId="16" xfId="0" applyNumberFormat="1" applyFont="1" applyFill="1" applyBorder="1"/>
    <xf numFmtId="0" fontId="1" fillId="0" borderId="13" xfId="0" applyFont="1" applyBorder="1" applyAlignment="1">
      <alignment horizontal="center"/>
    </xf>
    <xf numFmtId="3" fontId="27" fillId="5" borderId="23" xfId="0" applyNumberFormat="1" applyFont="1" applyFill="1" applyBorder="1"/>
    <xf numFmtId="3" fontId="3" fillId="4" borderId="14" xfId="0" applyNumberFormat="1" applyFont="1" applyFill="1" applyBorder="1"/>
    <xf numFmtId="3" fontId="2" fillId="5" borderId="23" xfId="0" applyNumberFormat="1" applyFont="1" applyFill="1" applyBorder="1"/>
    <xf numFmtId="3" fontId="7" fillId="0" borderId="14" xfId="0" applyNumberFormat="1" applyFont="1" applyFill="1" applyBorder="1"/>
    <xf numFmtId="0" fontId="1" fillId="0" borderId="15" xfId="0" applyFont="1" applyBorder="1" applyAlignment="1">
      <alignment horizontal="center"/>
    </xf>
    <xf numFmtId="0" fontId="35" fillId="2" borderId="24" xfId="0" applyFont="1" applyFill="1" applyBorder="1" applyAlignment="1">
      <alignment vertical="center"/>
    </xf>
    <xf numFmtId="0" fontId="35" fillId="2" borderId="6" xfId="0" applyFont="1" applyFill="1" applyBorder="1" applyAlignment="1">
      <alignment vertical="center"/>
    </xf>
    <xf numFmtId="0" fontId="35" fillId="2" borderId="17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3" fontId="37" fillId="2" borderId="16" xfId="0" applyNumberFormat="1" applyFont="1" applyFill="1" applyBorder="1" applyAlignment="1">
      <alignment vertical="center"/>
    </xf>
    <xf numFmtId="0" fontId="9" fillId="2" borderId="25" xfId="0" applyFont="1" applyFill="1" applyBorder="1" applyAlignment="1">
      <alignment horizontal="center" vertical="center"/>
    </xf>
    <xf numFmtId="3" fontId="37" fillId="2" borderId="26" xfId="0" applyNumberFormat="1" applyFont="1" applyFill="1" applyBorder="1" applyAlignment="1">
      <alignment vertical="center"/>
    </xf>
    <xf numFmtId="0" fontId="23" fillId="6" borderId="27" xfId="0" applyFont="1" applyFill="1" applyBorder="1" applyAlignment="1">
      <alignment horizontal="center"/>
    </xf>
    <xf numFmtId="0" fontId="23" fillId="6" borderId="28" xfId="0" applyFont="1" applyFill="1" applyBorder="1"/>
    <xf numFmtId="3" fontId="38" fillId="6" borderId="22" xfId="0" applyNumberFormat="1" applyFont="1" applyFill="1" applyBorder="1"/>
    <xf numFmtId="0" fontId="7" fillId="0" borderId="5" xfId="0" applyFont="1" applyBorder="1"/>
    <xf numFmtId="0" fontId="11" fillId="0" borderId="3" xfId="0" applyFont="1" applyBorder="1"/>
    <xf numFmtId="0" fontId="1" fillId="0" borderId="2" xfId="0" applyFont="1" applyBorder="1" applyAlignment="1">
      <alignment horizontal="center"/>
    </xf>
    <xf numFmtId="0" fontId="36" fillId="5" borderId="13" xfId="0" applyFont="1" applyFill="1" applyBorder="1" applyAlignment="1">
      <alignment vertical="center"/>
    </xf>
    <xf numFmtId="3" fontId="17" fillId="5" borderId="2" xfId="0" applyNumberFormat="1" applyFont="1" applyFill="1" applyBorder="1" applyAlignment="1">
      <alignment vertical="center"/>
    </xf>
    <xf numFmtId="3" fontId="17" fillId="15" borderId="2" xfId="0" applyNumberFormat="1" applyFont="1" applyFill="1" applyBorder="1" applyAlignment="1">
      <alignment vertical="center"/>
    </xf>
    <xf numFmtId="3" fontId="17" fillId="5" borderId="14" xfId="0" applyNumberFormat="1" applyFont="1" applyFill="1" applyBorder="1" applyAlignment="1">
      <alignment vertical="center"/>
    </xf>
    <xf numFmtId="0" fontId="36" fillId="5" borderId="15" xfId="0" applyFont="1" applyFill="1" applyBorder="1" applyAlignment="1">
      <alignment vertical="center"/>
    </xf>
    <xf numFmtId="3" fontId="17" fillId="5" borderId="6" xfId="0" applyNumberFormat="1" applyFont="1" applyFill="1" applyBorder="1" applyAlignment="1">
      <alignment vertical="center"/>
    </xf>
    <xf numFmtId="0" fontId="41" fillId="5" borderId="5" xfId="0" applyFont="1" applyFill="1" applyBorder="1" applyAlignment="1">
      <alignment vertical="center"/>
    </xf>
    <xf numFmtId="0" fontId="41" fillId="5" borderId="5" xfId="0" applyFont="1" applyFill="1" applyBorder="1" applyAlignment="1">
      <alignment vertical="center" wrapText="1"/>
    </xf>
    <xf numFmtId="0" fontId="41" fillId="5" borderId="24" xfId="0" applyFont="1" applyFill="1" applyBorder="1" applyAlignment="1">
      <alignment vertical="center" wrapText="1"/>
    </xf>
    <xf numFmtId="3" fontId="18" fillId="16" borderId="2" xfId="0" applyNumberFormat="1" applyFont="1" applyFill="1" applyBorder="1" applyAlignment="1"/>
    <xf numFmtId="0" fontId="10" fillId="0" borderId="0" xfId="0" applyFont="1" applyBorder="1"/>
    <xf numFmtId="0" fontId="10" fillId="0" borderId="1" xfId="0" applyFont="1" applyBorder="1"/>
    <xf numFmtId="0" fontId="10" fillId="0" borderId="29" xfId="0" applyFont="1" applyBorder="1"/>
    <xf numFmtId="3" fontId="47" fillId="0" borderId="6" xfId="0" applyNumberFormat="1" applyFont="1" applyBorder="1"/>
    <xf numFmtId="3" fontId="1" fillId="0" borderId="2" xfId="0" applyNumberFormat="1" applyFont="1" applyBorder="1"/>
    <xf numFmtId="0" fontId="10" fillId="0" borderId="30" xfId="0" applyFont="1" applyFill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3" fontId="10" fillId="0" borderId="2" xfId="0" applyNumberFormat="1" applyFont="1" applyBorder="1" applyAlignment="1">
      <alignment vertical="center"/>
    </xf>
    <xf numFmtId="3" fontId="10" fillId="0" borderId="14" xfId="0" applyNumberFormat="1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1" fillId="0" borderId="1" xfId="0" applyFont="1" applyBorder="1"/>
    <xf numFmtId="0" fontId="33" fillId="4" borderId="31" xfId="0" applyFont="1" applyFill="1" applyBorder="1"/>
    <xf numFmtId="0" fontId="33" fillId="6" borderId="32" xfId="0" applyFont="1" applyFill="1" applyBorder="1" applyAlignment="1"/>
    <xf numFmtId="0" fontId="33" fillId="0" borderId="31" xfId="0" applyFont="1" applyBorder="1"/>
    <xf numFmtId="0" fontId="33" fillId="5" borderId="1" xfId="0" applyFont="1" applyFill="1" applyBorder="1"/>
    <xf numFmtId="0" fontId="48" fillId="13" borderId="0" xfId="0" applyFont="1" applyFill="1" applyBorder="1" applyAlignment="1">
      <alignment vertical="center" wrapText="1"/>
    </xf>
    <xf numFmtId="0" fontId="0" fillId="0" borderId="0" xfId="0" applyFill="1" applyBorder="1" applyAlignment="1"/>
    <xf numFmtId="0" fontId="18" fillId="5" borderId="6" xfId="0" applyFont="1" applyFill="1" applyBorder="1" applyAlignment="1"/>
    <xf numFmtId="3" fontId="18" fillId="5" borderId="6" xfId="0" applyNumberFormat="1" applyFont="1" applyFill="1" applyBorder="1" applyAlignment="1"/>
    <xf numFmtId="3" fontId="18" fillId="5" borderId="16" xfId="0" applyNumberFormat="1" applyFont="1" applyFill="1" applyBorder="1" applyAlignment="1"/>
    <xf numFmtId="3" fontId="0" fillId="0" borderId="33" xfId="0" applyNumberFormat="1" applyBorder="1"/>
    <xf numFmtId="0" fontId="10" fillId="0" borderId="2" xfId="0" applyFont="1" applyFill="1" applyBorder="1" applyAlignment="1">
      <alignment horizontal="center"/>
    </xf>
    <xf numFmtId="3" fontId="1" fillId="0" borderId="2" xfId="0" applyNumberFormat="1" applyFont="1" applyFill="1" applyBorder="1"/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3" fontId="17" fillId="15" borderId="34" xfId="0" applyNumberFormat="1" applyFont="1" applyFill="1" applyBorder="1"/>
    <xf numFmtId="3" fontId="17" fillId="15" borderId="14" xfId="0" applyNumberFormat="1" applyFont="1" applyFill="1" applyBorder="1"/>
    <xf numFmtId="0" fontId="0" fillId="0" borderId="35" xfId="0" applyBorder="1"/>
    <xf numFmtId="0" fontId="0" fillId="0" borderId="0" xfId="0" applyBorder="1"/>
    <xf numFmtId="3" fontId="1" fillId="0" borderId="6" xfId="0" applyNumberFormat="1" applyFont="1" applyBorder="1"/>
    <xf numFmtId="3" fontId="7" fillId="13" borderId="14" xfId="0" applyNumberFormat="1" applyFont="1" applyFill="1" applyBorder="1"/>
    <xf numFmtId="3" fontId="10" fillId="0" borderId="26" xfId="0" applyNumberFormat="1" applyFont="1" applyBorder="1"/>
    <xf numFmtId="0" fontId="10" fillId="0" borderId="2" xfId="0" applyFont="1" applyBorder="1" applyAlignment="1">
      <alignment vertical="center" wrapText="1"/>
    </xf>
    <xf numFmtId="3" fontId="10" fillId="0" borderId="2" xfId="0" applyNumberFormat="1" applyFont="1" applyFill="1" applyBorder="1" applyAlignment="1">
      <alignment vertical="center"/>
    </xf>
    <xf numFmtId="49" fontId="7" fillId="0" borderId="2" xfId="0" applyNumberFormat="1" applyFont="1" applyFill="1" applyBorder="1" applyAlignment="1">
      <alignment horizontal="center"/>
    </xf>
    <xf numFmtId="0" fontId="35" fillId="2" borderId="51" xfId="0" applyFont="1" applyFill="1" applyBorder="1" applyAlignment="1">
      <alignment vertical="center"/>
    </xf>
    <xf numFmtId="0" fontId="9" fillId="2" borderId="51" xfId="0" applyFont="1" applyFill="1" applyBorder="1" applyAlignment="1">
      <alignment vertical="center"/>
    </xf>
    <xf numFmtId="3" fontId="37" fillId="2" borderId="52" xfId="0" applyNumberFormat="1" applyFont="1" applyFill="1" applyBorder="1" applyAlignment="1">
      <alignment vertical="center"/>
    </xf>
    <xf numFmtId="49" fontId="11" fillId="0" borderId="2" xfId="0" applyNumberFormat="1" applyFont="1" applyFill="1" applyBorder="1"/>
    <xf numFmtId="0" fontId="11" fillId="0" borderId="2" xfId="0" applyFont="1" applyFill="1" applyBorder="1" applyAlignment="1">
      <alignment horizontal="center"/>
    </xf>
    <xf numFmtId="49" fontId="7" fillId="0" borderId="2" xfId="0" applyNumberFormat="1" applyFont="1" applyBorder="1"/>
    <xf numFmtId="0" fontId="7" fillId="0" borderId="2" xfId="0" applyFont="1" applyBorder="1" applyAlignment="1">
      <alignment horizontal="center"/>
    </xf>
    <xf numFmtId="3" fontId="30" fillId="0" borderId="2" xfId="0" applyNumberFormat="1" applyFont="1" applyBorder="1"/>
    <xf numFmtId="3" fontId="30" fillId="0" borderId="14" xfId="0" applyNumberFormat="1" applyFont="1" applyBorder="1"/>
    <xf numFmtId="0" fontId="7" fillId="0" borderId="25" xfId="0" applyFont="1" applyBorder="1"/>
    <xf numFmtId="0" fontId="10" fillId="0" borderId="1" xfId="0" applyFont="1" applyBorder="1" applyAlignment="1">
      <alignment horizontal="center"/>
    </xf>
    <xf numFmtId="0" fontId="30" fillId="0" borderId="59" xfId="0" applyFont="1" applyBorder="1"/>
    <xf numFmtId="3" fontId="47" fillId="0" borderId="1" xfId="0" applyNumberFormat="1" applyFont="1" applyBorder="1"/>
    <xf numFmtId="3" fontId="10" fillId="0" borderId="1" xfId="0" applyNumberFormat="1" applyFont="1" applyBorder="1"/>
    <xf numFmtId="0" fontId="0" fillId="0" borderId="7" xfId="0" applyBorder="1" applyAlignment="1"/>
    <xf numFmtId="0" fontId="0" fillId="0" borderId="9" xfId="0" applyBorder="1" applyAlignment="1"/>
    <xf numFmtId="0" fontId="0" fillId="0" borderId="7" xfId="0" applyBorder="1" applyAlignment="1"/>
    <xf numFmtId="0" fontId="25" fillId="8" borderId="5" xfId="0" applyFont="1" applyFill="1" applyBorder="1" applyAlignment="1"/>
    <xf numFmtId="0" fontId="0" fillId="0" borderId="9" xfId="0" applyBorder="1" applyAlignment="1"/>
    <xf numFmtId="3" fontId="17" fillId="15" borderId="19" xfId="0" applyNumberFormat="1" applyFont="1" applyFill="1" applyBorder="1"/>
    <xf numFmtId="3" fontId="17" fillId="15" borderId="5" xfId="0" applyNumberFormat="1" applyFont="1" applyFill="1" applyBorder="1"/>
    <xf numFmtId="3" fontId="21" fillId="0" borderId="5" xfId="0" applyNumberFormat="1" applyFont="1" applyBorder="1" applyAlignment="1"/>
    <xf numFmtId="3" fontId="17" fillId="5" borderId="5" xfId="0" applyNumberFormat="1" applyFont="1" applyFill="1" applyBorder="1" applyAlignment="1">
      <alignment vertical="center"/>
    </xf>
    <xf numFmtId="3" fontId="17" fillId="15" borderId="5" xfId="0" applyNumberFormat="1" applyFont="1" applyFill="1" applyBorder="1" applyAlignment="1">
      <alignment vertical="center"/>
    </xf>
    <xf numFmtId="3" fontId="17" fillId="5" borderId="24" xfId="0" applyNumberFormat="1" applyFont="1" applyFill="1" applyBorder="1" applyAlignment="1">
      <alignment vertical="center"/>
    </xf>
    <xf numFmtId="3" fontId="40" fillId="9" borderId="60" xfId="0" applyNumberFormat="1" applyFont="1" applyFill="1" applyBorder="1" applyAlignment="1" applyProtection="1">
      <protection locked="0"/>
    </xf>
    <xf numFmtId="3" fontId="40" fillId="9" borderId="7" xfId="0" applyNumberFormat="1" applyFont="1" applyFill="1" applyBorder="1" applyAlignment="1"/>
    <xf numFmtId="3" fontId="40" fillId="9" borderId="23" xfId="0" applyNumberFormat="1" applyFont="1" applyFill="1" applyBorder="1" applyAlignment="1"/>
    <xf numFmtId="3" fontId="40" fillId="9" borderId="61" xfId="0" applyNumberFormat="1" applyFont="1" applyFill="1" applyBorder="1" applyAlignment="1"/>
    <xf numFmtId="3" fontId="25" fillId="8" borderId="23" xfId="0" applyNumberFormat="1" applyFont="1" applyFill="1" applyBorder="1" applyAlignment="1"/>
    <xf numFmtId="3" fontId="49" fillId="8" borderId="23" xfId="0" applyNumberFormat="1" applyFont="1" applyFill="1" applyBorder="1" applyAlignment="1"/>
    <xf numFmtId="3" fontId="25" fillId="8" borderId="61" xfId="0" applyNumberFormat="1" applyFont="1" applyFill="1" applyBorder="1" applyAlignment="1"/>
    <xf numFmtId="3" fontId="25" fillId="13" borderId="61" xfId="0" applyNumberFormat="1" applyFont="1" applyFill="1" applyBorder="1" applyAlignment="1"/>
    <xf numFmtId="0" fontId="1" fillId="0" borderId="31" xfId="0" applyFont="1" applyBorder="1"/>
    <xf numFmtId="3" fontId="17" fillId="15" borderId="63" xfId="0" applyNumberFormat="1" applyFont="1" applyFill="1" applyBorder="1"/>
    <xf numFmtId="3" fontId="17" fillId="15" borderId="23" xfId="0" applyNumberFormat="1" applyFont="1" applyFill="1" applyBorder="1"/>
    <xf numFmtId="3" fontId="21" fillId="0" borderId="23" xfId="0" applyNumberFormat="1" applyFont="1" applyBorder="1" applyAlignment="1"/>
    <xf numFmtId="3" fontId="17" fillId="5" borderId="23" xfId="0" applyNumberFormat="1" applyFont="1" applyFill="1" applyBorder="1" applyAlignment="1">
      <alignment vertical="center"/>
    </xf>
    <xf numFmtId="3" fontId="17" fillId="15" borderId="64" xfId="0" applyNumberFormat="1" applyFont="1" applyFill="1" applyBorder="1" applyAlignment="1">
      <alignment vertical="center"/>
    </xf>
    <xf numFmtId="0" fontId="0" fillId="15" borderId="11" xfId="0" applyFill="1" applyBorder="1"/>
    <xf numFmtId="3" fontId="26" fillId="2" borderId="65" xfId="0" applyNumberFormat="1" applyFont="1" applyFill="1" applyBorder="1" applyAlignment="1"/>
    <xf numFmtId="3" fontId="17" fillId="15" borderId="6" xfId="0" applyNumberFormat="1" applyFont="1" applyFill="1" applyBorder="1" applyAlignment="1">
      <alignment vertical="center"/>
    </xf>
    <xf numFmtId="0" fontId="0" fillId="0" borderId="50" xfId="0" applyBorder="1"/>
    <xf numFmtId="0" fontId="0" fillId="15" borderId="32" xfId="0" applyFill="1" applyBorder="1"/>
    <xf numFmtId="3" fontId="40" fillId="9" borderId="31" xfId="0" applyNumberFormat="1" applyFont="1" applyFill="1" applyBorder="1" applyAlignment="1"/>
    <xf numFmtId="3" fontId="25" fillId="8" borderId="2" xfId="0" applyNumberFormat="1" applyFont="1" applyFill="1" applyBorder="1" applyAlignment="1"/>
    <xf numFmtId="3" fontId="49" fillId="8" borderId="2" xfId="0" applyNumberFormat="1" applyFont="1" applyFill="1" applyBorder="1" applyAlignment="1"/>
    <xf numFmtId="3" fontId="40" fillId="9" borderId="2" xfId="0" applyNumberFormat="1" applyFont="1" applyFill="1" applyBorder="1" applyAlignment="1"/>
    <xf numFmtId="3" fontId="25" fillId="8" borderId="31" xfId="0" applyNumberFormat="1" applyFont="1" applyFill="1" applyBorder="1" applyAlignment="1"/>
    <xf numFmtId="3" fontId="25" fillId="13" borderId="31" xfId="0" applyNumberFormat="1" applyFont="1" applyFill="1" applyBorder="1" applyAlignment="1"/>
    <xf numFmtId="3" fontId="26" fillId="2" borderId="28" xfId="0" applyNumberFormat="1" applyFont="1" applyFill="1" applyBorder="1" applyAlignment="1"/>
    <xf numFmtId="3" fontId="17" fillId="15" borderId="62" xfId="0" applyNumberFormat="1" applyFont="1" applyFill="1" applyBorder="1"/>
    <xf numFmtId="3" fontId="17" fillId="15" borderId="3" xfId="0" applyNumberFormat="1" applyFont="1" applyFill="1" applyBorder="1"/>
    <xf numFmtId="3" fontId="21" fillId="0" borderId="3" xfId="0" applyNumberFormat="1" applyFont="1" applyBorder="1" applyAlignment="1"/>
    <xf numFmtId="3" fontId="17" fillId="5" borderId="3" xfId="0" applyNumberFormat="1" applyFont="1" applyFill="1" applyBorder="1" applyAlignment="1">
      <alignment vertical="center"/>
    </xf>
    <xf numFmtId="3" fontId="17" fillId="15" borderId="3" xfId="0" applyNumberFormat="1" applyFont="1" applyFill="1" applyBorder="1" applyAlignment="1">
      <alignment vertical="center"/>
    </xf>
    <xf numFmtId="3" fontId="17" fillId="5" borderId="17" xfId="0" applyNumberFormat="1" applyFont="1" applyFill="1" applyBorder="1" applyAlignment="1">
      <alignment vertical="center"/>
    </xf>
    <xf numFmtId="3" fontId="0" fillId="0" borderId="35" xfId="0" applyNumberFormat="1" applyBorder="1"/>
    <xf numFmtId="3" fontId="17" fillId="15" borderId="18" xfId="0" applyNumberFormat="1" applyFont="1" applyFill="1" applyBorder="1"/>
    <xf numFmtId="3" fontId="17" fillId="15" borderId="13" xfId="0" applyNumberFormat="1" applyFont="1" applyFill="1" applyBorder="1"/>
    <xf numFmtId="3" fontId="21" fillId="0" borderId="13" xfId="0" applyNumberFormat="1" applyFont="1" applyBorder="1" applyAlignment="1"/>
    <xf numFmtId="3" fontId="17" fillId="15" borderId="13" xfId="0" applyNumberFormat="1" applyFont="1" applyFill="1" applyBorder="1" applyAlignment="1">
      <alignment vertical="center"/>
    </xf>
    <xf numFmtId="3" fontId="17" fillId="15" borderId="14" xfId="0" applyNumberFormat="1" applyFont="1" applyFill="1" applyBorder="1" applyAlignment="1">
      <alignment vertical="center"/>
    </xf>
    <xf numFmtId="3" fontId="17" fillId="5" borderId="13" xfId="0" applyNumberFormat="1" applyFont="1" applyFill="1" applyBorder="1" applyAlignment="1">
      <alignment vertical="center"/>
    </xf>
    <xf numFmtId="3" fontId="17" fillId="5" borderId="15" xfId="0" applyNumberFormat="1" applyFont="1" applyFill="1" applyBorder="1" applyAlignment="1">
      <alignment vertical="center"/>
    </xf>
    <xf numFmtId="3" fontId="17" fillId="5" borderId="16" xfId="0" applyNumberFormat="1" applyFont="1" applyFill="1" applyBorder="1" applyAlignment="1">
      <alignment vertical="center"/>
    </xf>
    <xf numFmtId="3" fontId="17" fillId="15" borderId="12" xfId="0" applyNumberFormat="1" applyFont="1" applyFill="1" applyBorder="1"/>
    <xf numFmtId="3" fontId="17" fillId="15" borderId="68" xfId="0" applyNumberFormat="1" applyFont="1" applyFill="1" applyBorder="1"/>
    <xf numFmtId="3" fontId="21" fillId="0" borderId="68" xfId="0" applyNumberFormat="1" applyFont="1" applyBorder="1" applyAlignment="1"/>
    <xf numFmtId="3" fontId="17" fillId="5" borderId="68" xfId="0" applyNumberFormat="1" applyFont="1" applyFill="1" applyBorder="1" applyAlignment="1">
      <alignment vertical="center"/>
    </xf>
    <xf numFmtId="3" fontId="17" fillId="15" borderId="67" xfId="0" applyNumberFormat="1" applyFont="1" applyFill="1" applyBorder="1" applyAlignment="1">
      <alignment vertical="center"/>
    </xf>
    <xf numFmtId="0" fontId="0" fillId="0" borderId="69" xfId="0" applyBorder="1" applyAlignment="1"/>
    <xf numFmtId="3" fontId="40" fillId="9" borderId="18" xfId="0" applyNumberFormat="1" applyFont="1" applyFill="1" applyBorder="1" applyAlignment="1"/>
    <xf numFmtId="3" fontId="25" fillId="8" borderId="13" xfId="0" applyNumberFormat="1" applyFont="1" applyFill="1" applyBorder="1" applyAlignment="1"/>
    <xf numFmtId="3" fontId="49" fillId="8" borderId="13" xfId="0" applyNumberFormat="1" applyFont="1" applyFill="1" applyBorder="1" applyAlignment="1"/>
    <xf numFmtId="3" fontId="40" fillId="9" borderId="13" xfId="0" applyNumberFormat="1" applyFont="1" applyFill="1" applyBorder="1" applyAlignment="1"/>
    <xf numFmtId="3" fontId="25" fillId="8" borderId="21" xfId="0" applyNumberFormat="1" applyFont="1" applyFill="1" applyBorder="1" applyAlignment="1"/>
    <xf numFmtId="3" fontId="25" fillId="13" borderId="21" xfId="0" applyNumberFormat="1" applyFont="1" applyFill="1" applyBorder="1" applyAlignment="1"/>
    <xf numFmtId="3" fontId="26" fillId="18" borderId="27" xfId="0" applyNumberFormat="1" applyFont="1" applyFill="1" applyBorder="1" applyAlignment="1"/>
    <xf numFmtId="0" fontId="0" fillId="18" borderId="58" xfId="0" applyFill="1" applyBorder="1" applyAlignment="1"/>
    <xf numFmtId="0" fontId="0" fillId="13" borderId="0" xfId="0" applyFill="1" applyBorder="1" applyAlignment="1">
      <alignment vertical="center"/>
    </xf>
    <xf numFmtId="0" fontId="17" fillId="3" borderId="2" xfId="0" applyFont="1" applyFill="1" applyBorder="1" applyAlignment="1"/>
    <xf numFmtId="0" fontId="18" fillId="5" borderId="2" xfId="0" applyFont="1" applyFill="1" applyBorder="1" applyAlignment="1"/>
    <xf numFmtId="0" fontId="10" fillId="0" borderId="3" xfId="0" applyFont="1" applyBorder="1" applyAlignment="1">
      <alignment vertical="center"/>
    </xf>
    <xf numFmtId="0" fontId="0" fillId="13" borderId="45" xfId="0" applyFill="1" applyBorder="1"/>
    <xf numFmtId="49" fontId="12" fillId="0" borderId="0" xfId="0" applyNumberFormat="1" applyFont="1" applyFill="1" applyBorder="1" applyAlignment="1">
      <alignment horizontal="center" vertical="center"/>
    </xf>
    <xf numFmtId="3" fontId="18" fillId="5" borderId="71" xfId="0" applyNumberFormat="1" applyFont="1" applyFill="1" applyBorder="1" applyAlignment="1"/>
    <xf numFmtId="3" fontId="11" fillId="0" borderId="71" xfId="0" applyNumberFormat="1" applyFont="1" applyFill="1" applyBorder="1"/>
    <xf numFmtId="3" fontId="7" fillId="0" borderId="71" xfId="0" applyNumberFormat="1" applyFont="1" applyBorder="1"/>
    <xf numFmtId="3" fontId="10" fillId="0" borderId="71" xfId="0" applyNumberFormat="1" applyFont="1" applyBorder="1"/>
    <xf numFmtId="3" fontId="18" fillId="5" borderId="68" xfId="0" applyNumberFormat="1" applyFont="1" applyFill="1" applyBorder="1" applyAlignment="1"/>
    <xf numFmtId="3" fontId="17" fillId="3" borderId="68" xfId="0" applyNumberFormat="1" applyFont="1" applyFill="1" applyBorder="1" applyAlignment="1"/>
    <xf numFmtId="3" fontId="11" fillId="0" borderId="68" xfId="0" applyNumberFormat="1" applyFont="1" applyFill="1" applyBorder="1"/>
    <xf numFmtId="3" fontId="7" fillId="0" borderId="68" xfId="0" applyNumberFormat="1" applyFont="1" applyBorder="1"/>
    <xf numFmtId="3" fontId="10" fillId="0" borderId="68" xfId="0" applyNumberFormat="1" applyFont="1" applyBorder="1"/>
    <xf numFmtId="3" fontId="18" fillId="5" borderId="67" xfId="0" applyNumberFormat="1" applyFont="1" applyFill="1" applyBorder="1" applyAlignment="1"/>
    <xf numFmtId="3" fontId="16" fillId="2" borderId="61" xfId="0" applyNumberFormat="1" applyFont="1" applyFill="1" applyBorder="1" applyAlignment="1">
      <alignment vertical="center"/>
    </xf>
    <xf numFmtId="3" fontId="18" fillId="5" borderId="23" xfId="0" applyNumberFormat="1" applyFont="1" applyFill="1" applyBorder="1" applyAlignment="1"/>
    <xf numFmtId="3" fontId="17" fillId="3" borderId="23" xfId="0" applyNumberFormat="1" applyFont="1" applyFill="1" applyBorder="1" applyAlignment="1"/>
    <xf numFmtId="3" fontId="11" fillId="0" borderId="23" xfId="0" applyNumberFormat="1" applyFont="1" applyFill="1" applyBorder="1"/>
    <xf numFmtId="3" fontId="7" fillId="0" borderId="23" xfId="0" applyNumberFormat="1" applyFont="1" applyBorder="1"/>
    <xf numFmtId="3" fontId="10" fillId="0" borderId="23" xfId="0" applyNumberFormat="1" applyFont="1" applyBorder="1"/>
    <xf numFmtId="3" fontId="18" fillId="5" borderId="64" xfId="0" applyNumberFormat="1" applyFont="1" applyFill="1" applyBorder="1" applyAlignment="1"/>
    <xf numFmtId="3" fontId="16" fillId="2" borderId="73" xfId="0" applyNumberFormat="1" applyFont="1" applyFill="1" applyBorder="1" applyAlignment="1">
      <alignment vertical="center"/>
    </xf>
    <xf numFmtId="3" fontId="16" fillId="2" borderId="74" xfId="0" applyNumberFormat="1" applyFont="1" applyFill="1" applyBorder="1" applyAlignment="1">
      <alignment vertical="center"/>
    </xf>
    <xf numFmtId="3" fontId="18" fillId="5" borderId="13" xfId="0" applyNumberFormat="1" applyFont="1" applyFill="1" applyBorder="1" applyAlignment="1"/>
    <xf numFmtId="3" fontId="17" fillId="3" borderId="13" xfId="0" applyNumberFormat="1" applyFont="1" applyFill="1" applyBorder="1" applyAlignment="1"/>
    <xf numFmtId="3" fontId="11" fillId="0" borderId="13" xfId="0" applyNumberFormat="1" applyFont="1" applyFill="1" applyBorder="1"/>
    <xf numFmtId="3" fontId="7" fillId="0" borderId="13" xfId="0" applyNumberFormat="1" applyFont="1" applyBorder="1"/>
    <xf numFmtId="3" fontId="10" fillId="0" borderId="25" xfId="0" applyNumberFormat="1" applyFont="1" applyBorder="1"/>
    <xf numFmtId="3" fontId="10" fillId="0" borderId="15" xfId="0" applyNumberFormat="1" applyFont="1" applyBorder="1"/>
    <xf numFmtId="0" fontId="0" fillId="0" borderId="0" xfId="0" applyFill="1" applyBorder="1"/>
    <xf numFmtId="0" fontId="10" fillId="0" borderId="0" xfId="0" applyFont="1" applyFill="1" applyBorder="1"/>
    <xf numFmtId="0" fontId="0" fillId="0" borderId="0" xfId="0" applyFill="1" applyBorder="1" applyAlignment="1">
      <alignment vertical="center"/>
    </xf>
    <xf numFmtId="3" fontId="16" fillId="0" borderId="0" xfId="0" applyNumberFormat="1" applyFont="1" applyFill="1" applyBorder="1" applyAlignment="1">
      <alignment vertical="center"/>
    </xf>
    <xf numFmtId="3" fontId="18" fillId="0" borderId="0" xfId="0" applyNumberFormat="1" applyFont="1" applyFill="1" applyBorder="1" applyAlignment="1"/>
    <xf numFmtId="3" fontId="17" fillId="0" borderId="0" xfId="0" applyNumberFormat="1" applyFont="1" applyFill="1" applyBorder="1" applyAlignment="1"/>
    <xf numFmtId="3" fontId="11" fillId="0" borderId="0" xfId="0" applyNumberFormat="1" applyFont="1" applyFill="1" applyBorder="1"/>
    <xf numFmtId="3" fontId="7" fillId="0" borderId="0" xfId="0" applyNumberFormat="1" applyFont="1" applyFill="1" applyBorder="1"/>
    <xf numFmtId="3" fontId="10" fillId="0" borderId="0" xfId="0" applyNumberFormat="1" applyFont="1" applyFill="1" applyBorder="1"/>
    <xf numFmtId="3" fontId="16" fillId="2" borderId="21" xfId="0" applyNumberFormat="1" applyFont="1" applyFill="1" applyBorder="1" applyAlignment="1">
      <alignment vertical="center"/>
    </xf>
    <xf numFmtId="3" fontId="27" fillId="7" borderId="13" xfId="0" applyNumberFormat="1" applyFont="1" applyFill="1" applyBorder="1"/>
    <xf numFmtId="3" fontId="10" fillId="0" borderId="13" xfId="0" applyNumberFormat="1" applyFont="1" applyBorder="1"/>
    <xf numFmtId="3" fontId="10" fillId="0" borderId="13" xfId="0" applyNumberFormat="1" applyFont="1" applyBorder="1" applyAlignment="1">
      <alignment vertical="center"/>
    </xf>
    <xf numFmtId="3" fontId="7" fillId="0" borderId="13" xfId="0" applyNumberFormat="1" applyFont="1" applyFill="1" applyBorder="1"/>
    <xf numFmtId="3" fontId="7" fillId="0" borderId="15" xfId="0" applyNumberFormat="1" applyFont="1" applyBorder="1"/>
    <xf numFmtId="3" fontId="10" fillId="13" borderId="14" xfId="0" applyNumberFormat="1" applyFont="1" applyFill="1" applyBorder="1"/>
    <xf numFmtId="3" fontId="7" fillId="0" borderId="13" xfId="0" applyNumberFormat="1" applyFont="1" applyBorder="1" applyAlignment="1">
      <alignment vertical="center"/>
    </xf>
    <xf numFmtId="3" fontId="16" fillId="2" borderId="75" xfId="0" applyNumberFormat="1" applyFont="1" applyFill="1" applyBorder="1" applyAlignment="1">
      <alignment vertical="center"/>
    </xf>
    <xf numFmtId="3" fontId="27" fillId="7" borderId="71" xfId="0" applyNumberFormat="1" applyFont="1" applyFill="1" applyBorder="1"/>
    <xf numFmtId="3" fontId="29" fillId="0" borderId="71" xfId="0" applyNumberFormat="1" applyFont="1" applyFill="1" applyBorder="1"/>
    <xf numFmtId="3" fontId="10" fillId="0" borderId="71" xfId="0" applyNumberFormat="1" applyFont="1" applyFill="1" applyBorder="1"/>
    <xf numFmtId="3" fontId="11" fillId="6" borderId="71" xfId="0" applyNumberFormat="1" applyFont="1" applyFill="1" applyBorder="1"/>
    <xf numFmtId="3" fontId="11" fillId="0" borderId="71" xfId="0" applyNumberFormat="1" applyFont="1" applyBorder="1"/>
    <xf numFmtId="3" fontId="30" fillId="0" borderId="71" xfId="0" applyNumberFormat="1" applyFont="1" applyBorder="1"/>
    <xf numFmtId="3" fontId="11" fillId="0" borderId="72" xfId="0" applyNumberFormat="1" applyFont="1" applyFill="1" applyBorder="1"/>
    <xf numFmtId="3" fontId="10" fillId="0" borderId="13" xfId="0" applyNumberFormat="1" applyFont="1" applyFill="1" applyBorder="1"/>
    <xf numFmtId="3" fontId="13" fillId="0" borderId="14" xfId="0" applyNumberFormat="1" applyFont="1" applyBorder="1"/>
    <xf numFmtId="3" fontId="11" fillId="0" borderId="13" xfId="0" applyNumberFormat="1" applyFont="1" applyBorder="1"/>
    <xf numFmtId="3" fontId="33" fillId="16" borderId="32" xfId="0" applyNumberFormat="1" applyFont="1" applyFill="1" applyBorder="1" applyAlignment="1">
      <alignment horizontal="center" vertical="center" wrapText="1"/>
    </xf>
    <xf numFmtId="3" fontId="33" fillId="16" borderId="79" xfId="0" applyNumberFormat="1" applyFont="1" applyFill="1" applyBorder="1" applyAlignment="1">
      <alignment horizontal="center" vertical="center" wrapText="1"/>
    </xf>
    <xf numFmtId="3" fontId="33" fillId="16" borderId="70" xfId="0" applyNumberFormat="1" applyFont="1" applyFill="1" applyBorder="1" applyAlignment="1">
      <alignment horizontal="center" vertical="center" wrapText="1"/>
    </xf>
    <xf numFmtId="3" fontId="33" fillId="16" borderId="66" xfId="0" applyNumberFormat="1" applyFont="1" applyFill="1" applyBorder="1" applyAlignment="1">
      <alignment horizontal="center" vertical="center" wrapText="1"/>
    </xf>
    <xf numFmtId="3" fontId="33" fillId="16" borderId="47" xfId="0" applyNumberFormat="1" applyFont="1" applyFill="1" applyBorder="1" applyAlignment="1">
      <alignment horizontal="center" vertical="center" wrapText="1"/>
    </xf>
    <xf numFmtId="3" fontId="33" fillId="16" borderId="11" xfId="0" applyNumberFormat="1" applyFont="1" applyFill="1" applyBorder="1" applyAlignment="1">
      <alignment horizontal="center" vertical="center" wrapText="1"/>
    </xf>
    <xf numFmtId="0" fontId="45" fillId="0" borderId="45" xfId="0" applyFont="1" applyBorder="1" applyAlignment="1">
      <alignment horizontal="center" wrapText="1"/>
    </xf>
    <xf numFmtId="0" fontId="5" fillId="10" borderId="25" xfId="0" applyFont="1" applyFill="1" applyBorder="1" applyAlignment="1">
      <alignment horizontal="center"/>
    </xf>
    <xf numFmtId="0" fontId="5" fillId="10" borderId="37" xfId="0" applyFont="1" applyFill="1" applyBorder="1" applyAlignment="1">
      <alignment horizontal="center"/>
    </xf>
    <xf numFmtId="49" fontId="6" fillId="10" borderId="1" xfId="0" applyNumberFormat="1" applyFont="1" applyFill="1" applyBorder="1" applyAlignment="1">
      <alignment horizontal="center" vertical="center" wrapText="1"/>
    </xf>
    <xf numFmtId="49" fontId="6" fillId="10" borderId="36" xfId="0" applyNumberFormat="1" applyFont="1" applyFill="1" applyBorder="1" applyAlignment="1">
      <alignment horizontal="center" vertical="center" wrapText="1"/>
    </xf>
    <xf numFmtId="49" fontId="6" fillId="10" borderId="1" xfId="0" applyNumberFormat="1" applyFont="1" applyFill="1" applyBorder="1" applyAlignment="1">
      <alignment horizontal="center" vertical="center"/>
    </xf>
    <xf numFmtId="49" fontId="6" fillId="10" borderId="36" xfId="0" applyNumberFormat="1" applyFont="1" applyFill="1" applyBorder="1" applyAlignment="1">
      <alignment horizontal="center" vertical="center"/>
    </xf>
    <xf numFmtId="3" fontId="36" fillId="19" borderId="76" xfId="0" applyNumberFormat="1" applyFont="1" applyFill="1" applyBorder="1" applyAlignment="1">
      <alignment horizontal="center" vertical="center" wrapText="1"/>
    </xf>
    <xf numFmtId="3" fontId="36" fillId="19" borderId="77" xfId="0" applyNumberFormat="1" applyFont="1" applyFill="1" applyBorder="1" applyAlignment="1">
      <alignment horizontal="center" vertical="center" wrapText="1"/>
    </xf>
    <xf numFmtId="3" fontId="36" fillId="19" borderId="78" xfId="0" applyNumberFormat="1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/>
    </xf>
    <xf numFmtId="0" fontId="8" fillId="10" borderId="36" xfId="0" applyFont="1" applyFill="1" applyBorder="1" applyAlignment="1">
      <alignment horizontal="center" vertical="center"/>
    </xf>
    <xf numFmtId="49" fontId="4" fillId="10" borderId="41" xfId="0" applyNumberFormat="1" applyFont="1" applyFill="1" applyBorder="1" applyAlignment="1">
      <alignment horizontal="center" vertical="center"/>
    </xf>
    <xf numFmtId="49" fontId="4" fillId="10" borderId="42" xfId="0" applyNumberFormat="1" applyFont="1" applyFill="1" applyBorder="1" applyAlignment="1">
      <alignment horizontal="center" vertical="center"/>
    </xf>
    <xf numFmtId="49" fontId="4" fillId="10" borderId="43" xfId="0" applyNumberFormat="1" applyFont="1" applyFill="1" applyBorder="1" applyAlignment="1">
      <alignment horizontal="center" vertical="center"/>
    </xf>
    <xf numFmtId="49" fontId="4" fillId="10" borderId="44" xfId="0" applyNumberFormat="1" applyFont="1" applyFill="1" applyBorder="1" applyAlignment="1">
      <alignment horizontal="center" vertical="center"/>
    </xf>
    <xf numFmtId="49" fontId="4" fillId="10" borderId="9" xfId="0" applyNumberFormat="1" applyFont="1" applyFill="1" applyBorder="1" applyAlignment="1">
      <alignment horizontal="center" vertical="center"/>
    </xf>
    <xf numFmtId="49" fontId="4" fillId="10" borderId="30" xfId="0" applyNumberFormat="1" applyFont="1" applyFill="1" applyBorder="1" applyAlignment="1">
      <alignment horizontal="center" vertical="center"/>
    </xf>
    <xf numFmtId="3" fontId="36" fillId="19" borderId="38" xfId="0" applyNumberFormat="1" applyFont="1" applyFill="1" applyBorder="1" applyAlignment="1">
      <alignment horizontal="center" vertical="center" wrapText="1"/>
    </xf>
    <xf numFmtId="3" fontId="36" fillId="19" borderId="39" xfId="0" applyNumberFormat="1" applyFont="1" applyFill="1" applyBorder="1" applyAlignment="1">
      <alignment horizontal="center" vertical="center" wrapText="1"/>
    </xf>
    <xf numFmtId="3" fontId="36" fillId="19" borderId="4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/>
    <xf numFmtId="0" fontId="0" fillId="0" borderId="0" xfId="0" applyAlignment="1"/>
    <xf numFmtId="3" fontId="36" fillId="20" borderId="42" xfId="0" applyNumberFormat="1" applyFont="1" applyFill="1" applyBorder="1" applyAlignment="1">
      <alignment horizontal="center" vertical="center" wrapText="1"/>
    </xf>
    <xf numFmtId="3" fontId="36" fillId="20" borderId="0" xfId="0" applyNumberFormat="1" applyFont="1" applyFill="1" applyBorder="1" applyAlignment="1">
      <alignment horizontal="center" vertical="center" wrapText="1"/>
    </xf>
    <xf numFmtId="3" fontId="36" fillId="20" borderId="45" xfId="0" applyNumberFormat="1" applyFont="1" applyFill="1" applyBorder="1" applyAlignment="1">
      <alignment horizontal="center" vertical="center" wrapText="1"/>
    </xf>
    <xf numFmtId="0" fontId="14" fillId="11" borderId="31" xfId="0" applyFont="1" applyFill="1" applyBorder="1" applyAlignment="1">
      <alignment horizontal="center" vertical="center" textRotation="180" wrapText="1"/>
    </xf>
    <xf numFmtId="0" fontId="14" fillId="11" borderId="2" xfId="0" applyFont="1" applyFill="1" applyBorder="1" applyAlignment="1">
      <alignment horizontal="center" vertical="center" textRotation="180" wrapText="1"/>
    </xf>
    <xf numFmtId="0" fontId="14" fillId="11" borderId="6" xfId="0" applyFont="1" applyFill="1" applyBorder="1" applyAlignment="1">
      <alignment horizontal="center" vertical="center" textRotation="180" wrapText="1"/>
    </xf>
    <xf numFmtId="0" fontId="18" fillId="5" borderId="5" xfId="0" applyFont="1" applyFill="1" applyBorder="1" applyAlignment="1"/>
    <xf numFmtId="0" fontId="0" fillId="0" borderId="7" xfId="0" applyBorder="1" applyAlignment="1"/>
    <xf numFmtId="0" fontId="0" fillId="0" borderId="3" xfId="0" applyBorder="1" applyAlignment="1"/>
    <xf numFmtId="3" fontId="36" fillId="20" borderId="70" xfId="0" applyNumberFormat="1" applyFont="1" applyFill="1" applyBorder="1" applyAlignment="1">
      <alignment horizontal="center" vertical="center" wrapText="1"/>
    </xf>
    <xf numFmtId="0" fontId="18" fillId="5" borderId="2" xfId="0" applyFont="1" applyFill="1" applyBorder="1" applyAlignment="1"/>
    <xf numFmtId="0" fontId="0" fillId="0" borderId="2" xfId="0" applyBorder="1" applyAlignment="1"/>
    <xf numFmtId="0" fontId="28" fillId="11" borderId="53" xfId="0" applyFont="1" applyFill="1" applyBorder="1" applyAlignment="1">
      <alignment horizontal="center" vertical="center"/>
    </xf>
    <xf numFmtId="0" fontId="28" fillId="11" borderId="46" xfId="0" applyFont="1" applyFill="1" applyBorder="1" applyAlignment="1">
      <alignment horizontal="center" vertical="center"/>
    </xf>
    <xf numFmtId="0" fontId="17" fillId="3" borderId="5" xfId="0" applyFont="1" applyFill="1" applyBorder="1" applyAlignment="1"/>
    <xf numFmtId="0" fontId="42" fillId="2" borderId="0" xfId="0" applyFont="1" applyFill="1" applyBorder="1" applyAlignment="1">
      <alignment vertical="center"/>
    </xf>
    <xf numFmtId="0" fontId="43" fillId="0" borderId="0" xfId="0" applyFont="1" applyBorder="1" applyAlignment="1">
      <alignment vertical="center"/>
    </xf>
    <xf numFmtId="0" fontId="14" fillId="11" borderId="31" xfId="0" applyFont="1" applyFill="1" applyBorder="1" applyAlignment="1">
      <alignment horizontal="center" vertical="center" wrapText="1"/>
    </xf>
    <xf numFmtId="0" fontId="14" fillId="11" borderId="2" xfId="0" applyFont="1" applyFill="1" applyBorder="1" applyAlignment="1">
      <alignment horizontal="center" vertical="center" wrapText="1"/>
    </xf>
    <xf numFmtId="0" fontId="14" fillId="11" borderId="6" xfId="0" applyFont="1" applyFill="1" applyBorder="1" applyAlignment="1">
      <alignment horizontal="center" vertical="center" wrapText="1"/>
    </xf>
    <xf numFmtId="0" fontId="14" fillId="11" borderId="51" xfId="0" applyFont="1" applyFill="1" applyBorder="1" applyAlignment="1">
      <alignment horizontal="center" vertical="center"/>
    </xf>
    <xf numFmtId="0" fontId="14" fillId="11" borderId="32" xfId="0" applyFont="1" applyFill="1" applyBorder="1" applyAlignment="1">
      <alignment horizontal="center" vertical="center"/>
    </xf>
    <xf numFmtId="3" fontId="36" fillId="20" borderId="79" xfId="0" applyNumberFormat="1" applyFont="1" applyFill="1" applyBorder="1" applyAlignment="1">
      <alignment horizontal="center" vertical="center" wrapText="1"/>
    </xf>
    <xf numFmtId="3" fontId="36" fillId="20" borderId="32" xfId="0" applyNumberFormat="1" applyFont="1" applyFill="1" applyBorder="1" applyAlignment="1">
      <alignment horizontal="center" vertical="center" wrapText="1"/>
    </xf>
    <xf numFmtId="49" fontId="12" fillId="12" borderId="10" xfId="0" applyNumberFormat="1" applyFont="1" applyFill="1" applyBorder="1" applyAlignment="1">
      <alignment horizontal="center" vertical="center"/>
    </xf>
    <xf numFmtId="49" fontId="12" fillId="12" borderId="47" xfId="0" applyNumberFormat="1" applyFont="1" applyFill="1" applyBorder="1" applyAlignment="1">
      <alignment horizontal="center" vertical="center"/>
    </xf>
    <xf numFmtId="49" fontId="12" fillId="12" borderId="11" xfId="0" applyNumberFormat="1" applyFont="1" applyFill="1" applyBorder="1" applyAlignment="1">
      <alignment horizontal="center" vertical="center"/>
    </xf>
    <xf numFmtId="0" fontId="18" fillId="5" borderId="24" xfId="0" applyFont="1" applyFill="1" applyBorder="1" applyAlignment="1"/>
    <xf numFmtId="0" fontId="0" fillId="0" borderId="48" xfId="0" applyBorder="1" applyAlignment="1"/>
    <xf numFmtId="0" fontId="0" fillId="0" borderId="17" xfId="0" applyBorder="1" applyAlignment="1"/>
    <xf numFmtId="0" fontId="17" fillId="3" borderId="2" xfId="0" applyFont="1" applyFill="1" applyBorder="1" applyAlignment="1"/>
    <xf numFmtId="0" fontId="16" fillId="2" borderId="54" xfId="0" applyFont="1" applyFill="1" applyBorder="1" applyAlignment="1">
      <alignment vertical="center"/>
    </xf>
    <xf numFmtId="0" fontId="16" fillId="2" borderId="55" xfId="0" applyFont="1" applyFill="1" applyBorder="1" applyAlignment="1">
      <alignment vertical="center"/>
    </xf>
    <xf numFmtId="0" fontId="16" fillId="2" borderId="56" xfId="0" applyFont="1" applyFill="1" applyBorder="1" applyAlignment="1">
      <alignment vertical="center"/>
    </xf>
    <xf numFmtId="0" fontId="18" fillId="5" borderId="7" xfId="0" applyFont="1" applyFill="1" applyBorder="1" applyAlignment="1"/>
    <xf numFmtId="0" fontId="18" fillId="5" borderId="3" xfId="0" applyFont="1" applyFill="1" applyBorder="1" applyAlignment="1"/>
    <xf numFmtId="0" fontId="0" fillId="0" borderId="55" xfId="0" applyBorder="1" applyAlignment="1">
      <alignment vertical="center"/>
    </xf>
    <xf numFmtId="0" fontId="0" fillId="0" borderId="56" xfId="0" applyBorder="1" applyAlignment="1">
      <alignment vertical="center"/>
    </xf>
    <xf numFmtId="3" fontId="36" fillId="20" borderId="49" xfId="0" applyNumberFormat="1" applyFont="1" applyFill="1" applyBorder="1" applyAlignment="1">
      <alignment horizontal="center" vertical="center" wrapText="1"/>
    </xf>
    <xf numFmtId="3" fontId="36" fillId="20" borderId="50" xfId="0" applyNumberFormat="1" applyFont="1" applyFill="1" applyBorder="1" applyAlignment="1">
      <alignment horizontal="center" vertical="center" wrapText="1"/>
    </xf>
    <xf numFmtId="3" fontId="36" fillId="20" borderId="51" xfId="0" applyNumberFormat="1" applyFont="1" applyFill="1" applyBorder="1" applyAlignment="1">
      <alignment horizontal="center" vertical="center" wrapText="1"/>
    </xf>
    <xf numFmtId="3" fontId="36" fillId="20" borderId="80" xfId="0" applyNumberFormat="1" applyFont="1" applyFill="1" applyBorder="1" applyAlignment="1">
      <alignment horizontal="center" vertical="center" wrapText="1"/>
    </xf>
    <xf numFmtId="3" fontId="36" fillId="20" borderId="33" xfId="0" applyNumberFormat="1" applyFont="1" applyFill="1" applyBorder="1" applyAlignment="1">
      <alignment horizontal="center" vertical="center" wrapText="1"/>
    </xf>
    <xf numFmtId="3" fontId="36" fillId="20" borderId="81" xfId="0" applyNumberFormat="1" applyFont="1" applyFill="1" applyBorder="1" applyAlignment="1">
      <alignment horizontal="center" vertical="center" wrapText="1"/>
    </xf>
    <xf numFmtId="0" fontId="0" fillId="17" borderId="46" xfId="0" applyFill="1" applyBorder="1" applyAlignment="1">
      <alignment horizontal="center"/>
    </xf>
    <xf numFmtId="0" fontId="0" fillId="17" borderId="66" xfId="0" applyFill="1" applyBorder="1" applyAlignment="1">
      <alignment horizontal="center"/>
    </xf>
    <xf numFmtId="0" fontId="25" fillId="8" borderId="5" xfId="0" applyFont="1" applyFill="1" applyBorder="1" applyAlignment="1"/>
    <xf numFmtId="0" fontId="16" fillId="9" borderId="5" xfId="0" applyFont="1" applyFill="1" applyBorder="1" applyAlignment="1"/>
    <xf numFmtId="0" fontId="24" fillId="6" borderId="10" xfId="0" applyFont="1" applyFill="1" applyBorder="1" applyAlignment="1">
      <alignment horizontal="center"/>
    </xf>
    <xf numFmtId="0" fontId="24" fillId="6" borderId="47" xfId="0" applyFont="1" applyFill="1" applyBorder="1" applyAlignment="1">
      <alignment horizontal="center"/>
    </xf>
    <xf numFmtId="0" fontId="16" fillId="9" borderId="8" xfId="0" applyFont="1" applyFill="1" applyBorder="1" applyAlignment="1"/>
    <xf numFmtId="0" fontId="0" fillId="0" borderId="9" xfId="0" applyBorder="1" applyAlignment="1"/>
    <xf numFmtId="0" fontId="44" fillId="13" borderId="0" xfId="0" applyFont="1" applyFill="1" applyBorder="1" applyAlignment="1">
      <alignment horizontal="center" vertical="center" wrapText="1"/>
    </xf>
    <xf numFmtId="0" fontId="48" fillId="13" borderId="0" xfId="0" applyFont="1" applyFill="1" applyBorder="1" applyAlignment="1">
      <alignment horizontal="center" vertical="center" wrapText="1"/>
    </xf>
    <xf numFmtId="3" fontId="26" fillId="2" borderId="57" xfId="0" applyNumberFormat="1" applyFont="1" applyFill="1" applyBorder="1" applyAlignment="1"/>
    <xf numFmtId="0" fontId="0" fillId="0" borderId="58" xfId="0" applyBorder="1" applyAlignment="1"/>
  </cellXfs>
  <cellStyles count="14">
    <cellStyle name="Excel Built-in Normal" xfId="1"/>
    <cellStyle name="Normálne" xfId="0" builtinId="0"/>
    <cellStyle name="Normálne 10" xfId="2"/>
    <cellStyle name="Normálne 11" xfId="3"/>
    <cellStyle name="normálne 2" xfId="4"/>
    <cellStyle name="normálne 2 2" xfId="5"/>
    <cellStyle name="normálne 2 3" xfId="6"/>
    <cellStyle name="Normálne 3" xfId="7"/>
    <cellStyle name="Normálne 4" xfId="8"/>
    <cellStyle name="Normálne 5" xfId="9"/>
    <cellStyle name="Normálne 6" xfId="10"/>
    <cellStyle name="Normálne 7" xfId="11"/>
    <cellStyle name="Normálne 8" xfId="12"/>
    <cellStyle name="Normálne 9" xfId="13"/>
  </cellStyles>
  <dxfs count="0"/>
  <tableStyles count="0" defaultTableStyle="TableStyleMedium2" defaultPivotStyle="PivotStyleLight16"/>
  <colors>
    <mruColors>
      <color rgb="FF1F4E78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I429"/>
  <sheetViews>
    <sheetView tabSelected="1" zoomScaleNormal="100" workbookViewId="0"/>
  </sheetViews>
  <sheetFormatPr defaultRowHeight="12.75" x14ac:dyDescent="0.2"/>
  <cols>
    <col min="1" max="1" width="7.28515625" customWidth="1"/>
    <col min="2" max="2" width="3.42578125" style="15" customWidth="1"/>
    <col min="3" max="3" width="4.85546875" customWidth="1"/>
    <col min="4" max="4" width="4.140625" customWidth="1"/>
    <col min="5" max="5" width="6.140625" customWidth="1"/>
    <col min="6" max="6" width="50.5703125" customWidth="1"/>
    <col min="7" max="7" width="13.28515625" style="16" customWidth="1"/>
    <col min="8" max="8" width="11.5703125" customWidth="1"/>
    <col min="9" max="9" width="13.85546875" customWidth="1"/>
  </cols>
  <sheetData>
    <row r="1" spans="2:9" ht="51" customHeight="1" thickBot="1" x14ac:dyDescent="0.35">
      <c r="B1" s="331" t="s">
        <v>583</v>
      </c>
      <c r="C1" s="331"/>
      <c r="D1" s="331"/>
      <c r="E1" s="331"/>
      <c r="F1" s="331"/>
      <c r="G1" s="331"/>
      <c r="H1" s="331"/>
      <c r="I1" s="331"/>
    </row>
    <row r="2" spans="2:9" ht="12.75" customHeight="1" x14ac:dyDescent="0.2">
      <c r="B2" s="343"/>
      <c r="C2" s="344"/>
      <c r="D2" s="344"/>
      <c r="E2" s="344"/>
      <c r="F2" s="345"/>
      <c r="G2" s="338" t="s">
        <v>571</v>
      </c>
      <c r="H2" s="349" t="s">
        <v>565</v>
      </c>
      <c r="I2" s="349" t="s">
        <v>569</v>
      </c>
    </row>
    <row r="3" spans="2:9" x14ac:dyDescent="0.2">
      <c r="B3" s="346"/>
      <c r="C3" s="347"/>
      <c r="D3" s="347"/>
      <c r="E3" s="347"/>
      <c r="F3" s="348"/>
      <c r="G3" s="339"/>
      <c r="H3" s="350"/>
      <c r="I3" s="350"/>
    </row>
    <row r="4" spans="2:9" x14ac:dyDescent="0.2">
      <c r="B4" s="332" t="s">
        <v>120</v>
      </c>
      <c r="C4" s="334" t="s">
        <v>121</v>
      </c>
      <c r="D4" s="336" t="s">
        <v>122</v>
      </c>
      <c r="E4" s="336" t="s">
        <v>124</v>
      </c>
      <c r="F4" s="341" t="s">
        <v>123</v>
      </c>
      <c r="G4" s="339"/>
      <c r="H4" s="350"/>
      <c r="I4" s="350"/>
    </row>
    <row r="5" spans="2:9" ht="7.5" customHeight="1" thickBot="1" x14ac:dyDescent="0.25">
      <c r="B5" s="333"/>
      <c r="C5" s="335"/>
      <c r="D5" s="337"/>
      <c r="E5" s="337"/>
      <c r="F5" s="342"/>
      <c r="G5" s="340"/>
      <c r="H5" s="351"/>
      <c r="I5" s="351"/>
    </row>
    <row r="6" spans="2:9" ht="17.25" thickTop="1" thickBot="1" x14ac:dyDescent="0.3">
      <c r="B6" s="120">
        <v>1</v>
      </c>
      <c r="C6" s="65">
        <v>100</v>
      </c>
      <c r="D6" s="65"/>
      <c r="E6" s="65"/>
      <c r="F6" s="8" t="s">
        <v>271</v>
      </c>
      <c r="G6" s="121">
        <f>G7</f>
        <v>28576671</v>
      </c>
      <c r="H6" s="121">
        <f t="shared" ref="H6" si="0">H7</f>
        <v>0</v>
      </c>
      <c r="I6" s="121">
        <f>G6+H6</f>
        <v>28576671</v>
      </c>
    </row>
    <row r="7" spans="2:9" ht="18" customHeight="1" thickBot="1" x14ac:dyDescent="0.3">
      <c r="B7" s="120">
        <f>B6+1</f>
        <v>2</v>
      </c>
      <c r="C7" s="66"/>
      <c r="D7" s="66"/>
      <c r="E7" s="66"/>
      <c r="F7" s="9" t="s">
        <v>43</v>
      </c>
      <c r="G7" s="17">
        <f>G16+G11+G8</f>
        <v>28576671</v>
      </c>
      <c r="H7" s="17">
        <f t="shared" ref="H7" si="1">H16+H11+H8</f>
        <v>0</v>
      </c>
      <c r="I7" s="17">
        <f t="shared" ref="I7:I70" si="2">G7+H7</f>
        <v>28576671</v>
      </c>
    </row>
    <row r="8" spans="2:9" x14ac:dyDescent="0.2">
      <c r="B8" s="120">
        <f>B7+1</f>
        <v>3</v>
      </c>
      <c r="C8" s="67">
        <v>110</v>
      </c>
      <c r="D8" s="67"/>
      <c r="E8" s="67"/>
      <c r="F8" s="5" t="s">
        <v>272</v>
      </c>
      <c r="G8" s="122">
        <f>G9</f>
        <v>20437671</v>
      </c>
      <c r="H8" s="122">
        <f t="shared" ref="H8:H9" si="3">H9</f>
        <v>0</v>
      </c>
      <c r="I8" s="122">
        <f t="shared" si="2"/>
        <v>20437671</v>
      </c>
    </row>
    <row r="9" spans="2:9" ht="14.25" customHeight="1" x14ac:dyDescent="0.2">
      <c r="B9" s="120">
        <f t="shared" ref="B9:B66" si="4">B8+1</f>
        <v>4</v>
      </c>
      <c r="C9" s="68"/>
      <c r="D9" s="68">
        <v>111</v>
      </c>
      <c r="E9" s="68"/>
      <c r="F9" s="2" t="s">
        <v>273</v>
      </c>
      <c r="G9" s="115">
        <f>G10</f>
        <v>20437671</v>
      </c>
      <c r="H9" s="115">
        <f t="shared" si="3"/>
        <v>0</v>
      </c>
      <c r="I9" s="115">
        <f t="shared" si="2"/>
        <v>20437671</v>
      </c>
    </row>
    <row r="10" spans="2:9" x14ac:dyDescent="0.2">
      <c r="B10" s="120">
        <f t="shared" si="4"/>
        <v>5</v>
      </c>
      <c r="C10" s="69"/>
      <c r="D10" s="69"/>
      <c r="E10" s="69">
        <v>111003</v>
      </c>
      <c r="F10" s="3" t="s">
        <v>270</v>
      </c>
      <c r="G10" s="181">
        <f>19600000+175010+37840+624821</f>
        <v>20437671</v>
      </c>
      <c r="H10" s="181"/>
      <c r="I10" s="181">
        <f t="shared" si="2"/>
        <v>20437671</v>
      </c>
    </row>
    <row r="11" spans="2:9" x14ac:dyDescent="0.2">
      <c r="B11" s="120">
        <f t="shared" si="4"/>
        <v>6</v>
      </c>
      <c r="C11" s="67">
        <v>120</v>
      </c>
      <c r="D11" s="67"/>
      <c r="E11" s="67"/>
      <c r="F11" s="5" t="s">
        <v>275</v>
      </c>
      <c r="G11" s="122">
        <f>G12</f>
        <v>5590000</v>
      </c>
      <c r="H11" s="122">
        <f t="shared" ref="H11" si="5">H12</f>
        <v>0</v>
      </c>
      <c r="I11" s="122">
        <f t="shared" si="2"/>
        <v>5590000</v>
      </c>
    </row>
    <row r="12" spans="2:9" x14ac:dyDescent="0.2">
      <c r="B12" s="120">
        <f t="shared" si="4"/>
        <v>7</v>
      </c>
      <c r="C12" s="68"/>
      <c r="D12" s="68">
        <v>121</v>
      </c>
      <c r="E12" s="68"/>
      <c r="F12" s="2" t="s">
        <v>276</v>
      </c>
      <c r="G12" s="115">
        <f>G15+G14+G13</f>
        <v>5590000</v>
      </c>
      <c r="H12" s="115">
        <f t="shared" ref="H12" si="6">H15+H14+H13</f>
        <v>0</v>
      </c>
      <c r="I12" s="115">
        <f t="shared" si="2"/>
        <v>5590000</v>
      </c>
    </row>
    <row r="13" spans="2:9" x14ac:dyDescent="0.2">
      <c r="B13" s="120">
        <f t="shared" si="4"/>
        <v>8</v>
      </c>
      <c r="C13" s="69"/>
      <c r="D13" s="69"/>
      <c r="E13" s="69">
        <v>121001</v>
      </c>
      <c r="F13" s="3" t="s">
        <v>274</v>
      </c>
      <c r="G13" s="87">
        <v>575000</v>
      </c>
      <c r="H13" s="87"/>
      <c r="I13" s="87">
        <f t="shared" si="2"/>
        <v>575000</v>
      </c>
    </row>
    <row r="14" spans="2:9" x14ac:dyDescent="0.2">
      <c r="B14" s="120">
        <f t="shared" si="4"/>
        <v>9</v>
      </c>
      <c r="C14" s="69"/>
      <c r="D14" s="69"/>
      <c r="E14" s="69">
        <v>121002</v>
      </c>
      <c r="F14" s="3" t="s">
        <v>277</v>
      </c>
      <c r="G14" s="87">
        <v>4625000</v>
      </c>
      <c r="H14" s="87"/>
      <c r="I14" s="87">
        <f t="shared" si="2"/>
        <v>4625000</v>
      </c>
    </row>
    <row r="15" spans="2:9" x14ac:dyDescent="0.2">
      <c r="B15" s="120">
        <f t="shared" si="4"/>
        <v>10</v>
      </c>
      <c r="C15" s="69"/>
      <c r="D15" s="69"/>
      <c r="E15" s="69">
        <v>121003</v>
      </c>
      <c r="F15" s="3" t="s">
        <v>278</v>
      </c>
      <c r="G15" s="87">
        <v>390000</v>
      </c>
      <c r="H15" s="87"/>
      <c r="I15" s="87">
        <f t="shared" si="2"/>
        <v>390000</v>
      </c>
    </row>
    <row r="16" spans="2:9" x14ac:dyDescent="0.2">
      <c r="B16" s="120">
        <f t="shared" si="4"/>
        <v>11</v>
      </c>
      <c r="C16" s="67">
        <v>130</v>
      </c>
      <c r="D16" s="67"/>
      <c r="E16" s="67"/>
      <c r="F16" s="5" t="s">
        <v>280</v>
      </c>
      <c r="G16" s="122">
        <f>G17</f>
        <v>2549000</v>
      </c>
      <c r="H16" s="122">
        <f t="shared" ref="H16" si="7">H17</f>
        <v>0</v>
      </c>
      <c r="I16" s="122">
        <f t="shared" si="2"/>
        <v>2549000</v>
      </c>
    </row>
    <row r="17" spans="2:9" x14ac:dyDescent="0.2">
      <c r="B17" s="120">
        <f t="shared" si="4"/>
        <v>12</v>
      </c>
      <c r="C17" s="68"/>
      <c r="D17" s="68">
        <v>133</v>
      </c>
      <c r="E17" s="68"/>
      <c r="F17" s="2" t="s">
        <v>281</v>
      </c>
      <c r="G17" s="115">
        <f>G21+G20+G19+G18</f>
        <v>2549000</v>
      </c>
      <c r="H17" s="115">
        <f t="shared" ref="H17" si="8">H21+H20+H19+H18</f>
        <v>0</v>
      </c>
      <c r="I17" s="115">
        <f t="shared" si="2"/>
        <v>2549000</v>
      </c>
    </row>
    <row r="18" spans="2:9" x14ac:dyDescent="0.2">
      <c r="B18" s="120">
        <f t="shared" si="4"/>
        <v>13</v>
      </c>
      <c r="C18" s="69"/>
      <c r="D18" s="69"/>
      <c r="E18" s="69">
        <v>133001</v>
      </c>
      <c r="F18" s="3" t="s">
        <v>279</v>
      </c>
      <c r="G18" s="87">
        <v>53000</v>
      </c>
      <c r="H18" s="87"/>
      <c r="I18" s="87">
        <f t="shared" si="2"/>
        <v>53000</v>
      </c>
    </row>
    <row r="19" spans="2:9" x14ac:dyDescent="0.2">
      <c r="B19" s="120">
        <f t="shared" si="4"/>
        <v>14</v>
      </c>
      <c r="C19" s="69"/>
      <c r="D19" s="69"/>
      <c r="E19" s="69">
        <v>133006</v>
      </c>
      <c r="F19" s="3" t="s">
        <v>282</v>
      </c>
      <c r="G19" s="87">
        <v>86000</v>
      </c>
      <c r="H19" s="87"/>
      <c r="I19" s="87">
        <f t="shared" si="2"/>
        <v>86000</v>
      </c>
    </row>
    <row r="20" spans="2:9" x14ac:dyDescent="0.2">
      <c r="B20" s="120">
        <f t="shared" si="4"/>
        <v>15</v>
      </c>
      <c r="C20" s="69"/>
      <c r="D20" s="69"/>
      <c r="E20" s="69">
        <v>133012</v>
      </c>
      <c r="F20" s="3" t="s">
        <v>283</v>
      </c>
      <c r="G20" s="87">
        <v>60000</v>
      </c>
      <c r="H20" s="87"/>
      <c r="I20" s="87">
        <f t="shared" si="2"/>
        <v>60000</v>
      </c>
    </row>
    <row r="21" spans="2:9" x14ac:dyDescent="0.2">
      <c r="B21" s="120">
        <f t="shared" si="4"/>
        <v>16</v>
      </c>
      <c r="C21" s="69"/>
      <c r="D21" s="69"/>
      <c r="E21" s="69">
        <v>133013</v>
      </c>
      <c r="F21" s="3" t="s">
        <v>284</v>
      </c>
      <c r="G21" s="87">
        <v>2350000</v>
      </c>
      <c r="H21" s="87"/>
      <c r="I21" s="87">
        <f t="shared" si="2"/>
        <v>2350000</v>
      </c>
    </row>
    <row r="22" spans="2:9" ht="16.5" thickBot="1" x14ac:dyDescent="0.3">
      <c r="B22" s="120">
        <f t="shared" si="4"/>
        <v>17</v>
      </c>
      <c r="C22" s="65">
        <v>200</v>
      </c>
      <c r="D22" s="65"/>
      <c r="E22" s="65"/>
      <c r="F22" s="8" t="s">
        <v>174</v>
      </c>
      <c r="G22" s="121">
        <f>G366+G354+G343+G331+G319+G307+G297+G289+G274+G210+G120+G116+G50+G49+G23</f>
        <v>5419620</v>
      </c>
      <c r="H22" s="121">
        <f t="shared" ref="H22" si="9">H366+H354+H343+H331+H319+H307+H297+H289+H274+H210+H120+H116+H50+H49+H23</f>
        <v>-406451</v>
      </c>
      <c r="I22" s="121">
        <f t="shared" si="2"/>
        <v>5013169</v>
      </c>
    </row>
    <row r="23" spans="2:9" ht="15.75" thickBot="1" x14ac:dyDescent="0.3">
      <c r="B23" s="120">
        <f t="shared" si="4"/>
        <v>18</v>
      </c>
      <c r="C23" s="66"/>
      <c r="D23" s="66"/>
      <c r="E23" s="66"/>
      <c r="F23" s="9" t="s">
        <v>43</v>
      </c>
      <c r="G23" s="17">
        <f>G43+G40+G28+G24</f>
        <v>2312900</v>
      </c>
      <c r="H23" s="17">
        <f t="shared" ref="H23" si="10">H43+H40+H28+H24</f>
        <v>0</v>
      </c>
      <c r="I23" s="17">
        <f t="shared" si="2"/>
        <v>2312900</v>
      </c>
    </row>
    <row r="24" spans="2:9" x14ac:dyDescent="0.2">
      <c r="B24" s="120">
        <f t="shared" si="4"/>
        <v>19</v>
      </c>
      <c r="C24" s="67">
        <v>210</v>
      </c>
      <c r="D24" s="67"/>
      <c r="E24" s="67"/>
      <c r="F24" s="5" t="s">
        <v>251</v>
      </c>
      <c r="G24" s="122">
        <f>G25</f>
        <v>489950</v>
      </c>
      <c r="H24" s="122">
        <f t="shared" ref="H24" si="11">H25</f>
        <v>0</v>
      </c>
      <c r="I24" s="122">
        <f t="shared" si="2"/>
        <v>489950</v>
      </c>
    </row>
    <row r="25" spans="2:9" x14ac:dyDescent="0.2">
      <c r="B25" s="120">
        <f t="shared" si="4"/>
        <v>20</v>
      </c>
      <c r="C25" s="68"/>
      <c r="D25" s="68">
        <v>212</v>
      </c>
      <c r="E25" s="68"/>
      <c r="F25" s="2" t="s">
        <v>252</v>
      </c>
      <c r="G25" s="115">
        <f>G26+G27</f>
        <v>489950</v>
      </c>
      <c r="H25" s="115">
        <f t="shared" ref="H25" si="12">H26+H27</f>
        <v>0</v>
      </c>
      <c r="I25" s="115">
        <f t="shared" si="2"/>
        <v>489950</v>
      </c>
    </row>
    <row r="26" spans="2:9" x14ac:dyDescent="0.2">
      <c r="B26" s="120">
        <f t="shared" si="4"/>
        <v>21</v>
      </c>
      <c r="C26" s="69"/>
      <c r="D26" s="69"/>
      <c r="E26" s="69">
        <v>212002</v>
      </c>
      <c r="F26" s="3" t="s">
        <v>285</v>
      </c>
      <c r="G26" s="87">
        <v>65000</v>
      </c>
      <c r="H26" s="87"/>
      <c r="I26" s="87">
        <f t="shared" si="2"/>
        <v>65000</v>
      </c>
    </row>
    <row r="27" spans="2:9" x14ac:dyDescent="0.2">
      <c r="B27" s="120">
        <f t="shared" si="4"/>
        <v>22</v>
      </c>
      <c r="C27" s="69"/>
      <c r="D27" s="69"/>
      <c r="E27" s="69">
        <v>212003</v>
      </c>
      <c r="F27" s="3" t="s">
        <v>253</v>
      </c>
      <c r="G27" s="87">
        <f>390000+14800+20000+150</f>
        <v>424950</v>
      </c>
      <c r="H27" s="87"/>
      <c r="I27" s="87">
        <f t="shared" si="2"/>
        <v>424950</v>
      </c>
    </row>
    <row r="28" spans="2:9" x14ac:dyDescent="0.2">
      <c r="B28" s="120">
        <f t="shared" si="4"/>
        <v>23</v>
      </c>
      <c r="C28" s="67">
        <v>220</v>
      </c>
      <c r="D28" s="67"/>
      <c r="E28" s="67"/>
      <c r="F28" s="5" t="s">
        <v>226</v>
      </c>
      <c r="G28" s="122">
        <f>G38+G34+G32+G29</f>
        <v>1357750</v>
      </c>
      <c r="H28" s="122">
        <f t="shared" ref="H28" si="13">H38+H34+H32+H29</f>
        <v>0</v>
      </c>
      <c r="I28" s="122">
        <f t="shared" si="2"/>
        <v>1357750</v>
      </c>
    </row>
    <row r="29" spans="2:9" x14ac:dyDescent="0.2">
      <c r="B29" s="120">
        <f t="shared" si="4"/>
        <v>24</v>
      </c>
      <c r="C29" s="68"/>
      <c r="D29" s="68">
        <v>221</v>
      </c>
      <c r="E29" s="68"/>
      <c r="F29" s="2" t="s">
        <v>227</v>
      </c>
      <c r="G29" s="115">
        <f>G31+G30</f>
        <v>265000</v>
      </c>
      <c r="H29" s="115">
        <f t="shared" ref="H29" si="14">H31+H30</f>
        <v>0</v>
      </c>
      <c r="I29" s="115">
        <f t="shared" si="2"/>
        <v>265000</v>
      </c>
    </row>
    <row r="30" spans="2:9" x14ac:dyDescent="0.2">
      <c r="B30" s="120">
        <f t="shared" si="4"/>
        <v>25</v>
      </c>
      <c r="C30" s="69"/>
      <c r="D30" s="69"/>
      <c r="E30" s="69">
        <v>221004</v>
      </c>
      <c r="F30" s="3" t="s">
        <v>228</v>
      </c>
      <c r="G30" s="87">
        <v>150000</v>
      </c>
      <c r="H30" s="87"/>
      <c r="I30" s="87">
        <f t="shared" si="2"/>
        <v>150000</v>
      </c>
    </row>
    <row r="31" spans="2:9" x14ac:dyDescent="0.2">
      <c r="B31" s="120">
        <f t="shared" si="4"/>
        <v>26</v>
      </c>
      <c r="C31" s="69"/>
      <c r="D31" s="69"/>
      <c r="E31" s="69">
        <v>221005</v>
      </c>
      <c r="F31" s="3" t="s">
        <v>62</v>
      </c>
      <c r="G31" s="87">
        <v>115000</v>
      </c>
      <c r="H31" s="87"/>
      <c r="I31" s="87">
        <f t="shared" si="2"/>
        <v>115000</v>
      </c>
    </row>
    <row r="32" spans="2:9" x14ac:dyDescent="0.2">
      <c r="B32" s="120">
        <f t="shared" si="4"/>
        <v>27</v>
      </c>
      <c r="C32" s="68"/>
      <c r="D32" s="68">
        <v>222</v>
      </c>
      <c r="E32" s="68"/>
      <c r="F32" s="2" t="s">
        <v>61</v>
      </c>
      <c r="G32" s="115">
        <f>G33</f>
        <v>100000</v>
      </c>
      <c r="H32" s="115">
        <f t="shared" ref="H32" si="15">H33</f>
        <v>0</v>
      </c>
      <c r="I32" s="115">
        <f t="shared" si="2"/>
        <v>100000</v>
      </c>
    </row>
    <row r="33" spans="2:9" x14ac:dyDescent="0.2">
      <c r="B33" s="120">
        <f t="shared" si="4"/>
        <v>28</v>
      </c>
      <c r="C33" s="69"/>
      <c r="D33" s="69"/>
      <c r="E33" s="69">
        <v>222003</v>
      </c>
      <c r="F33" s="3" t="s">
        <v>60</v>
      </c>
      <c r="G33" s="87">
        <v>100000</v>
      </c>
      <c r="H33" s="87"/>
      <c r="I33" s="87">
        <f t="shared" si="2"/>
        <v>100000</v>
      </c>
    </row>
    <row r="34" spans="2:9" x14ac:dyDescent="0.2">
      <c r="B34" s="120">
        <f t="shared" si="4"/>
        <v>29</v>
      </c>
      <c r="C34" s="68"/>
      <c r="D34" s="68">
        <v>223</v>
      </c>
      <c r="E34" s="68"/>
      <c r="F34" s="2" t="s">
        <v>255</v>
      </c>
      <c r="G34" s="115">
        <f>G35+G36+G37</f>
        <v>992300</v>
      </c>
      <c r="H34" s="115">
        <f t="shared" ref="H34" si="16">H35+H36+H37</f>
        <v>0</v>
      </c>
      <c r="I34" s="115">
        <f t="shared" si="2"/>
        <v>992300</v>
      </c>
    </row>
    <row r="35" spans="2:9" x14ac:dyDescent="0.2">
      <c r="B35" s="120">
        <f t="shared" si="4"/>
        <v>30</v>
      </c>
      <c r="C35" s="69"/>
      <c r="D35" s="69"/>
      <c r="E35" s="69">
        <v>223001</v>
      </c>
      <c r="F35" s="3" t="s">
        <v>256</v>
      </c>
      <c r="G35" s="87">
        <f>100000+2000+1000+8500+1500+1500+45000+1000+4500+1000</f>
        <v>166000</v>
      </c>
      <c r="H35" s="87"/>
      <c r="I35" s="87">
        <f t="shared" si="2"/>
        <v>166000</v>
      </c>
    </row>
    <row r="36" spans="2:9" x14ac:dyDescent="0.2">
      <c r="B36" s="120">
        <f t="shared" si="4"/>
        <v>31</v>
      </c>
      <c r="C36" s="69"/>
      <c r="D36" s="69"/>
      <c r="E36" s="69">
        <v>223001</v>
      </c>
      <c r="F36" s="3" t="s">
        <v>366</v>
      </c>
      <c r="G36" s="87">
        <v>800000</v>
      </c>
      <c r="H36" s="87"/>
      <c r="I36" s="87">
        <f t="shared" si="2"/>
        <v>800000</v>
      </c>
    </row>
    <row r="37" spans="2:9" x14ac:dyDescent="0.2">
      <c r="B37" s="120">
        <f t="shared" si="4"/>
        <v>32</v>
      </c>
      <c r="C37" s="69"/>
      <c r="D37" s="69"/>
      <c r="E37" s="138">
        <v>223</v>
      </c>
      <c r="F37" s="3" t="s">
        <v>442</v>
      </c>
      <c r="G37" s="87">
        <v>26300</v>
      </c>
      <c r="H37" s="87"/>
      <c r="I37" s="87">
        <f t="shared" si="2"/>
        <v>26300</v>
      </c>
    </row>
    <row r="38" spans="2:9" x14ac:dyDescent="0.2">
      <c r="B38" s="120">
        <f t="shared" si="4"/>
        <v>33</v>
      </c>
      <c r="C38" s="68"/>
      <c r="D38" s="68">
        <v>229</v>
      </c>
      <c r="E38" s="68"/>
      <c r="F38" s="2" t="s">
        <v>267</v>
      </c>
      <c r="G38" s="115">
        <f>G39</f>
        <v>450</v>
      </c>
      <c r="H38" s="115">
        <f t="shared" ref="H38" si="17">H39</f>
        <v>0</v>
      </c>
      <c r="I38" s="115">
        <f t="shared" si="2"/>
        <v>450</v>
      </c>
    </row>
    <row r="39" spans="2:9" x14ac:dyDescent="0.2">
      <c r="B39" s="120">
        <f t="shared" si="4"/>
        <v>34</v>
      </c>
      <c r="C39" s="69"/>
      <c r="D39" s="69"/>
      <c r="E39" s="69">
        <v>229005</v>
      </c>
      <c r="F39" s="3" t="s">
        <v>268</v>
      </c>
      <c r="G39" s="87">
        <v>450</v>
      </c>
      <c r="H39" s="87"/>
      <c r="I39" s="87">
        <f t="shared" si="2"/>
        <v>450</v>
      </c>
    </row>
    <row r="40" spans="2:9" x14ac:dyDescent="0.2">
      <c r="B40" s="120">
        <f t="shared" si="4"/>
        <v>35</v>
      </c>
      <c r="C40" s="67">
        <v>240</v>
      </c>
      <c r="D40" s="67"/>
      <c r="E40" s="67"/>
      <c r="F40" s="5" t="s">
        <v>179</v>
      </c>
      <c r="G40" s="122">
        <f>G41</f>
        <v>4000</v>
      </c>
      <c r="H40" s="122">
        <f t="shared" ref="H40:H41" si="18">H41</f>
        <v>0</v>
      </c>
      <c r="I40" s="122">
        <f t="shared" si="2"/>
        <v>4000</v>
      </c>
    </row>
    <row r="41" spans="2:9" x14ac:dyDescent="0.2">
      <c r="B41" s="120">
        <f t="shared" si="4"/>
        <v>36</v>
      </c>
      <c r="C41" s="68"/>
      <c r="D41" s="68">
        <v>242</v>
      </c>
      <c r="E41" s="68"/>
      <c r="F41" s="2" t="s">
        <v>178</v>
      </c>
      <c r="G41" s="115">
        <f>G42</f>
        <v>4000</v>
      </c>
      <c r="H41" s="115">
        <f t="shared" si="18"/>
        <v>0</v>
      </c>
      <c r="I41" s="115">
        <f t="shared" si="2"/>
        <v>4000</v>
      </c>
    </row>
    <row r="42" spans="2:9" x14ac:dyDescent="0.2">
      <c r="B42" s="120">
        <f t="shared" si="4"/>
        <v>37</v>
      </c>
      <c r="C42" s="69"/>
      <c r="D42" s="69"/>
      <c r="E42" s="69">
        <v>242</v>
      </c>
      <c r="F42" s="3" t="s">
        <v>178</v>
      </c>
      <c r="G42" s="87">
        <v>4000</v>
      </c>
      <c r="H42" s="87"/>
      <c r="I42" s="87">
        <f t="shared" si="2"/>
        <v>4000</v>
      </c>
    </row>
    <row r="43" spans="2:9" x14ac:dyDescent="0.2">
      <c r="B43" s="120">
        <f t="shared" si="4"/>
        <v>38</v>
      </c>
      <c r="C43" s="67">
        <v>290</v>
      </c>
      <c r="D43" s="67"/>
      <c r="E43" s="67"/>
      <c r="F43" s="5" t="s">
        <v>181</v>
      </c>
      <c r="G43" s="122">
        <f>G44</f>
        <v>461200</v>
      </c>
      <c r="H43" s="122">
        <f t="shared" ref="H43" si="19">H44</f>
        <v>0</v>
      </c>
      <c r="I43" s="122">
        <f t="shared" si="2"/>
        <v>461200</v>
      </c>
    </row>
    <row r="44" spans="2:9" x14ac:dyDescent="0.2">
      <c r="B44" s="120">
        <f t="shared" si="4"/>
        <v>39</v>
      </c>
      <c r="C44" s="68"/>
      <c r="D44" s="68">
        <v>292</v>
      </c>
      <c r="E44" s="68"/>
      <c r="F44" s="2" t="s">
        <v>182</v>
      </c>
      <c r="G44" s="115">
        <f>SUM(G45:G48)</f>
        <v>461200</v>
      </c>
      <c r="H44" s="115">
        <f t="shared" ref="H44" si="20">SUM(H45:H48)</f>
        <v>0</v>
      </c>
      <c r="I44" s="115">
        <f t="shared" si="2"/>
        <v>461200</v>
      </c>
    </row>
    <row r="45" spans="2:9" x14ac:dyDescent="0.2">
      <c r="B45" s="120">
        <f t="shared" si="4"/>
        <v>40</v>
      </c>
      <c r="C45" s="69"/>
      <c r="D45" s="69"/>
      <c r="E45" s="69">
        <v>292008</v>
      </c>
      <c r="F45" s="3" t="s">
        <v>183</v>
      </c>
      <c r="G45" s="87">
        <v>300000</v>
      </c>
      <c r="H45" s="87"/>
      <c r="I45" s="87">
        <f t="shared" si="2"/>
        <v>300000</v>
      </c>
    </row>
    <row r="46" spans="2:9" x14ac:dyDescent="0.2">
      <c r="B46" s="120">
        <f t="shared" si="4"/>
        <v>41</v>
      </c>
      <c r="C46" s="69"/>
      <c r="D46" s="69"/>
      <c r="E46" s="69">
        <v>292012</v>
      </c>
      <c r="F46" s="3" t="s">
        <v>237</v>
      </c>
      <c r="G46" s="87">
        <v>30000</v>
      </c>
      <c r="H46" s="87"/>
      <c r="I46" s="87">
        <f t="shared" si="2"/>
        <v>30000</v>
      </c>
    </row>
    <row r="47" spans="2:9" x14ac:dyDescent="0.2">
      <c r="B47" s="120">
        <f t="shared" si="4"/>
        <v>42</v>
      </c>
      <c r="C47" s="69"/>
      <c r="D47" s="69"/>
      <c r="E47" s="69">
        <v>292017</v>
      </c>
      <c r="F47" s="3" t="s">
        <v>238</v>
      </c>
      <c r="G47" s="87">
        <v>80000</v>
      </c>
      <c r="H47" s="87"/>
      <c r="I47" s="87">
        <f t="shared" si="2"/>
        <v>80000</v>
      </c>
    </row>
    <row r="48" spans="2:9" ht="13.5" thickBot="1" x14ac:dyDescent="0.25">
      <c r="B48" s="120">
        <f t="shared" si="4"/>
        <v>43</v>
      </c>
      <c r="C48" s="69"/>
      <c r="D48" s="69"/>
      <c r="E48" s="69">
        <v>292027</v>
      </c>
      <c r="F48" s="3" t="s">
        <v>231</v>
      </c>
      <c r="G48" s="87">
        <v>51200</v>
      </c>
      <c r="H48" s="87"/>
      <c r="I48" s="87">
        <f t="shared" si="2"/>
        <v>51200</v>
      </c>
    </row>
    <row r="49" spans="2:9" ht="15.75" thickBot="1" x14ac:dyDescent="0.3">
      <c r="B49" s="120">
        <f t="shared" si="4"/>
        <v>44</v>
      </c>
      <c r="C49" s="66">
        <v>1</v>
      </c>
      <c r="D49" s="66"/>
      <c r="E49" s="66"/>
      <c r="F49" s="9" t="s">
        <v>54</v>
      </c>
      <c r="G49" s="17">
        <v>0</v>
      </c>
      <c r="H49" s="17">
        <v>0</v>
      </c>
      <c r="I49" s="17">
        <f t="shared" si="2"/>
        <v>0</v>
      </c>
    </row>
    <row r="50" spans="2:9" ht="15.75" thickBot="1" x14ac:dyDescent="0.3">
      <c r="B50" s="120">
        <f t="shared" si="4"/>
        <v>45</v>
      </c>
      <c r="C50" s="66">
        <v>2</v>
      </c>
      <c r="D50" s="66"/>
      <c r="E50" s="66"/>
      <c r="F50" s="9" t="s">
        <v>18</v>
      </c>
      <c r="G50" s="17">
        <f>G51+G54+G57+G62+G69+G77+G84+G91+G95+G102+G109</f>
        <v>964300</v>
      </c>
      <c r="H50" s="17">
        <f t="shared" ref="H50" si="21">H51+H54+H57+H62+H69+H77+H84+H91+H95+H102+H109</f>
        <v>-406451</v>
      </c>
      <c r="I50" s="17">
        <f t="shared" si="2"/>
        <v>557849</v>
      </c>
    </row>
    <row r="51" spans="2:9" x14ac:dyDescent="0.2">
      <c r="B51" s="120">
        <f t="shared" si="4"/>
        <v>46</v>
      </c>
      <c r="C51" s="68">
        <v>220</v>
      </c>
      <c r="D51" s="68"/>
      <c r="E51" s="68"/>
      <c r="F51" s="2" t="s">
        <v>226</v>
      </c>
      <c r="G51" s="115">
        <f>G52</f>
        <v>50</v>
      </c>
      <c r="H51" s="115">
        <f t="shared" ref="H51:H52" si="22">H52</f>
        <v>0</v>
      </c>
      <c r="I51" s="115">
        <f t="shared" si="2"/>
        <v>50</v>
      </c>
    </row>
    <row r="52" spans="2:9" x14ac:dyDescent="0.2">
      <c r="B52" s="120">
        <f t="shared" si="4"/>
        <v>47</v>
      </c>
      <c r="C52" s="69"/>
      <c r="D52" s="69">
        <v>222</v>
      </c>
      <c r="E52" s="69"/>
      <c r="F52" s="3" t="s">
        <v>61</v>
      </c>
      <c r="G52" s="87">
        <f>G53</f>
        <v>50</v>
      </c>
      <c r="H52" s="87">
        <f t="shared" si="22"/>
        <v>0</v>
      </c>
      <c r="I52" s="87">
        <f t="shared" si="2"/>
        <v>50</v>
      </c>
    </row>
    <row r="53" spans="2:9" x14ac:dyDescent="0.2">
      <c r="B53" s="120">
        <f t="shared" si="4"/>
        <v>48</v>
      </c>
      <c r="C53" s="4"/>
      <c r="D53" s="4"/>
      <c r="E53" s="4">
        <v>222003</v>
      </c>
      <c r="F53" s="4" t="s">
        <v>60</v>
      </c>
      <c r="G53" s="88">
        <v>50</v>
      </c>
      <c r="H53" s="88"/>
      <c r="I53" s="88">
        <f t="shared" si="2"/>
        <v>50</v>
      </c>
    </row>
    <row r="54" spans="2:9" x14ac:dyDescent="0.2">
      <c r="B54" s="120">
        <f t="shared" si="4"/>
        <v>49</v>
      </c>
      <c r="C54" s="68">
        <v>240</v>
      </c>
      <c r="D54" s="68"/>
      <c r="E54" s="68"/>
      <c r="F54" s="2" t="s">
        <v>179</v>
      </c>
      <c r="G54" s="115">
        <f>G55</f>
        <v>50</v>
      </c>
      <c r="H54" s="115">
        <f t="shared" ref="H54:H55" si="23">H55</f>
        <v>0</v>
      </c>
      <c r="I54" s="115">
        <f t="shared" si="2"/>
        <v>50</v>
      </c>
    </row>
    <row r="55" spans="2:9" x14ac:dyDescent="0.2">
      <c r="B55" s="120">
        <f t="shared" si="4"/>
        <v>50</v>
      </c>
      <c r="C55" s="69"/>
      <c r="D55" s="69">
        <v>242</v>
      </c>
      <c r="E55" s="69"/>
      <c r="F55" s="3" t="s">
        <v>178</v>
      </c>
      <c r="G55" s="87">
        <f>G56</f>
        <v>50</v>
      </c>
      <c r="H55" s="87">
        <f t="shared" si="23"/>
        <v>0</v>
      </c>
      <c r="I55" s="87">
        <f t="shared" si="2"/>
        <v>50</v>
      </c>
    </row>
    <row r="56" spans="2:9" x14ac:dyDescent="0.2">
      <c r="B56" s="120">
        <f t="shared" si="4"/>
        <v>51</v>
      </c>
      <c r="C56" s="4"/>
      <c r="D56" s="4"/>
      <c r="E56" s="4">
        <v>242</v>
      </c>
      <c r="F56" s="4" t="s">
        <v>178</v>
      </c>
      <c r="G56" s="88">
        <v>50</v>
      </c>
      <c r="H56" s="88"/>
      <c r="I56" s="88">
        <f t="shared" si="2"/>
        <v>50</v>
      </c>
    </row>
    <row r="57" spans="2:9" x14ac:dyDescent="0.2">
      <c r="B57" s="120">
        <f t="shared" si="4"/>
        <v>52</v>
      </c>
      <c r="C57" s="68">
        <v>290</v>
      </c>
      <c r="D57" s="68"/>
      <c r="E57" s="68"/>
      <c r="F57" s="2" t="s">
        <v>181</v>
      </c>
      <c r="G57" s="115">
        <f>G58</f>
        <v>2050</v>
      </c>
      <c r="H57" s="115">
        <f t="shared" ref="H57" si="24">H58</f>
        <v>0</v>
      </c>
      <c r="I57" s="115">
        <f t="shared" si="2"/>
        <v>2050</v>
      </c>
    </row>
    <row r="58" spans="2:9" x14ac:dyDescent="0.2">
      <c r="B58" s="120">
        <f t="shared" si="4"/>
        <v>53</v>
      </c>
      <c r="C58" s="69"/>
      <c r="D58" s="69">
        <v>292</v>
      </c>
      <c r="E58" s="69"/>
      <c r="F58" s="3" t="s">
        <v>182</v>
      </c>
      <c r="G58" s="87">
        <f>SUM(G59:G61)</f>
        <v>2050</v>
      </c>
      <c r="H58" s="87">
        <f t="shared" ref="H58" si="25">SUM(H59:H61)</f>
        <v>0</v>
      </c>
      <c r="I58" s="87">
        <f t="shared" si="2"/>
        <v>2050</v>
      </c>
    </row>
    <row r="59" spans="2:9" x14ac:dyDescent="0.2">
      <c r="B59" s="120">
        <f t="shared" si="4"/>
        <v>54</v>
      </c>
      <c r="C59" s="4"/>
      <c r="D59" s="4"/>
      <c r="E59" s="4">
        <v>292012</v>
      </c>
      <c r="F59" s="4" t="s">
        <v>237</v>
      </c>
      <c r="G59" s="88">
        <v>1000</v>
      </c>
      <c r="H59" s="88"/>
      <c r="I59" s="88">
        <f t="shared" si="2"/>
        <v>1000</v>
      </c>
    </row>
    <row r="60" spans="2:9" x14ac:dyDescent="0.2">
      <c r="B60" s="120">
        <f t="shared" si="4"/>
        <v>55</v>
      </c>
      <c r="C60" s="4"/>
      <c r="D60" s="4"/>
      <c r="E60" s="4">
        <v>292017</v>
      </c>
      <c r="F60" s="4" t="s">
        <v>238</v>
      </c>
      <c r="G60" s="88">
        <v>50</v>
      </c>
      <c r="H60" s="88"/>
      <c r="I60" s="88">
        <f t="shared" si="2"/>
        <v>50</v>
      </c>
    </row>
    <row r="61" spans="2:9" x14ac:dyDescent="0.2">
      <c r="B61" s="120">
        <f t="shared" si="4"/>
        <v>56</v>
      </c>
      <c r="C61" s="4"/>
      <c r="D61" s="4"/>
      <c r="E61" s="4">
        <v>292027</v>
      </c>
      <c r="F61" s="4" t="s">
        <v>231</v>
      </c>
      <c r="G61" s="88">
        <v>1000</v>
      </c>
      <c r="H61" s="88"/>
      <c r="I61" s="88">
        <f t="shared" si="2"/>
        <v>1000</v>
      </c>
    </row>
    <row r="62" spans="2:9" x14ac:dyDescent="0.2">
      <c r="B62" s="120">
        <f t="shared" si="4"/>
        <v>57</v>
      </c>
      <c r="C62" s="70"/>
      <c r="D62" s="67"/>
      <c r="E62" s="71"/>
      <c r="F62" s="5" t="s">
        <v>52</v>
      </c>
      <c r="G62" s="122">
        <f>G63+G66</f>
        <v>167000</v>
      </c>
      <c r="H62" s="122">
        <f t="shared" ref="H62" si="26">H63+H66</f>
        <v>0</v>
      </c>
      <c r="I62" s="122">
        <f t="shared" si="2"/>
        <v>167000</v>
      </c>
    </row>
    <row r="63" spans="2:9" x14ac:dyDescent="0.2">
      <c r="B63" s="120">
        <f t="shared" si="4"/>
        <v>58</v>
      </c>
      <c r="C63" s="72">
        <v>210</v>
      </c>
      <c r="D63" s="68"/>
      <c r="E63" s="73"/>
      <c r="F63" s="2" t="s">
        <v>251</v>
      </c>
      <c r="G63" s="115">
        <f>G64</f>
        <v>12000</v>
      </c>
      <c r="H63" s="115">
        <f t="shared" ref="H63:H64" si="27">H64</f>
        <v>0</v>
      </c>
      <c r="I63" s="115">
        <f t="shared" si="2"/>
        <v>12000</v>
      </c>
    </row>
    <row r="64" spans="2:9" x14ac:dyDescent="0.2">
      <c r="B64" s="120">
        <f t="shared" si="4"/>
        <v>59</v>
      </c>
      <c r="C64" s="74"/>
      <c r="D64" s="69">
        <v>212</v>
      </c>
      <c r="E64" s="75"/>
      <c r="F64" s="3" t="s">
        <v>252</v>
      </c>
      <c r="G64" s="87">
        <f>G65</f>
        <v>12000</v>
      </c>
      <c r="H64" s="87">
        <f t="shared" si="27"/>
        <v>0</v>
      </c>
      <c r="I64" s="87">
        <f t="shared" si="2"/>
        <v>12000</v>
      </c>
    </row>
    <row r="65" spans="2:9" x14ac:dyDescent="0.2">
      <c r="B65" s="120">
        <f t="shared" si="4"/>
        <v>60</v>
      </c>
      <c r="C65" s="12"/>
      <c r="D65" s="4"/>
      <c r="E65" s="13">
        <v>212003</v>
      </c>
      <c r="F65" s="4" t="s">
        <v>253</v>
      </c>
      <c r="G65" s="88">
        <v>12000</v>
      </c>
      <c r="H65" s="88"/>
      <c r="I65" s="88">
        <f t="shared" si="2"/>
        <v>12000</v>
      </c>
    </row>
    <row r="66" spans="2:9" x14ac:dyDescent="0.2">
      <c r="B66" s="120">
        <f t="shared" si="4"/>
        <v>61</v>
      </c>
      <c r="C66" s="72">
        <v>220</v>
      </c>
      <c r="D66" s="68"/>
      <c r="E66" s="73"/>
      <c r="F66" s="2" t="s">
        <v>226</v>
      </c>
      <c r="G66" s="115">
        <f>G67</f>
        <v>155000</v>
      </c>
      <c r="H66" s="115">
        <f t="shared" ref="H66:H67" si="28">H67</f>
        <v>0</v>
      </c>
      <c r="I66" s="115">
        <f t="shared" si="2"/>
        <v>155000</v>
      </c>
    </row>
    <row r="67" spans="2:9" x14ac:dyDescent="0.2">
      <c r="B67" s="120">
        <f t="shared" ref="B67:B130" si="29">B66+1</f>
        <v>62</v>
      </c>
      <c r="C67" s="74"/>
      <c r="D67" s="69">
        <v>223</v>
      </c>
      <c r="E67" s="75"/>
      <c r="F67" s="3" t="s">
        <v>255</v>
      </c>
      <c r="G67" s="87">
        <f>G68</f>
        <v>155000</v>
      </c>
      <c r="H67" s="87">
        <f t="shared" si="28"/>
        <v>0</v>
      </c>
      <c r="I67" s="87">
        <f t="shared" si="2"/>
        <v>155000</v>
      </c>
    </row>
    <row r="68" spans="2:9" x14ac:dyDescent="0.2">
      <c r="B68" s="120">
        <f t="shared" si="29"/>
        <v>63</v>
      </c>
      <c r="C68" s="12"/>
      <c r="D68" s="4"/>
      <c r="E68" s="13">
        <v>223001</v>
      </c>
      <c r="F68" s="4" t="s">
        <v>256</v>
      </c>
      <c r="G68" s="88">
        <v>155000</v>
      </c>
      <c r="H68" s="88"/>
      <c r="I68" s="88">
        <f t="shared" si="2"/>
        <v>155000</v>
      </c>
    </row>
    <row r="69" spans="2:9" x14ac:dyDescent="0.2">
      <c r="B69" s="120">
        <f t="shared" si="29"/>
        <v>64</v>
      </c>
      <c r="C69" s="70"/>
      <c r="D69" s="67"/>
      <c r="E69" s="71"/>
      <c r="F69" s="5" t="s">
        <v>440</v>
      </c>
      <c r="G69" s="122">
        <f>G70+G74</f>
        <v>164500</v>
      </c>
      <c r="H69" s="122">
        <f t="shared" ref="H69" si="30">H70+H74</f>
        <v>0</v>
      </c>
      <c r="I69" s="122">
        <f t="shared" si="2"/>
        <v>164500</v>
      </c>
    </row>
    <row r="70" spans="2:9" x14ac:dyDescent="0.2">
      <c r="B70" s="120">
        <f t="shared" si="29"/>
        <v>65</v>
      </c>
      <c r="C70" s="72">
        <v>210</v>
      </c>
      <c r="D70" s="68"/>
      <c r="E70" s="73"/>
      <c r="F70" s="2" t="s">
        <v>251</v>
      </c>
      <c r="G70" s="115">
        <f>G71</f>
        <v>10500</v>
      </c>
      <c r="H70" s="115">
        <f t="shared" ref="H70" si="31">H71</f>
        <v>0</v>
      </c>
      <c r="I70" s="115">
        <f t="shared" si="2"/>
        <v>10500</v>
      </c>
    </row>
    <row r="71" spans="2:9" x14ac:dyDescent="0.2">
      <c r="B71" s="120">
        <f t="shared" si="29"/>
        <v>66</v>
      </c>
      <c r="C71" s="74"/>
      <c r="D71" s="69">
        <v>212</v>
      </c>
      <c r="E71" s="75"/>
      <c r="F71" s="3" t="s">
        <v>252</v>
      </c>
      <c r="G71" s="87">
        <f>G73+G72</f>
        <v>10500</v>
      </c>
      <c r="H71" s="87">
        <f t="shared" ref="H71" si="32">H73+H72</f>
        <v>0</v>
      </c>
      <c r="I71" s="87">
        <f t="shared" ref="I71:I134" si="33">G71+H71</f>
        <v>10500</v>
      </c>
    </row>
    <row r="72" spans="2:9" x14ac:dyDescent="0.2">
      <c r="B72" s="120">
        <f t="shared" si="29"/>
        <v>67</v>
      </c>
      <c r="C72" s="12"/>
      <c r="D72" s="4"/>
      <c r="E72" s="13">
        <v>212002</v>
      </c>
      <c r="F72" s="4" t="s">
        <v>285</v>
      </c>
      <c r="G72" s="88">
        <v>7000</v>
      </c>
      <c r="H72" s="88"/>
      <c r="I72" s="88">
        <f t="shared" si="33"/>
        <v>7000</v>
      </c>
    </row>
    <row r="73" spans="2:9" x14ac:dyDescent="0.2">
      <c r="B73" s="120">
        <f t="shared" si="29"/>
        <v>68</v>
      </c>
      <c r="C73" s="12"/>
      <c r="D73" s="4"/>
      <c r="E73" s="13">
        <v>212003</v>
      </c>
      <c r="F73" s="4" t="s">
        <v>253</v>
      </c>
      <c r="G73" s="88">
        <v>3500</v>
      </c>
      <c r="H73" s="88"/>
      <c r="I73" s="88">
        <f t="shared" si="33"/>
        <v>3500</v>
      </c>
    </row>
    <row r="74" spans="2:9" x14ac:dyDescent="0.2">
      <c r="B74" s="120">
        <f t="shared" si="29"/>
        <v>69</v>
      </c>
      <c r="C74" s="72">
        <v>220</v>
      </c>
      <c r="D74" s="68"/>
      <c r="E74" s="73"/>
      <c r="F74" s="2" t="s">
        <v>226</v>
      </c>
      <c r="G74" s="115">
        <f>G75</f>
        <v>154000</v>
      </c>
      <c r="H74" s="115">
        <f t="shared" ref="H74:H75" si="34">H75</f>
        <v>0</v>
      </c>
      <c r="I74" s="115">
        <f t="shared" si="33"/>
        <v>154000</v>
      </c>
    </row>
    <row r="75" spans="2:9" x14ac:dyDescent="0.2">
      <c r="B75" s="120">
        <f t="shared" si="29"/>
        <v>70</v>
      </c>
      <c r="C75" s="74"/>
      <c r="D75" s="69">
        <v>223</v>
      </c>
      <c r="E75" s="75"/>
      <c r="F75" s="3" t="s">
        <v>255</v>
      </c>
      <c r="G75" s="87">
        <f>G76</f>
        <v>154000</v>
      </c>
      <c r="H75" s="87">
        <f t="shared" si="34"/>
        <v>0</v>
      </c>
      <c r="I75" s="87">
        <f t="shared" si="33"/>
        <v>154000</v>
      </c>
    </row>
    <row r="76" spans="2:9" x14ac:dyDescent="0.2">
      <c r="B76" s="120">
        <f t="shared" si="29"/>
        <v>71</v>
      </c>
      <c r="C76" s="12"/>
      <c r="D76" s="4"/>
      <c r="E76" s="13">
        <v>223001</v>
      </c>
      <c r="F76" s="4" t="s">
        <v>256</v>
      </c>
      <c r="G76" s="88">
        <v>154000</v>
      </c>
      <c r="H76" s="88"/>
      <c r="I76" s="88">
        <f t="shared" si="33"/>
        <v>154000</v>
      </c>
    </row>
    <row r="77" spans="2:9" x14ac:dyDescent="0.2">
      <c r="B77" s="120">
        <f t="shared" si="29"/>
        <v>72</v>
      </c>
      <c r="C77" s="70"/>
      <c r="D77" s="67"/>
      <c r="E77" s="71"/>
      <c r="F77" s="5" t="s">
        <v>216</v>
      </c>
      <c r="G77" s="122">
        <f>G78+G81</f>
        <v>478600</v>
      </c>
      <c r="H77" s="122">
        <f t="shared" ref="H77" si="35">H78+H81</f>
        <v>-406451</v>
      </c>
      <c r="I77" s="122">
        <f t="shared" si="33"/>
        <v>72149</v>
      </c>
    </row>
    <row r="78" spans="2:9" x14ac:dyDescent="0.2">
      <c r="B78" s="120">
        <f t="shared" si="29"/>
        <v>73</v>
      </c>
      <c r="C78" s="72">
        <v>210</v>
      </c>
      <c r="D78" s="68"/>
      <c r="E78" s="73"/>
      <c r="F78" s="2" t="s">
        <v>251</v>
      </c>
      <c r="G78" s="115">
        <f>G79</f>
        <v>101800</v>
      </c>
      <c r="H78" s="115">
        <f t="shared" ref="H78:H79" si="36">H79</f>
        <v>-51744</v>
      </c>
      <c r="I78" s="115">
        <f t="shared" si="33"/>
        <v>50056</v>
      </c>
    </row>
    <row r="79" spans="2:9" x14ac:dyDescent="0.2">
      <c r="B79" s="120">
        <f t="shared" si="29"/>
        <v>74</v>
      </c>
      <c r="C79" s="74"/>
      <c r="D79" s="69">
        <v>212</v>
      </c>
      <c r="E79" s="75"/>
      <c r="F79" s="3" t="s">
        <v>252</v>
      </c>
      <c r="G79" s="87">
        <f>G80</f>
        <v>101800</v>
      </c>
      <c r="H79" s="87">
        <f t="shared" si="36"/>
        <v>-51744</v>
      </c>
      <c r="I79" s="87">
        <f t="shared" si="33"/>
        <v>50056</v>
      </c>
    </row>
    <row r="80" spans="2:9" x14ac:dyDescent="0.2">
      <c r="B80" s="120">
        <f t="shared" si="29"/>
        <v>75</v>
      </c>
      <c r="C80" s="12"/>
      <c r="D80" s="4"/>
      <c r="E80" s="13">
        <v>212003</v>
      </c>
      <c r="F80" s="4" t="s">
        <v>253</v>
      </c>
      <c r="G80" s="88">
        <v>101800</v>
      </c>
      <c r="H80" s="88">
        <v>-51744</v>
      </c>
      <c r="I80" s="88">
        <f t="shared" si="33"/>
        <v>50056</v>
      </c>
    </row>
    <row r="81" spans="2:9" x14ac:dyDescent="0.2">
      <c r="B81" s="120">
        <f t="shared" si="29"/>
        <v>76</v>
      </c>
      <c r="C81" s="72">
        <v>220</v>
      </c>
      <c r="D81" s="68"/>
      <c r="E81" s="73"/>
      <c r="F81" s="2" t="s">
        <v>226</v>
      </c>
      <c r="G81" s="115">
        <f>G82</f>
        <v>376800</v>
      </c>
      <c r="H81" s="115">
        <f t="shared" ref="H81:H82" si="37">H82</f>
        <v>-354707</v>
      </c>
      <c r="I81" s="115">
        <f t="shared" si="33"/>
        <v>22093</v>
      </c>
    </row>
    <row r="82" spans="2:9" x14ac:dyDescent="0.2">
      <c r="B82" s="120">
        <f t="shared" si="29"/>
        <v>77</v>
      </c>
      <c r="C82" s="74"/>
      <c r="D82" s="69">
        <v>223</v>
      </c>
      <c r="E82" s="75"/>
      <c r="F82" s="3" t="s">
        <v>255</v>
      </c>
      <c r="G82" s="87">
        <f>G83</f>
        <v>376800</v>
      </c>
      <c r="H82" s="87">
        <f t="shared" si="37"/>
        <v>-354707</v>
      </c>
      <c r="I82" s="87">
        <f t="shared" si="33"/>
        <v>22093</v>
      </c>
    </row>
    <row r="83" spans="2:9" x14ac:dyDescent="0.2">
      <c r="B83" s="120">
        <f t="shared" si="29"/>
        <v>78</v>
      </c>
      <c r="C83" s="12"/>
      <c r="D83" s="4"/>
      <c r="E83" s="13">
        <v>223001</v>
      </c>
      <c r="F83" s="4" t="s">
        <v>256</v>
      </c>
      <c r="G83" s="88">
        <v>376800</v>
      </c>
      <c r="H83" s="88">
        <v>-354707</v>
      </c>
      <c r="I83" s="88">
        <f t="shared" si="33"/>
        <v>22093</v>
      </c>
    </row>
    <row r="84" spans="2:9" x14ac:dyDescent="0.2">
      <c r="B84" s="120">
        <f t="shared" si="29"/>
        <v>79</v>
      </c>
      <c r="C84" s="70"/>
      <c r="D84" s="67"/>
      <c r="E84" s="71"/>
      <c r="F84" s="5" t="s">
        <v>233</v>
      </c>
      <c r="G84" s="122">
        <f>G88+G85</f>
        <v>90000</v>
      </c>
      <c r="H84" s="122">
        <f t="shared" ref="H84" si="38">H88+H85</f>
        <v>0</v>
      </c>
      <c r="I84" s="122">
        <f t="shared" si="33"/>
        <v>90000</v>
      </c>
    </row>
    <row r="85" spans="2:9" x14ac:dyDescent="0.2">
      <c r="B85" s="120">
        <f t="shared" si="29"/>
        <v>80</v>
      </c>
      <c r="C85" s="72">
        <v>210</v>
      </c>
      <c r="D85" s="68"/>
      <c r="E85" s="73"/>
      <c r="F85" s="2" t="s">
        <v>251</v>
      </c>
      <c r="G85" s="115">
        <f>G86</f>
        <v>2500</v>
      </c>
      <c r="H85" s="115">
        <f t="shared" ref="H85:H86" si="39">H86</f>
        <v>0</v>
      </c>
      <c r="I85" s="115">
        <f t="shared" si="33"/>
        <v>2500</v>
      </c>
    </row>
    <row r="86" spans="2:9" x14ac:dyDescent="0.2">
      <c r="B86" s="120">
        <f t="shared" si="29"/>
        <v>81</v>
      </c>
      <c r="C86" s="74"/>
      <c r="D86" s="69">
        <v>212</v>
      </c>
      <c r="E86" s="75"/>
      <c r="F86" s="3" t="s">
        <v>252</v>
      </c>
      <c r="G86" s="87">
        <f>G87</f>
        <v>2500</v>
      </c>
      <c r="H86" s="87">
        <f t="shared" si="39"/>
        <v>0</v>
      </c>
      <c r="I86" s="87">
        <f t="shared" si="33"/>
        <v>2500</v>
      </c>
    </row>
    <row r="87" spans="2:9" x14ac:dyDescent="0.2">
      <c r="B87" s="120">
        <f t="shared" si="29"/>
        <v>82</v>
      </c>
      <c r="C87" s="12"/>
      <c r="D87" s="4"/>
      <c r="E87" s="13">
        <v>212004</v>
      </c>
      <c r="F87" s="4" t="s">
        <v>254</v>
      </c>
      <c r="G87" s="88">
        <v>2500</v>
      </c>
      <c r="H87" s="88"/>
      <c r="I87" s="88">
        <f t="shared" si="33"/>
        <v>2500</v>
      </c>
    </row>
    <row r="88" spans="2:9" x14ac:dyDescent="0.2">
      <c r="B88" s="120">
        <f t="shared" si="29"/>
        <v>83</v>
      </c>
      <c r="C88" s="72">
        <v>220</v>
      </c>
      <c r="D88" s="68"/>
      <c r="E88" s="73"/>
      <c r="F88" s="2" t="s">
        <v>226</v>
      </c>
      <c r="G88" s="115">
        <f>G89</f>
        <v>87500</v>
      </c>
      <c r="H88" s="115">
        <f t="shared" ref="H88:H89" si="40">H89</f>
        <v>0</v>
      </c>
      <c r="I88" s="115">
        <f t="shared" si="33"/>
        <v>87500</v>
      </c>
    </row>
    <row r="89" spans="2:9" x14ac:dyDescent="0.2">
      <c r="B89" s="120">
        <f t="shared" si="29"/>
        <v>84</v>
      </c>
      <c r="C89" s="74"/>
      <c r="D89" s="69">
        <v>223</v>
      </c>
      <c r="E89" s="75"/>
      <c r="F89" s="3" t="s">
        <v>255</v>
      </c>
      <c r="G89" s="87">
        <f>G90</f>
        <v>87500</v>
      </c>
      <c r="H89" s="87">
        <f t="shared" si="40"/>
        <v>0</v>
      </c>
      <c r="I89" s="87">
        <f t="shared" si="33"/>
        <v>87500</v>
      </c>
    </row>
    <row r="90" spans="2:9" x14ac:dyDescent="0.2">
      <c r="B90" s="120">
        <f t="shared" si="29"/>
        <v>85</v>
      </c>
      <c r="C90" s="12"/>
      <c r="D90" s="4"/>
      <c r="E90" s="13">
        <v>223001</v>
      </c>
      <c r="F90" s="4" t="s">
        <v>256</v>
      </c>
      <c r="G90" s="88">
        <v>87500</v>
      </c>
      <c r="H90" s="88"/>
      <c r="I90" s="88">
        <f t="shared" si="33"/>
        <v>87500</v>
      </c>
    </row>
    <row r="91" spans="2:9" x14ac:dyDescent="0.2">
      <c r="B91" s="120">
        <f t="shared" si="29"/>
        <v>86</v>
      </c>
      <c r="C91" s="70"/>
      <c r="D91" s="67"/>
      <c r="E91" s="71"/>
      <c r="F91" s="5" t="s">
        <v>222</v>
      </c>
      <c r="G91" s="122">
        <f>G92</f>
        <v>2000</v>
      </c>
      <c r="H91" s="122">
        <f t="shared" ref="H91:H93" si="41">H92</f>
        <v>0</v>
      </c>
      <c r="I91" s="122">
        <f t="shared" si="33"/>
        <v>2000</v>
      </c>
    </row>
    <row r="92" spans="2:9" x14ac:dyDescent="0.2">
      <c r="B92" s="120">
        <f t="shared" si="29"/>
        <v>87</v>
      </c>
      <c r="C92" s="72">
        <v>290</v>
      </c>
      <c r="D92" s="68"/>
      <c r="E92" s="73"/>
      <c r="F92" s="2" t="s">
        <v>181</v>
      </c>
      <c r="G92" s="115">
        <f>G93</f>
        <v>2000</v>
      </c>
      <c r="H92" s="115">
        <f t="shared" si="41"/>
        <v>0</v>
      </c>
      <c r="I92" s="115">
        <f t="shared" si="33"/>
        <v>2000</v>
      </c>
    </row>
    <row r="93" spans="2:9" x14ac:dyDescent="0.2">
      <c r="B93" s="120">
        <f t="shared" si="29"/>
        <v>88</v>
      </c>
      <c r="C93" s="74"/>
      <c r="D93" s="69">
        <v>292</v>
      </c>
      <c r="E93" s="75"/>
      <c r="F93" s="3" t="s">
        <v>182</v>
      </c>
      <c r="G93" s="87">
        <f>G94</f>
        <v>2000</v>
      </c>
      <c r="H93" s="87">
        <f t="shared" si="41"/>
        <v>0</v>
      </c>
      <c r="I93" s="87">
        <f t="shared" si="33"/>
        <v>2000</v>
      </c>
    </row>
    <row r="94" spans="2:9" x14ac:dyDescent="0.2">
      <c r="B94" s="120">
        <f t="shared" si="29"/>
        <v>89</v>
      </c>
      <c r="C94" s="12"/>
      <c r="D94" s="4"/>
      <c r="E94" s="13">
        <v>292006</v>
      </c>
      <c r="F94" s="4" t="s">
        <v>180</v>
      </c>
      <c r="G94" s="88">
        <v>2000</v>
      </c>
      <c r="H94" s="88"/>
      <c r="I94" s="88">
        <f t="shared" si="33"/>
        <v>2000</v>
      </c>
    </row>
    <row r="95" spans="2:9" x14ac:dyDescent="0.2">
      <c r="B95" s="120">
        <f t="shared" si="29"/>
        <v>90</v>
      </c>
      <c r="C95" s="70"/>
      <c r="D95" s="67"/>
      <c r="E95" s="71"/>
      <c r="F95" s="5" t="s">
        <v>50</v>
      </c>
      <c r="G95" s="122">
        <f>G99+G96</f>
        <v>12150</v>
      </c>
      <c r="H95" s="122">
        <f t="shared" ref="H95" si="42">H99+H96</f>
        <v>0</v>
      </c>
      <c r="I95" s="122">
        <f t="shared" si="33"/>
        <v>12150</v>
      </c>
    </row>
    <row r="96" spans="2:9" x14ac:dyDescent="0.2">
      <c r="B96" s="120">
        <f t="shared" si="29"/>
        <v>91</v>
      </c>
      <c r="C96" s="72">
        <v>210</v>
      </c>
      <c r="D96" s="68"/>
      <c r="E96" s="73"/>
      <c r="F96" s="2" t="s">
        <v>251</v>
      </c>
      <c r="G96" s="115">
        <f>G97</f>
        <v>50</v>
      </c>
      <c r="H96" s="115">
        <f t="shared" ref="H96:H97" si="43">H97</f>
        <v>0</v>
      </c>
      <c r="I96" s="115">
        <f t="shared" si="33"/>
        <v>50</v>
      </c>
    </row>
    <row r="97" spans="2:9" x14ac:dyDescent="0.2">
      <c r="B97" s="120">
        <f t="shared" si="29"/>
        <v>92</v>
      </c>
      <c r="C97" s="74"/>
      <c r="D97" s="69">
        <v>212</v>
      </c>
      <c r="E97" s="75"/>
      <c r="F97" s="3" t="s">
        <v>252</v>
      </c>
      <c r="G97" s="87">
        <f>G98</f>
        <v>50</v>
      </c>
      <c r="H97" s="87">
        <f t="shared" si="43"/>
        <v>0</v>
      </c>
      <c r="I97" s="87">
        <f t="shared" si="33"/>
        <v>50</v>
      </c>
    </row>
    <row r="98" spans="2:9" x14ac:dyDescent="0.2">
      <c r="B98" s="120">
        <f t="shared" si="29"/>
        <v>93</v>
      </c>
      <c r="C98" s="12"/>
      <c r="D98" s="4"/>
      <c r="E98" s="13">
        <v>212003</v>
      </c>
      <c r="F98" s="4" t="s">
        <v>253</v>
      </c>
      <c r="G98" s="88">
        <v>50</v>
      </c>
      <c r="H98" s="88"/>
      <c r="I98" s="88">
        <f t="shared" si="33"/>
        <v>50</v>
      </c>
    </row>
    <row r="99" spans="2:9" x14ac:dyDescent="0.2">
      <c r="B99" s="120">
        <f t="shared" si="29"/>
        <v>94</v>
      </c>
      <c r="C99" s="72">
        <v>220</v>
      </c>
      <c r="D99" s="68"/>
      <c r="E99" s="73"/>
      <c r="F99" s="2" t="s">
        <v>226</v>
      </c>
      <c r="G99" s="115">
        <f>G100</f>
        <v>12100</v>
      </c>
      <c r="H99" s="115">
        <f t="shared" ref="H99:H100" si="44">H100</f>
        <v>0</v>
      </c>
      <c r="I99" s="115">
        <f t="shared" si="33"/>
        <v>12100</v>
      </c>
    </row>
    <row r="100" spans="2:9" x14ac:dyDescent="0.2">
      <c r="B100" s="120">
        <f t="shared" si="29"/>
        <v>95</v>
      </c>
      <c r="C100" s="74"/>
      <c r="D100" s="69">
        <v>223</v>
      </c>
      <c r="E100" s="75"/>
      <c r="F100" s="3" t="s">
        <v>255</v>
      </c>
      <c r="G100" s="87">
        <f>G101</f>
        <v>12100</v>
      </c>
      <c r="H100" s="87">
        <f t="shared" si="44"/>
        <v>0</v>
      </c>
      <c r="I100" s="87">
        <f t="shared" si="33"/>
        <v>12100</v>
      </c>
    </row>
    <row r="101" spans="2:9" x14ac:dyDescent="0.2">
      <c r="B101" s="120">
        <f t="shared" si="29"/>
        <v>96</v>
      </c>
      <c r="C101" s="12"/>
      <c r="D101" s="4"/>
      <c r="E101" s="13">
        <v>223001</v>
      </c>
      <c r="F101" s="4" t="s">
        <v>256</v>
      </c>
      <c r="G101" s="88">
        <v>12100</v>
      </c>
      <c r="H101" s="88"/>
      <c r="I101" s="88">
        <f t="shared" si="33"/>
        <v>12100</v>
      </c>
    </row>
    <row r="102" spans="2:9" x14ac:dyDescent="0.2">
      <c r="B102" s="120">
        <f t="shared" si="29"/>
        <v>97</v>
      </c>
      <c r="C102" s="70"/>
      <c r="D102" s="67"/>
      <c r="E102" s="71"/>
      <c r="F102" s="5" t="s">
        <v>51</v>
      </c>
      <c r="G102" s="122">
        <f>G103+G106</f>
        <v>40200</v>
      </c>
      <c r="H102" s="122">
        <f t="shared" ref="H102" si="45">H103+H106</f>
        <v>0</v>
      </c>
      <c r="I102" s="122">
        <f t="shared" si="33"/>
        <v>40200</v>
      </c>
    </row>
    <row r="103" spans="2:9" x14ac:dyDescent="0.2">
      <c r="B103" s="120">
        <f t="shared" si="29"/>
        <v>98</v>
      </c>
      <c r="C103" s="72">
        <v>210</v>
      </c>
      <c r="D103" s="68"/>
      <c r="E103" s="73"/>
      <c r="F103" s="2" t="s">
        <v>251</v>
      </c>
      <c r="G103" s="115">
        <f>G104</f>
        <v>200</v>
      </c>
      <c r="H103" s="115">
        <f t="shared" ref="H103:H104" si="46">H104</f>
        <v>0</v>
      </c>
      <c r="I103" s="115">
        <f t="shared" si="33"/>
        <v>200</v>
      </c>
    </row>
    <row r="104" spans="2:9" x14ac:dyDescent="0.2">
      <c r="B104" s="120">
        <f t="shared" si="29"/>
        <v>99</v>
      </c>
      <c r="C104" s="74"/>
      <c r="D104" s="69">
        <v>212</v>
      </c>
      <c r="E104" s="75"/>
      <c r="F104" s="3" t="s">
        <v>252</v>
      </c>
      <c r="G104" s="87">
        <f>G105</f>
        <v>200</v>
      </c>
      <c r="H104" s="87">
        <f t="shared" si="46"/>
        <v>0</v>
      </c>
      <c r="I104" s="87">
        <f t="shared" si="33"/>
        <v>200</v>
      </c>
    </row>
    <row r="105" spans="2:9" x14ac:dyDescent="0.2">
      <c r="B105" s="120">
        <f t="shared" si="29"/>
        <v>100</v>
      </c>
      <c r="C105" s="12"/>
      <c r="D105" s="4"/>
      <c r="E105" s="13">
        <v>212002</v>
      </c>
      <c r="F105" s="4" t="s">
        <v>285</v>
      </c>
      <c r="G105" s="88">
        <v>200</v>
      </c>
      <c r="H105" s="88"/>
      <c r="I105" s="88">
        <f t="shared" si="33"/>
        <v>200</v>
      </c>
    </row>
    <row r="106" spans="2:9" x14ac:dyDescent="0.2">
      <c r="B106" s="120">
        <f t="shared" si="29"/>
        <v>101</v>
      </c>
      <c r="C106" s="72">
        <v>220</v>
      </c>
      <c r="D106" s="68"/>
      <c r="E106" s="73"/>
      <c r="F106" s="2" t="s">
        <v>226</v>
      </c>
      <c r="G106" s="115">
        <f>G107</f>
        <v>40000</v>
      </c>
      <c r="H106" s="115">
        <f t="shared" ref="H106:H107" si="47">H107</f>
        <v>0</v>
      </c>
      <c r="I106" s="115">
        <f t="shared" si="33"/>
        <v>40000</v>
      </c>
    </row>
    <row r="107" spans="2:9" x14ac:dyDescent="0.2">
      <c r="B107" s="120">
        <f t="shared" si="29"/>
        <v>102</v>
      </c>
      <c r="C107" s="74"/>
      <c r="D107" s="69">
        <v>223</v>
      </c>
      <c r="E107" s="75"/>
      <c r="F107" s="3" t="s">
        <v>255</v>
      </c>
      <c r="G107" s="87">
        <f>G108</f>
        <v>40000</v>
      </c>
      <c r="H107" s="87">
        <f t="shared" si="47"/>
        <v>0</v>
      </c>
      <c r="I107" s="87">
        <f t="shared" si="33"/>
        <v>40000</v>
      </c>
    </row>
    <row r="108" spans="2:9" x14ac:dyDescent="0.2">
      <c r="B108" s="120">
        <f t="shared" si="29"/>
        <v>103</v>
      </c>
      <c r="C108" s="12"/>
      <c r="D108" s="4"/>
      <c r="E108" s="13">
        <v>223001</v>
      </c>
      <c r="F108" s="4" t="s">
        <v>256</v>
      </c>
      <c r="G108" s="88">
        <v>40000</v>
      </c>
      <c r="H108" s="88"/>
      <c r="I108" s="88">
        <f t="shared" si="33"/>
        <v>40000</v>
      </c>
    </row>
    <row r="109" spans="2:9" x14ac:dyDescent="0.2">
      <c r="B109" s="120">
        <f t="shared" si="29"/>
        <v>104</v>
      </c>
      <c r="C109" s="70"/>
      <c r="D109" s="67"/>
      <c r="E109" s="71"/>
      <c r="F109" s="5" t="s">
        <v>53</v>
      </c>
      <c r="G109" s="122">
        <f>G110+G113</f>
        <v>7700</v>
      </c>
      <c r="H109" s="122">
        <f t="shared" ref="H109" si="48">H110+H113</f>
        <v>0</v>
      </c>
      <c r="I109" s="122">
        <f t="shared" si="33"/>
        <v>7700</v>
      </c>
    </row>
    <row r="110" spans="2:9" x14ac:dyDescent="0.2">
      <c r="B110" s="120">
        <f t="shared" si="29"/>
        <v>105</v>
      </c>
      <c r="C110" s="72">
        <v>210</v>
      </c>
      <c r="D110" s="68"/>
      <c r="E110" s="73"/>
      <c r="F110" s="2" t="s">
        <v>251</v>
      </c>
      <c r="G110" s="115">
        <f>G111</f>
        <v>700</v>
      </c>
      <c r="H110" s="115">
        <f t="shared" ref="H110:H111" si="49">H111</f>
        <v>0</v>
      </c>
      <c r="I110" s="115">
        <f t="shared" si="33"/>
        <v>700</v>
      </c>
    </row>
    <row r="111" spans="2:9" x14ac:dyDescent="0.2">
      <c r="B111" s="120">
        <f t="shared" si="29"/>
        <v>106</v>
      </c>
      <c r="C111" s="74"/>
      <c r="D111" s="69">
        <v>212</v>
      </c>
      <c r="E111" s="75"/>
      <c r="F111" s="3" t="s">
        <v>252</v>
      </c>
      <c r="G111" s="87">
        <f>G112</f>
        <v>700</v>
      </c>
      <c r="H111" s="87">
        <f t="shared" si="49"/>
        <v>0</v>
      </c>
      <c r="I111" s="87">
        <f t="shared" si="33"/>
        <v>700</v>
      </c>
    </row>
    <row r="112" spans="2:9" x14ac:dyDescent="0.2">
      <c r="B112" s="120">
        <f t="shared" si="29"/>
        <v>107</v>
      </c>
      <c r="C112" s="12"/>
      <c r="D112" s="4"/>
      <c r="E112" s="13">
        <v>212002</v>
      </c>
      <c r="F112" s="4" t="s">
        <v>285</v>
      </c>
      <c r="G112" s="88">
        <v>700</v>
      </c>
      <c r="H112" s="88"/>
      <c r="I112" s="88">
        <f t="shared" si="33"/>
        <v>700</v>
      </c>
    </row>
    <row r="113" spans="2:9" x14ac:dyDescent="0.2">
      <c r="B113" s="120">
        <f t="shared" si="29"/>
        <v>108</v>
      </c>
      <c r="C113" s="72">
        <v>220</v>
      </c>
      <c r="D113" s="68"/>
      <c r="E113" s="73"/>
      <c r="F113" s="2" t="s">
        <v>226</v>
      </c>
      <c r="G113" s="115">
        <f>G114</f>
        <v>7000</v>
      </c>
      <c r="H113" s="115">
        <f t="shared" ref="H113:H114" si="50">H114</f>
        <v>0</v>
      </c>
      <c r="I113" s="115">
        <f t="shared" si="33"/>
        <v>7000</v>
      </c>
    </row>
    <row r="114" spans="2:9" x14ac:dyDescent="0.2">
      <c r="B114" s="120">
        <f t="shared" si="29"/>
        <v>109</v>
      </c>
      <c r="C114" s="74"/>
      <c r="D114" s="69">
        <v>223</v>
      </c>
      <c r="E114" s="75"/>
      <c r="F114" s="3" t="s">
        <v>255</v>
      </c>
      <c r="G114" s="87">
        <f>G115</f>
        <v>7000</v>
      </c>
      <c r="H114" s="87">
        <f t="shared" si="50"/>
        <v>0</v>
      </c>
      <c r="I114" s="87">
        <f t="shared" si="33"/>
        <v>7000</v>
      </c>
    </row>
    <row r="115" spans="2:9" ht="13.5" thickBot="1" x14ac:dyDescent="0.25">
      <c r="B115" s="120">
        <f t="shared" si="29"/>
        <v>110</v>
      </c>
      <c r="C115" s="12"/>
      <c r="D115" s="150"/>
      <c r="E115" s="13">
        <v>223001</v>
      </c>
      <c r="F115" s="4" t="s">
        <v>256</v>
      </c>
      <c r="G115" s="88">
        <v>7000</v>
      </c>
      <c r="H115" s="88"/>
      <c r="I115" s="88">
        <f t="shared" si="33"/>
        <v>7000</v>
      </c>
    </row>
    <row r="116" spans="2:9" ht="15.75" thickBot="1" x14ac:dyDescent="0.3">
      <c r="B116" s="120">
        <f t="shared" si="29"/>
        <v>111</v>
      </c>
      <c r="C116" s="76">
        <v>3</v>
      </c>
      <c r="D116" s="163"/>
      <c r="E116" s="77"/>
      <c r="F116" s="9" t="s">
        <v>14</v>
      </c>
      <c r="G116" s="17">
        <f>G117</f>
        <v>18000</v>
      </c>
      <c r="H116" s="17">
        <f t="shared" ref="H116:H118" si="51">H117</f>
        <v>0</v>
      </c>
      <c r="I116" s="17">
        <f t="shared" si="33"/>
        <v>18000</v>
      </c>
    </row>
    <row r="117" spans="2:9" x14ac:dyDescent="0.2">
      <c r="B117" s="120">
        <f t="shared" si="29"/>
        <v>112</v>
      </c>
      <c r="C117" s="70">
        <v>220</v>
      </c>
      <c r="D117" s="162"/>
      <c r="E117" s="71"/>
      <c r="F117" s="5" t="s">
        <v>226</v>
      </c>
      <c r="G117" s="122">
        <f>G118</f>
        <v>18000</v>
      </c>
      <c r="H117" s="122">
        <f t="shared" si="51"/>
        <v>0</v>
      </c>
      <c r="I117" s="122">
        <f t="shared" si="33"/>
        <v>18000</v>
      </c>
    </row>
    <row r="118" spans="2:9" x14ac:dyDescent="0.2">
      <c r="B118" s="120">
        <f t="shared" si="29"/>
        <v>113</v>
      </c>
      <c r="C118" s="72"/>
      <c r="D118" s="68">
        <v>223</v>
      </c>
      <c r="E118" s="73"/>
      <c r="F118" s="2" t="s">
        <v>255</v>
      </c>
      <c r="G118" s="115">
        <f>G119</f>
        <v>18000</v>
      </c>
      <c r="H118" s="115">
        <f t="shared" si="51"/>
        <v>0</v>
      </c>
      <c r="I118" s="115">
        <f t="shared" si="33"/>
        <v>18000</v>
      </c>
    </row>
    <row r="119" spans="2:9" ht="13.5" thickBot="1" x14ac:dyDescent="0.25">
      <c r="B119" s="120">
        <f t="shared" si="29"/>
        <v>114</v>
      </c>
      <c r="C119" s="74"/>
      <c r="D119" s="69"/>
      <c r="E119" s="75">
        <v>223002</v>
      </c>
      <c r="F119" s="3" t="s">
        <v>76</v>
      </c>
      <c r="G119" s="87">
        <v>18000</v>
      </c>
      <c r="H119" s="87"/>
      <c r="I119" s="87">
        <f t="shared" si="33"/>
        <v>18000</v>
      </c>
    </row>
    <row r="120" spans="2:9" ht="15.75" thickBot="1" x14ac:dyDescent="0.3">
      <c r="B120" s="120">
        <f t="shared" si="29"/>
        <v>115</v>
      </c>
      <c r="C120" s="76">
        <v>4</v>
      </c>
      <c r="D120" s="163"/>
      <c r="E120" s="77"/>
      <c r="F120" s="9" t="s">
        <v>90</v>
      </c>
      <c r="G120" s="17">
        <f>G203+G199+G195+G191+G187+G182+G177+G172+G167+G161+G156+G151+G146+G141+G136+G131+G126+G121</f>
        <v>396100</v>
      </c>
      <c r="H120" s="17">
        <f t="shared" ref="H120" si="52">H203+H199+H195+H191+H187+H182+H177+H172+H167+H161+H156+H151+H146+H141+H136+H131+H126+H121</f>
        <v>0</v>
      </c>
      <c r="I120" s="17">
        <f t="shared" si="33"/>
        <v>396100</v>
      </c>
    </row>
    <row r="121" spans="2:9" x14ac:dyDescent="0.2">
      <c r="B121" s="120">
        <f t="shared" si="29"/>
        <v>116</v>
      </c>
      <c r="C121" s="70"/>
      <c r="D121" s="162"/>
      <c r="E121" s="71"/>
      <c r="F121" s="5" t="s">
        <v>72</v>
      </c>
      <c r="G121" s="122">
        <f>G122</f>
        <v>21130</v>
      </c>
      <c r="H121" s="122">
        <f t="shared" ref="H121:H122" si="53">H122</f>
        <v>0</v>
      </c>
      <c r="I121" s="122">
        <f t="shared" si="33"/>
        <v>21130</v>
      </c>
    </row>
    <row r="122" spans="2:9" x14ac:dyDescent="0.2">
      <c r="B122" s="120">
        <f t="shared" si="29"/>
        <v>117</v>
      </c>
      <c r="C122" s="72">
        <v>220</v>
      </c>
      <c r="D122" s="68"/>
      <c r="E122" s="73"/>
      <c r="F122" s="2" t="s">
        <v>226</v>
      </c>
      <c r="G122" s="115">
        <f>G123</f>
        <v>21130</v>
      </c>
      <c r="H122" s="115">
        <f t="shared" si="53"/>
        <v>0</v>
      </c>
      <c r="I122" s="115">
        <f t="shared" si="33"/>
        <v>21130</v>
      </c>
    </row>
    <row r="123" spans="2:9" x14ac:dyDescent="0.2">
      <c r="B123" s="120">
        <f t="shared" si="29"/>
        <v>118</v>
      </c>
      <c r="C123" s="74"/>
      <c r="D123" s="69">
        <v>223</v>
      </c>
      <c r="E123" s="75"/>
      <c r="F123" s="3" t="s">
        <v>255</v>
      </c>
      <c r="G123" s="87">
        <f>G125+G124</f>
        <v>21130</v>
      </c>
      <c r="H123" s="87">
        <f t="shared" ref="H123" si="54">H125+H124</f>
        <v>0</v>
      </c>
      <c r="I123" s="87">
        <f t="shared" si="33"/>
        <v>21130</v>
      </c>
    </row>
    <row r="124" spans="2:9" x14ac:dyDescent="0.2">
      <c r="B124" s="120">
        <f t="shared" si="29"/>
        <v>119</v>
      </c>
      <c r="C124" s="12"/>
      <c r="D124" s="4"/>
      <c r="E124" s="13">
        <v>223002</v>
      </c>
      <c r="F124" s="4" t="s">
        <v>76</v>
      </c>
      <c r="G124" s="88">
        <v>7470</v>
      </c>
      <c r="H124" s="88"/>
      <c r="I124" s="88">
        <f t="shared" si="33"/>
        <v>7470</v>
      </c>
    </row>
    <row r="125" spans="2:9" x14ac:dyDescent="0.2">
      <c r="B125" s="120">
        <f t="shared" si="29"/>
        <v>120</v>
      </c>
      <c r="C125" s="12"/>
      <c r="D125" s="4"/>
      <c r="E125" s="13">
        <v>223003</v>
      </c>
      <c r="F125" s="46" t="s">
        <v>77</v>
      </c>
      <c r="G125" s="88">
        <v>13660</v>
      </c>
      <c r="H125" s="88"/>
      <c r="I125" s="88">
        <f t="shared" si="33"/>
        <v>13660</v>
      </c>
    </row>
    <row r="126" spans="2:9" x14ac:dyDescent="0.2">
      <c r="B126" s="120">
        <f t="shared" si="29"/>
        <v>121</v>
      </c>
      <c r="C126" s="70"/>
      <c r="D126" s="67"/>
      <c r="E126" s="71"/>
      <c r="F126" s="5" t="s">
        <v>241</v>
      </c>
      <c r="G126" s="122">
        <f>G127</f>
        <v>33900</v>
      </c>
      <c r="H126" s="122">
        <f t="shared" ref="H126:H127" si="55">H127</f>
        <v>0</v>
      </c>
      <c r="I126" s="122">
        <f t="shared" si="33"/>
        <v>33900</v>
      </c>
    </row>
    <row r="127" spans="2:9" x14ac:dyDescent="0.2">
      <c r="B127" s="120">
        <f t="shared" si="29"/>
        <v>122</v>
      </c>
      <c r="C127" s="72">
        <v>220</v>
      </c>
      <c r="D127" s="68"/>
      <c r="E127" s="73"/>
      <c r="F127" s="2" t="s">
        <v>226</v>
      </c>
      <c r="G127" s="115">
        <f>G128</f>
        <v>33900</v>
      </c>
      <c r="H127" s="115">
        <f t="shared" si="55"/>
        <v>0</v>
      </c>
      <c r="I127" s="115">
        <f t="shared" si="33"/>
        <v>33900</v>
      </c>
    </row>
    <row r="128" spans="2:9" x14ac:dyDescent="0.2">
      <c r="B128" s="120">
        <f t="shared" si="29"/>
        <v>123</v>
      </c>
      <c r="C128" s="74"/>
      <c r="D128" s="69">
        <v>223</v>
      </c>
      <c r="E128" s="75"/>
      <c r="F128" s="3" t="s">
        <v>255</v>
      </c>
      <c r="G128" s="87">
        <f>G130+G129</f>
        <v>33900</v>
      </c>
      <c r="H128" s="87">
        <f t="shared" ref="H128" si="56">H130+H129</f>
        <v>0</v>
      </c>
      <c r="I128" s="87">
        <f t="shared" si="33"/>
        <v>33900</v>
      </c>
    </row>
    <row r="129" spans="2:9" x14ac:dyDescent="0.2">
      <c r="B129" s="120">
        <f t="shared" si="29"/>
        <v>124</v>
      </c>
      <c r="C129" s="12"/>
      <c r="D129" s="4"/>
      <c r="E129" s="13">
        <v>223002</v>
      </c>
      <c r="F129" s="4" t="s">
        <v>76</v>
      </c>
      <c r="G129" s="88">
        <v>10900</v>
      </c>
      <c r="H129" s="88"/>
      <c r="I129" s="88">
        <f t="shared" si="33"/>
        <v>10900</v>
      </c>
    </row>
    <row r="130" spans="2:9" x14ac:dyDescent="0.2">
      <c r="B130" s="120">
        <f t="shared" si="29"/>
        <v>125</v>
      </c>
      <c r="C130" s="12"/>
      <c r="D130" s="4"/>
      <c r="E130" s="13">
        <v>223003</v>
      </c>
      <c r="F130" s="46" t="s">
        <v>77</v>
      </c>
      <c r="G130" s="88">
        <v>23000</v>
      </c>
      <c r="H130" s="88"/>
      <c r="I130" s="88">
        <f t="shared" si="33"/>
        <v>23000</v>
      </c>
    </row>
    <row r="131" spans="2:9" x14ac:dyDescent="0.2">
      <c r="B131" s="120">
        <f>B130+1</f>
        <v>126</v>
      </c>
      <c r="C131" s="70"/>
      <c r="D131" s="67"/>
      <c r="E131" s="71"/>
      <c r="F131" s="5" t="s">
        <v>71</v>
      </c>
      <c r="G131" s="122">
        <f>G132</f>
        <v>20100</v>
      </c>
      <c r="H131" s="122">
        <f t="shared" ref="H131:H132" si="57">H132</f>
        <v>0</v>
      </c>
      <c r="I131" s="122">
        <f t="shared" si="33"/>
        <v>20100</v>
      </c>
    </row>
    <row r="132" spans="2:9" x14ac:dyDescent="0.2">
      <c r="B132" s="120">
        <f>B131+1</f>
        <v>127</v>
      </c>
      <c r="C132" s="72">
        <v>220</v>
      </c>
      <c r="D132" s="68"/>
      <c r="E132" s="73"/>
      <c r="F132" s="2" t="s">
        <v>226</v>
      </c>
      <c r="G132" s="115">
        <f>G133</f>
        <v>20100</v>
      </c>
      <c r="H132" s="115">
        <f t="shared" si="57"/>
        <v>0</v>
      </c>
      <c r="I132" s="115">
        <f t="shared" si="33"/>
        <v>20100</v>
      </c>
    </row>
    <row r="133" spans="2:9" x14ac:dyDescent="0.2">
      <c r="B133" s="120">
        <f t="shared" ref="B133:B162" si="58">B132+1</f>
        <v>128</v>
      </c>
      <c r="C133" s="74"/>
      <c r="D133" s="69">
        <v>223</v>
      </c>
      <c r="E133" s="75"/>
      <c r="F133" s="3" t="s">
        <v>255</v>
      </c>
      <c r="G133" s="87">
        <f>G135+G134</f>
        <v>20100</v>
      </c>
      <c r="H133" s="87">
        <f t="shared" ref="H133" si="59">H135+H134</f>
        <v>0</v>
      </c>
      <c r="I133" s="87">
        <f t="shared" si="33"/>
        <v>20100</v>
      </c>
    </row>
    <row r="134" spans="2:9" x14ac:dyDescent="0.2">
      <c r="B134" s="120">
        <f t="shared" si="58"/>
        <v>129</v>
      </c>
      <c r="C134" s="12"/>
      <c r="D134" s="4"/>
      <c r="E134" s="13">
        <v>223002</v>
      </c>
      <c r="F134" s="4" t="s">
        <v>76</v>
      </c>
      <c r="G134" s="88">
        <v>6740</v>
      </c>
      <c r="H134" s="88"/>
      <c r="I134" s="88">
        <f t="shared" si="33"/>
        <v>6740</v>
      </c>
    </row>
    <row r="135" spans="2:9" x14ac:dyDescent="0.2">
      <c r="B135" s="120">
        <f t="shared" si="58"/>
        <v>130</v>
      </c>
      <c r="C135" s="12"/>
      <c r="D135" s="4"/>
      <c r="E135" s="13">
        <v>223003</v>
      </c>
      <c r="F135" s="46" t="s">
        <v>77</v>
      </c>
      <c r="G135" s="88">
        <v>13360</v>
      </c>
      <c r="H135" s="88"/>
      <c r="I135" s="88">
        <f t="shared" ref="I135:I198" si="60">G135+H135</f>
        <v>13360</v>
      </c>
    </row>
    <row r="136" spans="2:9" x14ac:dyDescent="0.2">
      <c r="B136" s="120">
        <f t="shared" si="58"/>
        <v>131</v>
      </c>
      <c r="C136" s="70"/>
      <c r="D136" s="67"/>
      <c r="E136" s="71"/>
      <c r="F136" s="5" t="s">
        <v>105</v>
      </c>
      <c r="G136" s="122">
        <f>G137</f>
        <v>23660</v>
      </c>
      <c r="H136" s="122">
        <f t="shared" ref="H136:H137" si="61">H137</f>
        <v>0</v>
      </c>
      <c r="I136" s="122">
        <f t="shared" si="60"/>
        <v>23660</v>
      </c>
    </row>
    <row r="137" spans="2:9" x14ac:dyDescent="0.2">
      <c r="B137" s="120">
        <f t="shared" si="58"/>
        <v>132</v>
      </c>
      <c r="C137" s="72">
        <v>220</v>
      </c>
      <c r="D137" s="68"/>
      <c r="E137" s="73"/>
      <c r="F137" s="2" t="s">
        <v>226</v>
      </c>
      <c r="G137" s="115">
        <f>G138</f>
        <v>23660</v>
      </c>
      <c r="H137" s="115">
        <f t="shared" si="61"/>
        <v>0</v>
      </c>
      <c r="I137" s="115">
        <f t="shared" si="60"/>
        <v>23660</v>
      </c>
    </row>
    <row r="138" spans="2:9" x14ac:dyDescent="0.2">
      <c r="B138" s="120">
        <f t="shared" si="58"/>
        <v>133</v>
      </c>
      <c r="C138" s="74"/>
      <c r="D138" s="69">
        <v>223</v>
      </c>
      <c r="E138" s="75"/>
      <c r="F138" s="3" t="s">
        <v>255</v>
      </c>
      <c r="G138" s="87">
        <f>G140+G139</f>
        <v>23660</v>
      </c>
      <c r="H138" s="87">
        <f t="shared" ref="H138" si="62">H140+H139</f>
        <v>0</v>
      </c>
      <c r="I138" s="87">
        <f t="shared" si="60"/>
        <v>23660</v>
      </c>
    </row>
    <row r="139" spans="2:9" x14ac:dyDescent="0.2">
      <c r="B139" s="120">
        <f t="shared" si="58"/>
        <v>134</v>
      </c>
      <c r="C139" s="12"/>
      <c r="D139" s="4"/>
      <c r="E139" s="13">
        <v>223002</v>
      </c>
      <c r="F139" s="4" t="s">
        <v>76</v>
      </c>
      <c r="G139" s="88">
        <v>7745</v>
      </c>
      <c r="H139" s="88"/>
      <c r="I139" s="88">
        <f t="shared" si="60"/>
        <v>7745</v>
      </c>
    </row>
    <row r="140" spans="2:9" x14ac:dyDescent="0.2">
      <c r="B140" s="120">
        <f t="shared" si="58"/>
        <v>135</v>
      </c>
      <c r="C140" s="12"/>
      <c r="D140" s="4"/>
      <c r="E140" s="13">
        <v>223003</v>
      </c>
      <c r="F140" s="46" t="s">
        <v>77</v>
      </c>
      <c r="G140" s="88">
        <v>15915</v>
      </c>
      <c r="H140" s="88"/>
      <c r="I140" s="88">
        <f t="shared" si="60"/>
        <v>15915</v>
      </c>
    </row>
    <row r="141" spans="2:9" x14ac:dyDescent="0.2">
      <c r="B141" s="120">
        <f t="shared" si="58"/>
        <v>136</v>
      </c>
      <c r="C141" s="70"/>
      <c r="D141" s="67"/>
      <c r="E141" s="71"/>
      <c r="F141" s="5" t="s">
        <v>108</v>
      </c>
      <c r="G141" s="122">
        <f>G142</f>
        <v>24160</v>
      </c>
      <c r="H141" s="122">
        <f t="shared" ref="H141:H142" si="63">H142</f>
        <v>0</v>
      </c>
      <c r="I141" s="122">
        <f t="shared" si="60"/>
        <v>24160</v>
      </c>
    </row>
    <row r="142" spans="2:9" x14ac:dyDescent="0.2">
      <c r="B142" s="120">
        <f t="shared" si="58"/>
        <v>137</v>
      </c>
      <c r="C142" s="72">
        <v>220</v>
      </c>
      <c r="D142" s="68"/>
      <c r="E142" s="73"/>
      <c r="F142" s="2" t="s">
        <v>226</v>
      </c>
      <c r="G142" s="115">
        <f>G143</f>
        <v>24160</v>
      </c>
      <c r="H142" s="115">
        <f t="shared" si="63"/>
        <v>0</v>
      </c>
      <c r="I142" s="115">
        <f t="shared" si="60"/>
        <v>24160</v>
      </c>
    </row>
    <row r="143" spans="2:9" x14ac:dyDescent="0.2">
      <c r="B143" s="120">
        <f t="shared" si="58"/>
        <v>138</v>
      </c>
      <c r="C143" s="74"/>
      <c r="D143" s="69">
        <v>223</v>
      </c>
      <c r="E143" s="75"/>
      <c r="F143" s="3" t="s">
        <v>255</v>
      </c>
      <c r="G143" s="87">
        <f>G145+G144</f>
        <v>24160</v>
      </c>
      <c r="H143" s="87">
        <f t="shared" ref="H143" si="64">H145+H144</f>
        <v>0</v>
      </c>
      <c r="I143" s="87">
        <f t="shared" si="60"/>
        <v>24160</v>
      </c>
    </row>
    <row r="144" spans="2:9" x14ac:dyDescent="0.2">
      <c r="B144" s="120">
        <f t="shared" si="58"/>
        <v>139</v>
      </c>
      <c r="C144" s="12"/>
      <c r="D144" s="4"/>
      <c r="E144" s="13">
        <v>223002</v>
      </c>
      <c r="F144" s="4" t="s">
        <v>76</v>
      </c>
      <c r="G144" s="88">
        <v>7030</v>
      </c>
      <c r="H144" s="88"/>
      <c r="I144" s="88">
        <f t="shared" si="60"/>
        <v>7030</v>
      </c>
    </row>
    <row r="145" spans="2:9" x14ac:dyDescent="0.2">
      <c r="B145" s="120">
        <f t="shared" si="58"/>
        <v>140</v>
      </c>
      <c r="C145" s="12"/>
      <c r="D145" s="4"/>
      <c r="E145" s="13">
        <v>223003</v>
      </c>
      <c r="F145" s="46" t="s">
        <v>77</v>
      </c>
      <c r="G145" s="88">
        <v>17130</v>
      </c>
      <c r="H145" s="88"/>
      <c r="I145" s="88">
        <f t="shared" si="60"/>
        <v>17130</v>
      </c>
    </row>
    <row r="146" spans="2:9" x14ac:dyDescent="0.2">
      <c r="B146" s="120">
        <f t="shared" si="58"/>
        <v>141</v>
      </c>
      <c r="C146" s="70"/>
      <c r="D146" s="67"/>
      <c r="E146" s="71"/>
      <c r="F146" s="5" t="s">
        <v>92</v>
      </c>
      <c r="G146" s="122">
        <f>G147</f>
        <v>38850</v>
      </c>
      <c r="H146" s="122">
        <f t="shared" ref="H146:H147" si="65">H147</f>
        <v>0</v>
      </c>
      <c r="I146" s="122">
        <f t="shared" si="60"/>
        <v>38850</v>
      </c>
    </row>
    <row r="147" spans="2:9" x14ac:dyDescent="0.2">
      <c r="B147" s="120">
        <f t="shared" si="58"/>
        <v>142</v>
      </c>
      <c r="C147" s="72">
        <v>220</v>
      </c>
      <c r="D147" s="68"/>
      <c r="E147" s="73"/>
      <c r="F147" s="2" t="s">
        <v>226</v>
      </c>
      <c r="G147" s="115">
        <f>G148</f>
        <v>38850</v>
      </c>
      <c r="H147" s="115">
        <f t="shared" si="65"/>
        <v>0</v>
      </c>
      <c r="I147" s="115">
        <f t="shared" si="60"/>
        <v>38850</v>
      </c>
    </row>
    <row r="148" spans="2:9" x14ac:dyDescent="0.2">
      <c r="B148" s="120">
        <f t="shared" si="58"/>
        <v>143</v>
      </c>
      <c r="C148" s="74"/>
      <c r="D148" s="69">
        <v>223</v>
      </c>
      <c r="E148" s="75"/>
      <c r="F148" s="3" t="s">
        <v>255</v>
      </c>
      <c r="G148" s="87">
        <f>G150+G149</f>
        <v>38850</v>
      </c>
      <c r="H148" s="87">
        <f t="shared" ref="H148" si="66">H150+H149</f>
        <v>0</v>
      </c>
      <c r="I148" s="87">
        <f t="shared" si="60"/>
        <v>38850</v>
      </c>
    </row>
    <row r="149" spans="2:9" x14ac:dyDescent="0.2">
      <c r="B149" s="120">
        <f t="shared" si="58"/>
        <v>144</v>
      </c>
      <c r="C149" s="12"/>
      <c r="D149" s="4"/>
      <c r="E149" s="13">
        <v>223002</v>
      </c>
      <c r="F149" s="4" t="s">
        <v>76</v>
      </c>
      <c r="G149" s="88">
        <v>10900</v>
      </c>
      <c r="H149" s="88"/>
      <c r="I149" s="88">
        <f t="shared" si="60"/>
        <v>10900</v>
      </c>
    </row>
    <row r="150" spans="2:9" x14ac:dyDescent="0.2">
      <c r="B150" s="120">
        <f t="shared" si="58"/>
        <v>145</v>
      </c>
      <c r="C150" s="12"/>
      <c r="D150" s="4"/>
      <c r="E150" s="13">
        <v>223003</v>
      </c>
      <c r="F150" s="46" t="s">
        <v>77</v>
      </c>
      <c r="G150" s="88">
        <v>27950</v>
      </c>
      <c r="H150" s="88"/>
      <c r="I150" s="88">
        <f t="shared" si="60"/>
        <v>27950</v>
      </c>
    </row>
    <row r="151" spans="2:9" x14ac:dyDescent="0.2">
      <c r="B151" s="120">
        <f t="shared" si="58"/>
        <v>146</v>
      </c>
      <c r="C151" s="70"/>
      <c r="D151" s="67"/>
      <c r="E151" s="71"/>
      <c r="F151" s="5" t="s">
        <v>89</v>
      </c>
      <c r="G151" s="122">
        <f>G152</f>
        <v>40175</v>
      </c>
      <c r="H151" s="122">
        <f t="shared" ref="H151:H152" si="67">H152</f>
        <v>0</v>
      </c>
      <c r="I151" s="122">
        <f t="shared" si="60"/>
        <v>40175</v>
      </c>
    </row>
    <row r="152" spans="2:9" x14ac:dyDescent="0.2">
      <c r="B152" s="120">
        <f t="shared" si="58"/>
        <v>147</v>
      </c>
      <c r="C152" s="72">
        <v>220</v>
      </c>
      <c r="D152" s="68"/>
      <c r="E152" s="73"/>
      <c r="F152" s="2" t="s">
        <v>226</v>
      </c>
      <c r="G152" s="115">
        <f>G153</f>
        <v>40175</v>
      </c>
      <c r="H152" s="115">
        <f t="shared" si="67"/>
        <v>0</v>
      </c>
      <c r="I152" s="115">
        <f t="shared" si="60"/>
        <v>40175</v>
      </c>
    </row>
    <row r="153" spans="2:9" x14ac:dyDescent="0.2">
      <c r="B153" s="120">
        <f t="shared" si="58"/>
        <v>148</v>
      </c>
      <c r="C153" s="74"/>
      <c r="D153" s="69">
        <v>223</v>
      </c>
      <c r="E153" s="75"/>
      <c r="F153" s="3" t="s">
        <v>255</v>
      </c>
      <c r="G153" s="87">
        <f>G155+G154</f>
        <v>40175</v>
      </c>
      <c r="H153" s="87">
        <f t="shared" ref="H153" si="68">H155+H154</f>
        <v>0</v>
      </c>
      <c r="I153" s="87">
        <f t="shared" si="60"/>
        <v>40175</v>
      </c>
    </row>
    <row r="154" spans="2:9" x14ac:dyDescent="0.2">
      <c r="B154" s="120">
        <f t="shared" si="58"/>
        <v>149</v>
      </c>
      <c r="C154" s="12"/>
      <c r="D154" s="4"/>
      <c r="E154" s="13">
        <v>223002</v>
      </c>
      <c r="F154" s="4" t="s">
        <v>76</v>
      </c>
      <c r="G154" s="88">
        <v>13340</v>
      </c>
      <c r="H154" s="88"/>
      <c r="I154" s="88">
        <f t="shared" si="60"/>
        <v>13340</v>
      </c>
    </row>
    <row r="155" spans="2:9" x14ac:dyDescent="0.2">
      <c r="B155" s="120">
        <f t="shared" si="58"/>
        <v>150</v>
      </c>
      <c r="C155" s="12"/>
      <c r="D155" s="4"/>
      <c r="E155" s="13">
        <v>223003</v>
      </c>
      <c r="F155" s="46" t="s">
        <v>77</v>
      </c>
      <c r="G155" s="88">
        <v>26835</v>
      </c>
      <c r="H155" s="88"/>
      <c r="I155" s="88">
        <f t="shared" si="60"/>
        <v>26835</v>
      </c>
    </row>
    <row r="156" spans="2:9" x14ac:dyDescent="0.2">
      <c r="B156" s="120">
        <f t="shared" si="58"/>
        <v>151</v>
      </c>
      <c r="C156" s="70"/>
      <c r="D156" s="67"/>
      <c r="E156" s="71"/>
      <c r="F156" s="5" t="s">
        <v>112</v>
      </c>
      <c r="G156" s="122">
        <f>G157</f>
        <v>22235</v>
      </c>
      <c r="H156" s="122">
        <f t="shared" ref="H156:H157" si="69">H157</f>
        <v>0</v>
      </c>
      <c r="I156" s="122">
        <f t="shared" si="60"/>
        <v>22235</v>
      </c>
    </row>
    <row r="157" spans="2:9" x14ac:dyDescent="0.2">
      <c r="B157" s="120">
        <f t="shared" si="58"/>
        <v>152</v>
      </c>
      <c r="C157" s="72">
        <v>220</v>
      </c>
      <c r="D157" s="68"/>
      <c r="E157" s="73"/>
      <c r="F157" s="2" t="s">
        <v>226</v>
      </c>
      <c r="G157" s="115">
        <f>G158</f>
        <v>22235</v>
      </c>
      <c r="H157" s="115">
        <f t="shared" si="69"/>
        <v>0</v>
      </c>
      <c r="I157" s="115">
        <f t="shared" si="60"/>
        <v>22235</v>
      </c>
    </row>
    <row r="158" spans="2:9" x14ac:dyDescent="0.2">
      <c r="B158" s="120">
        <f t="shared" si="58"/>
        <v>153</v>
      </c>
      <c r="C158" s="74"/>
      <c r="D158" s="69">
        <v>223</v>
      </c>
      <c r="E158" s="75"/>
      <c r="F158" s="3" t="s">
        <v>255</v>
      </c>
      <c r="G158" s="87">
        <f>G160+G159</f>
        <v>22235</v>
      </c>
      <c r="H158" s="87">
        <f t="shared" ref="H158" si="70">H160+H159</f>
        <v>0</v>
      </c>
      <c r="I158" s="87">
        <f t="shared" si="60"/>
        <v>22235</v>
      </c>
    </row>
    <row r="159" spans="2:9" x14ac:dyDescent="0.2">
      <c r="B159" s="120">
        <f t="shared" si="58"/>
        <v>154</v>
      </c>
      <c r="C159" s="12"/>
      <c r="D159" s="4"/>
      <c r="E159" s="13">
        <v>223002</v>
      </c>
      <c r="F159" s="4" t="s">
        <v>76</v>
      </c>
      <c r="G159" s="88">
        <v>7030</v>
      </c>
      <c r="H159" s="88"/>
      <c r="I159" s="88">
        <f t="shared" si="60"/>
        <v>7030</v>
      </c>
    </row>
    <row r="160" spans="2:9" x14ac:dyDescent="0.2">
      <c r="B160" s="120">
        <f t="shared" si="58"/>
        <v>155</v>
      </c>
      <c r="C160" s="12"/>
      <c r="D160" s="4"/>
      <c r="E160" s="13">
        <v>223003</v>
      </c>
      <c r="F160" s="46" t="s">
        <v>77</v>
      </c>
      <c r="G160" s="88">
        <v>15205</v>
      </c>
      <c r="H160" s="88"/>
      <c r="I160" s="88">
        <f t="shared" si="60"/>
        <v>15205</v>
      </c>
    </row>
    <row r="161" spans="2:9" x14ac:dyDescent="0.2">
      <c r="B161" s="120">
        <f t="shared" si="58"/>
        <v>156</v>
      </c>
      <c r="C161" s="70"/>
      <c r="D161" s="67"/>
      <c r="E161" s="71"/>
      <c r="F161" s="5" t="s">
        <v>67</v>
      </c>
      <c r="G161" s="122">
        <f>G162</f>
        <v>29775</v>
      </c>
      <c r="H161" s="122">
        <f t="shared" ref="H161:H162" si="71">H162</f>
        <v>0</v>
      </c>
      <c r="I161" s="122">
        <f t="shared" si="60"/>
        <v>29775</v>
      </c>
    </row>
    <row r="162" spans="2:9" x14ac:dyDescent="0.2">
      <c r="B162" s="120">
        <f t="shared" si="58"/>
        <v>157</v>
      </c>
      <c r="C162" s="72">
        <v>220</v>
      </c>
      <c r="D162" s="68"/>
      <c r="E162" s="73"/>
      <c r="F162" s="2" t="s">
        <v>226</v>
      </c>
      <c r="G162" s="115">
        <f>G163</f>
        <v>29775</v>
      </c>
      <c r="H162" s="115">
        <f t="shared" si="71"/>
        <v>0</v>
      </c>
      <c r="I162" s="115">
        <f t="shared" si="60"/>
        <v>29775</v>
      </c>
    </row>
    <row r="163" spans="2:9" x14ac:dyDescent="0.2">
      <c r="B163" s="120">
        <f t="shared" ref="B163:B226" si="72">B162+1</f>
        <v>158</v>
      </c>
      <c r="C163" s="74"/>
      <c r="D163" s="69">
        <v>223</v>
      </c>
      <c r="E163" s="75"/>
      <c r="F163" s="3" t="s">
        <v>255</v>
      </c>
      <c r="G163" s="87">
        <f>G166+G165+G164</f>
        <v>29775</v>
      </c>
      <c r="H163" s="87">
        <f t="shared" ref="H163" si="73">H166+H165+H164</f>
        <v>0</v>
      </c>
      <c r="I163" s="87">
        <f t="shared" si="60"/>
        <v>29775</v>
      </c>
    </row>
    <row r="164" spans="2:9" x14ac:dyDescent="0.2">
      <c r="B164" s="120">
        <f t="shared" si="72"/>
        <v>159</v>
      </c>
      <c r="C164" s="12"/>
      <c r="D164" s="4"/>
      <c r="E164" s="13">
        <v>223001</v>
      </c>
      <c r="F164" s="4" t="s">
        <v>256</v>
      </c>
      <c r="G164" s="88">
        <v>350</v>
      </c>
      <c r="H164" s="88"/>
      <c r="I164" s="88">
        <f t="shared" si="60"/>
        <v>350</v>
      </c>
    </row>
    <row r="165" spans="2:9" x14ac:dyDescent="0.2">
      <c r="B165" s="120">
        <f t="shared" si="72"/>
        <v>160</v>
      </c>
      <c r="C165" s="12"/>
      <c r="D165" s="4"/>
      <c r="E165" s="13">
        <v>223002</v>
      </c>
      <c r="F165" s="4" t="s">
        <v>76</v>
      </c>
      <c r="G165" s="88">
        <v>9030</v>
      </c>
      <c r="H165" s="88"/>
      <c r="I165" s="88">
        <f t="shared" si="60"/>
        <v>9030</v>
      </c>
    </row>
    <row r="166" spans="2:9" x14ac:dyDescent="0.2">
      <c r="B166" s="120">
        <f t="shared" si="72"/>
        <v>161</v>
      </c>
      <c r="C166" s="12"/>
      <c r="D166" s="4"/>
      <c r="E166" s="13">
        <v>223003</v>
      </c>
      <c r="F166" s="46" t="s">
        <v>77</v>
      </c>
      <c r="G166" s="88">
        <v>20395</v>
      </c>
      <c r="H166" s="88"/>
      <c r="I166" s="88">
        <f t="shared" si="60"/>
        <v>20395</v>
      </c>
    </row>
    <row r="167" spans="2:9" x14ac:dyDescent="0.2">
      <c r="B167" s="120">
        <f t="shared" si="72"/>
        <v>162</v>
      </c>
      <c r="C167" s="70"/>
      <c r="D167" s="67"/>
      <c r="E167" s="71"/>
      <c r="F167" s="5" t="s">
        <v>73</v>
      </c>
      <c r="G167" s="122">
        <f>G168</f>
        <v>37730</v>
      </c>
      <c r="H167" s="122">
        <f t="shared" ref="H167:H168" si="74">H168</f>
        <v>0</v>
      </c>
      <c r="I167" s="122">
        <f t="shared" si="60"/>
        <v>37730</v>
      </c>
    </row>
    <row r="168" spans="2:9" x14ac:dyDescent="0.2">
      <c r="B168" s="120">
        <f t="shared" si="72"/>
        <v>163</v>
      </c>
      <c r="C168" s="72">
        <v>220</v>
      </c>
      <c r="D168" s="68"/>
      <c r="E168" s="73"/>
      <c r="F168" s="2" t="s">
        <v>226</v>
      </c>
      <c r="G168" s="115">
        <f>G169</f>
        <v>37730</v>
      </c>
      <c r="H168" s="115">
        <f t="shared" si="74"/>
        <v>0</v>
      </c>
      <c r="I168" s="115">
        <f t="shared" si="60"/>
        <v>37730</v>
      </c>
    </row>
    <row r="169" spans="2:9" x14ac:dyDescent="0.2">
      <c r="B169" s="120">
        <f t="shared" si="72"/>
        <v>164</v>
      </c>
      <c r="C169" s="74"/>
      <c r="D169" s="69">
        <v>223</v>
      </c>
      <c r="E169" s="75"/>
      <c r="F169" s="3" t="s">
        <v>255</v>
      </c>
      <c r="G169" s="87">
        <f>G171+G170</f>
        <v>37730</v>
      </c>
      <c r="H169" s="87">
        <f t="shared" ref="H169" si="75">H171+H170</f>
        <v>0</v>
      </c>
      <c r="I169" s="87">
        <f t="shared" si="60"/>
        <v>37730</v>
      </c>
    </row>
    <row r="170" spans="2:9" x14ac:dyDescent="0.2">
      <c r="B170" s="120">
        <f t="shared" si="72"/>
        <v>165</v>
      </c>
      <c r="C170" s="12"/>
      <c r="D170" s="4"/>
      <c r="E170" s="13">
        <v>223002</v>
      </c>
      <c r="F170" s="4" t="s">
        <v>76</v>
      </c>
      <c r="G170" s="88">
        <v>12620</v>
      </c>
      <c r="H170" s="88"/>
      <c r="I170" s="88">
        <f t="shared" si="60"/>
        <v>12620</v>
      </c>
    </row>
    <row r="171" spans="2:9" x14ac:dyDescent="0.2">
      <c r="B171" s="120">
        <f t="shared" si="72"/>
        <v>166</v>
      </c>
      <c r="C171" s="12"/>
      <c r="D171" s="4"/>
      <c r="E171" s="13">
        <v>223003</v>
      </c>
      <c r="F171" s="46" t="s">
        <v>77</v>
      </c>
      <c r="G171" s="88">
        <v>25110</v>
      </c>
      <c r="H171" s="88"/>
      <c r="I171" s="88">
        <f t="shared" si="60"/>
        <v>25110</v>
      </c>
    </row>
    <row r="172" spans="2:9" x14ac:dyDescent="0.2">
      <c r="B172" s="120">
        <f t="shared" si="72"/>
        <v>167</v>
      </c>
      <c r="C172" s="70"/>
      <c r="D172" s="67"/>
      <c r="E172" s="71"/>
      <c r="F172" s="5" t="s">
        <v>74</v>
      </c>
      <c r="G172" s="122">
        <f>G173</f>
        <v>21240</v>
      </c>
      <c r="H172" s="122">
        <f t="shared" ref="H172:H173" si="76">H173</f>
        <v>0</v>
      </c>
      <c r="I172" s="122">
        <f t="shared" si="60"/>
        <v>21240</v>
      </c>
    </row>
    <row r="173" spans="2:9" x14ac:dyDescent="0.2">
      <c r="B173" s="120">
        <f t="shared" si="72"/>
        <v>168</v>
      </c>
      <c r="C173" s="72">
        <v>220</v>
      </c>
      <c r="D173" s="68"/>
      <c r="E173" s="73"/>
      <c r="F173" s="2" t="s">
        <v>226</v>
      </c>
      <c r="G173" s="115">
        <f>G174</f>
        <v>21240</v>
      </c>
      <c r="H173" s="115">
        <f t="shared" si="76"/>
        <v>0</v>
      </c>
      <c r="I173" s="115">
        <f t="shared" si="60"/>
        <v>21240</v>
      </c>
    </row>
    <row r="174" spans="2:9" x14ac:dyDescent="0.2">
      <c r="B174" s="120">
        <f t="shared" si="72"/>
        <v>169</v>
      </c>
      <c r="C174" s="74"/>
      <c r="D174" s="69">
        <v>223</v>
      </c>
      <c r="E174" s="75"/>
      <c r="F174" s="3" t="s">
        <v>255</v>
      </c>
      <c r="G174" s="87">
        <f>G176+G175</f>
        <v>21240</v>
      </c>
      <c r="H174" s="87">
        <f t="shared" ref="H174" si="77">H176+H175</f>
        <v>0</v>
      </c>
      <c r="I174" s="87">
        <f t="shared" si="60"/>
        <v>21240</v>
      </c>
    </row>
    <row r="175" spans="2:9" x14ac:dyDescent="0.2">
      <c r="B175" s="120">
        <f t="shared" si="72"/>
        <v>170</v>
      </c>
      <c r="C175" s="12"/>
      <c r="D175" s="4"/>
      <c r="E175" s="13">
        <v>223002</v>
      </c>
      <c r="F175" s="4" t="s">
        <v>76</v>
      </c>
      <c r="G175" s="88">
        <v>7030</v>
      </c>
      <c r="H175" s="88"/>
      <c r="I175" s="88">
        <f t="shared" si="60"/>
        <v>7030</v>
      </c>
    </row>
    <row r="176" spans="2:9" x14ac:dyDescent="0.2">
      <c r="B176" s="120">
        <f t="shared" si="72"/>
        <v>171</v>
      </c>
      <c r="C176" s="12"/>
      <c r="D176" s="4"/>
      <c r="E176" s="13">
        <v>223003</v>
      </c>
      <c r="F176" s="46" t="s">
        <v>77</v>
      </c>
      <c r="G176" s="88">
        <v>14210</v>
      </c>
      <c r="H176" s="88"/>
      <c r="I176" s="88">
        <f t="shared" si="60"/>
        <v>14210</v>
      </c>
    </row>
    <row r="177" spans="2:9" x14ac:dyDescent="0.2">
      <c r="B177" s="120">
        <f t="shared" si="72"/>
        <v>172</v>
      </c>
      <c r="C177" s="70"/>
      <c r="D177" s="67"/>
      <c r="E177" s="71"/>
      <c r="F177" s="5" t="s">
        <v>103</v>
      </c>
      <c r="G177" s="122">
        <f>G178</f>
        <v>14060</v>
      </c>
      <c r="H177" s="122">
        <f t="shared" ref="H177:H178" si="78">H178</f>
        <v>0</v>
      </c>
      <c r="I177" s="122">
        <f t="shared" si="60"/>
        <v>14060</v>
      </c>
    </row>
    <row r="178" spans="2:9" x14ac:dyDescent="0.2">
      <c r="B178" s="120">
        <f t="shared" si="72"/>
        <v>173</v>
      </c>
      <c r="C178" s="72">
        <v>220</v>
      </c>
      <c r="D178" s="68"/>
      <c r="E178" s="73"/>
      <c r="F178" s="2" t="s">
        <v>226</v>
      </c>
      <c r="G178" s="115">
        <f>G179</f>
        <v>14060</v>
      </c>
      <c r="H178" s="115">
        <f t="shared" si="78"/>
        <v>0</v>
      </c>
      <c r="I178" s="115">
        <f t="shared" si="60"/>
        <v>14060</v>
      </c>
    </row>
    <row r="179" spans="2:9" x14ac:dyDescent="0.2">
      <c r="B179" s="120">
        <f t="shared" si="72"/>
        <v>174</v>
      </c>
      <c r="C179" s="74"/>
      <c r="D179" s="69">
        <v>223</v>
      </c>
      <c r="E179" s="75"/>
      <c r="F179" s="3" t="s">
        <v>255</v>
      </c>
      <c r="G179" s="87">
        <f>G181+G180</f>
        <v>14060</v>
      </c>
      <c r="H179" s="87">
        <f t="shared" ref="H179" si="79">H181+H180</f>
        <v>0</v>
      </c>
      <c r="I179" s="87">
        <f t="shared" si="60"/>
        <v>14060</v>
      </c>
    </row>
    <row r="180" spans="2:9" x14ac:dyDescent="0.2">
      <c r="B180" s="120">
        <f t="shared" si="72"/>
        <v>175</v>
      </c>
      <c r="C180" s="12"/>
      <c r="D180" s="4"/>
      <c r="E180" s="13">
        <v>223002</v>
      </c>
      <c r="F180" s="4" t="s">
        <v>76</v>
      </c>
      <c r="G180" s="88">
        <v>4160</v>
      </c>
      <c r="H180" s="88"/>
      <c r="I180" s="88">
        <f t="shared" si="60"/>
        <v>4160</v>
      </c>
    </row>
    <row r="181" spans="2:9" x14ac:dyDescent="0.2">
      <c r="B181" s="120">
        <f t="shared" si="72"/>
        <v>176</v>
      </c>
      <c r="C181" s="12"/>
      <c r="D181" s="4"/>
      <c r="E181" s="13">
        <v>223003</v>
      </c>
      <c r="F181" s="46" t="s">
        <v>77</v>
      </c>
      <c r="G181" s="88">
        <v>9900</v>
      </c>
      <c r="H181" s="88"/>
      <c r="I181" s="88">
        <f t="shared" si="60"/>
        <v>9900</v>
      </c>
    </row>
    <row r="182" spans="2:9" x14ac:dyDescent="0.2">
      <c r="B182" s="120">
        <f t="shared" si="72"/>
        <v>177</v>
      </c>
      <c r="C182" s="70"/>
      <c r="D182" s="67"/>
      <c r="E182" s="71"/>
      <c r="F182" s="5" t="s">
        <v>212</v>
      </c>
      <c r="G182" s="122">
        <f>G183</f>
        <v>21500</v>
      </c>
      <c r="H182" s="122">
        <f t="shared" ref="H182:H183" si="80">H183</f>
        <v>0</v>
      </c>
      <c r="I182" s="122">
        <f t="shared" si="60"/>
        <v>21500</v>
      </c>
    </row>
    <row r="183" spans="2:9" x14ac:dyDescent="0.2">
      <c r="B183" s="120">
        <f t="shared" si="72"/>
        <v>178</v>
      </c>
      <c r="C183" s="72">
        <v>220</v>
      </c>
      <c r="D183" s="68"/>
      <c r="E183" s="73"/>
      <c r="F183" s="2" t="s">
        <v>226</v>
      </c>
      <c r="G183" s="115">
        <f>G184</f>
        <v>21500</v>
      </c>
      <c r="H183" s="115">
        <f t="shared" si="80"/>
        <v>0</v>
      </c>
      <c r="I183" s="115">
        <f t="shared" si="60"/>
        <v>21500</v>
      </c>
    </row>
    <row r="184" spans="2:9" x14ac:dyDescent="0.2">
      <c r="B184" s="120">
        <f t="shared" si="72"/>
        <v>179</v>
      </c>
      <c r="C184" s="74"/>
      <c r="D184" s="69">
        <v>223</v>
      </c>
      <c r="E184" s="75"/>
      <c r="F184" s="3" t="s">
        <v>255</v>
      </c>
      <c r="G184" s="87">
        <f>G186+G185</f>
        <v>21500</v>
      </c>
      <c r="H184" s="87">
        <f t="shared" ref="H184" si="81">H186+H185</f>
        <v>0</v>
      </c>
      <c r="I184" s="87">
        <f t="shared" si="60"/>
        <v>21500</v>
      </c>
    </row>
    <row r="185" spans="2:9" x14ac:dyDescent="0.2">
      <c r="B185" s="120">
        <f t="shared" si="72"/>
        <v>180</v>
      </c>
      <c r="C185" s="12"/>
      <c r="D185" s="4"/>
      <c r="E185" s="13">
        <v>223002</v>
      </c>
      <c r="F185" s="4" t="s">
        <v>76</v>
      </c>
      <c r="G185" s="88">
        <v>2870</v>
      </c>
      <c r="H185" s="88"/>
      <c r="I185" s="88">
        <f t="shared" si="60"/>
        <v>2870</v>
      </c>
    </row>
    <row r="186" spans="2:9" x14ac:dyDescent="0.2">
      <c r="B186" s="120">
        <f t="shared" si="72"/>
        <v>181</v>
      </c>
      <c r="C186" s="12"/>
      <c r="D186" s="4"/>
      <c r="E186" s="13">
        <v>223003</v>
      </c>
      <c r="F186" s="46" t="s">
        <v>77</v>
      </c>
      <c r="G186" s="88">
        <v>18630</v>
      </c>
      <c r="H186" s="88"/>
      <c r="I186" s="88">
        <f t="shared" si="60"/>
        <v>18630</v>
      </c>
    </row>
    <row r="187" spans="2:9" x14ac:dyDescent="0.2">
      <c r="B187" s="120">
        <f t="shared" si="72"/>
        <v>182</v>
      </c>
      <c r="C187" s="70"/>
      <c r="D187" s="67"/>
      <c r="E187" s="71"/>
      <c r="F187" s="5" t="s">
        <v>75</v>
      </c>
      <c r="G187" s="122">
        <f>G188</f>
        <v>2870</v>
      </c>
      <c r="H187" s="122">
        <f t="shared" ref="H187:H189" si="82">H188</f>
        <v>0</v>
      </c>
      <c r="I187" s="122">
        <f t="shared" si="60"/>
        <v>2870</v>
      </c>
    </row>
    <row r="188" spans="2:9" x14ac:dyDescent="0.2">
      <c r="B188" s="120">
        <f t="shared" si="72"/>
        <v>183</v>
      </c>
      <c r="C188" s="72">
        <v>220</v>
      </c>
      <c r="D188" s="68"/>
      <c r="E188" s="73"/>
      <c r="F188" s="2" t="s">
        <v>226</v>
      </c>
      <c r="G188" s="115">
        <f>G189</f>
        <v>2870</v>
      </c>
      <c r="H188" s="115">
        <f t="shared" si="82"/>
        <v>0</v>
      </c>
      <c r="I188" s="115">
        <f t="shared" si="60"/>
        <v>2870</v>
      </c>
    </row>
    <row r="189" spans="2:9" x14ac:dyDescent="0.2">
      <c r="B189" s="120">
        <f t="shared" si="72"/>
        <v>184</v>
      </c>
      <c r="C189" s="74"/>
      <c r="D189" s="69">
        <v>223</v>
      </c>
      <c r="E189" s="75"/>
      <c r="F189" s="3" t="s">
        <v>255</v>
      </c>
      <c r="G189" s="87">
        <f>G190</f>
        <v>2870</v>
      </c>
      <c r="H189" s="87">
        <f t="shared" si="82"/>
        <v>0</v>
      </c>
      <c r="I189" s="87">
        <f t="shared" si="60"/>
        <v>2870</v>
      </c>
    </row>
    <row r="190" spans="2:9" x14ac:dyDescent="0.2">
      <c r="B190" s="120">
        <f t="shared" si="72"/>
        <v>185</v>
      </c>
      <c r="C190" s="12"/>
      <c r="D190" s="4"/>
      <c r="E190" s="13">
        <v>223002</v>
      </c>
      <c r="F190" s="4" t="s">
        <v>76</v>
      </c>
      <c r="G190" s="88">
        <v>2870</v>
      </c>
      <c r="H190" s="88"/>
      <c r="I190" s="88">
        <f t="shared" si="60"/>
        <v>2870</v>
      </c>
    </row>
    <row r="191" spans="2:9" x14ac:dyDescent="0.2">
      <c r="B191" s="120">
        <f t="shared" si="72"/>
        <v>186</v>
      </c>
      <c r="C191" s="70"/>
      <c r="D191" s="67"/>
      <c r="E191" s="71"/>
      <c r="F191" s="5" t="s">
        <v>115</v>
      </c>
      <c r="G191" s="122">
        <f>G192</f>
        <v>10760</v>
      </c>
      <c r="H191" s="122">
        <f t="shared" ref="H191:H193" si="83">H192</f>
        <v>0</v>
      </c>
      <c r="I191" s="122">
        <f t="shared" si="60"/>
        <v>10760</v>
      </c>
    </row>
    <row r="192" spans="2:9" x14ac:dyDescent="0.2">
      <c r="B192" s="120">
        <f t="shared" si="72"/>
        <v>187</v>
      </c>
      <c r="C192" s="72">
        <v>220</v>
      </c>
      <c r="D192" s="68"/>
      <c r="E192" s="73"/>
      <c r="F192" s="2" t="s">
        <v>226</v>
      </c>
      <c r="G192" s="115">
        <f>G193</f>
        <v>10760</v>
      </c>
      <c r="H192" s="115">
        <f t="shared" si="83"/>
        <v>0</v>
      </c>
      <c r="I192" s="115">
        <f t="shared" si="60"/>
        <v>10760</v>
      </c>
    </row>
    <row r="193" spans="2:9" x14ac:dyDescent="0.2">
      <c r="B193" s="120">
        <f t="shared" si="72"/>
        <v>188</v>
      </c>
      <c r="C193" s="74"/>
      <c r="D193" s="69">
        <v>223</v>
      </c>
      <c r="E193" s="75"/>
      <c r="F193" s="3" t="s">
        <v>255</v>
      </c>
      <c r="G193" s="87">
        <f>G194</f>
        <v>10760</v>
      </c>
      <c r="H193" s="87">
        <f t="shared" si="83"/>
        <v>0</v>
      </c>
      <c r="I193" s="87">
        <f t="shared" si="60"/>
        <v>10760</v>
      </c>
    </row>
    <row r="194" spans="2:9" x14ac:dyDescent="0.2">
      <c r="B194" s="120">
        <f t="shared" si="72"/>
        <v>189</v>
      </c>
      <c r="C194" s="12"/>
      <c r="D194" s="4"/>
      <c r="E194" s="13">
        <v>223002</v>
      </c>
      <c r="F194" s="4" t="s">
        <v>76</v>
      </c>
      <c r="G194" s="88">
        <v>10760</v>
      </c>
      <c r="H194" s="88"/>
      <c r="I194" s="88">
        <f t="shared" si="60"/>
        <v>10760</v>
      </c>
    </row>
    <row r="195" spans="2:9" x14ac:dyDescent="0.2">
      <c r="B195" s="120">
        <f t="shared" si="72"/>
        <v>190</v>
      </c>
      <c r="C195" s="70"/>
      <c r="D195" s="67"/>
      <c r="E195" s="71"/>
      <c r="F195" s="5" t="s">
        <v>99</v>
      </c>
      <c r="G195" s="122">
        <f>G196</f>
        <v>1270</v>
      </c>
      <c r="H195" s="122">
        <f t="shared" ref="H195:H197" si="84">H196</f>
        <v>0</v>
      </c>
      <c r="I195" s="122">
        <f t="shared" si="60"/>
        <v>1270</v>
      </c>
    </row>
    <row r="196" spans="2:9" x14ac:dyDescent="0.2">
      <c r="B196" s="120">
        <f t="shared" si="72"/>
        <v>191</v>
      </c>
      <c r="C196" s="72">
        <v>220</v>
      </c>
      <c r="D196" s="68"/>
      <c r="E196" s="73"/>
      <c r="F196" s="2" t="s">
        <v>226</v>
      </c>
      <c r="G196" s="115">
        <f>G197</f>
        <v>1270</v>
      </c>
      <c r="H196" s="115">
        <f t="shared" si="84"/>
        <v>0</v>
      </c>
      <c r="I196" s="115">
        <f t="shared" si="60"/>
        <v>1270</v>
      </c>
    </row>
    <row r="197" spans="2:9" x14ac:dyDescent="0.2">
      <c r="B197" s="120">
        <f t="shared" si="72"/>
        <v>192</v>
      </c>
      <c r="C197" s="74"/>
      <c r="D197" s="69">
        <v>223</v>
      </c>
      <c r="E197" s="75"/>
      <c r="F197" s="3" t="s">
        <v>255</v>
      </c>
      <c r="G197" s="87">
        <f>G198</f>
        <v>1270</v>
      </c>
      <c r="H197" s="87">
        <f t="shared" si="84"/>
        <v>0</v>
      </c>
      <c r="I197" s="87">
        <f t="shared" si="60"/>
        <v>1270</v>
      </c>
    </row>
    <row r="198" spans="2:9" x14ac:dyDescent="0.2">
      <c r="B198" s="120">
        <f t="shared" si="72"/>
        <v>193</v>
      </c>
      <c r="C198" s="12"/>
      <c r="D198" s="4"/>
      <c r="E198" s="13">
        <v>223002</v>
      </c>
      <c r="F198" s="4" t="s">
        <v>76</v>
      </c>
      <c r="G198" s="88">
        <v>1270</v>
      </c>
      <c r="H198" s="88"/>
      <c r="I198" s="88">
        <f t="shared" si="60"/>
        <v>1270</v>
      </c>
    </row>
    <row r="199" spans="2:9" x14ac:dyDescent="0.2">
      <c r="B199" s="120">
        <f t="shared" si="72"/>
        <v>194</v>
      </c>
      <c r="C199" s="70"/>
      <c r="D199" s="67"/>
      <c r="E199" s="71"/>
      <c r="F199" s="5" t="s">
        <v>96</v>
      </c>
      <c r="G199" s="122">
        <f>G200</f>
        <v>29950</v>
      </c>
      <c r="H199" s="122">
        <f t="shared" ref="H199:H201" si="85">H200</f>
        <v>0</v>
      </c>
      <c r="I199" s="122">
        <f t="shared" ref="I199:I262" si="86">G199+H199</f>
        <v>29950</v>
      </c>
    </row>
    <row r="200" spans="2:9" x14ac:dyDescent="0.2">
      <c r="B200" s="120">
        <f t="shared" si="72"/>
        <v>195</v>
      </c>
      <c r="C200" s="72">
        <v>220</v>
      </c>
      <c r="D200" s="68"/>
      <c r="E200" s="73"/>
      <c r="F200" s="2" t="s">
        <v>226</v>
      </c>
      <c r="G200" s="115">
        <f>G201</f>
        <v>29950</v>
      </c>
      <c r="H200" s="115">
        <f t="shared" si="85"/>
        <v>0</v>
      </c>
      <c r="I200" s="115">
        <f t="shared" si="86"/>
        <v>29950</v>
      </c>
    </row>
    <row r="201" spans="2:9" x14ac:dyDescent="0.2">
      <c r="B201" s="120">
        <f t="shared" si="72"/>
        <v>196</v>
      </c>
      <c r="C201" s="74"/>
      <c r="D201" s="69">
        <v>223</v>
      </c>
      <c r="E201" s="75"/>
      <c r="F201" s="3" t="s">
        <v>255</v>
      </c>
      <c r="G201" s="87">
        <f>G202</f>
        <v>29950</v>
      </c>
      <c r="H201" s="87">
        <f t="shared" si="85"/>
        <v>0</v>
      </c>
      <c r="I201" s="87">
        <f t="shared" si="86"/>
        <v>29950</v>
      </c>
    </row>
    <row r="202" spans="2:9" x14ac:dyDescent="0.2">
      <c r="B202" s="120">
        <f t="shared" si="72"/>
        <v>197</v>
      </c>
      <c r="C202" s="12"/>
      <c r="D202" s="4"/>
      <c r="E202" s="13">
        <v>223003</v>
      </c>
      <c r="F202" s="46" t="s">
        <v>77</v>
      </c>
      <c r="G202" s="88">
        <v>29950</v>
      </c>
      <c r="H202" s="88"/>
      <c r="I202" s="88">
        <f t="shared" si="86"/>
        <v>29950</v>
      </c>
    </row>
    <row r="203" spans="2:9" x14ac:dyDescent="0.2">
      <c r="B203" s="120">
        <f t="shared" si="72"/>
        <v>198</v>
      </c>
      <c r="C203" s="70"/>
      <c r="D203" s="67"/>
      <c r="E203" s="71"/>
      <c r="F203" s="5" t="s">
        <v>97</v>
      </c>
      <c r="G203" s="122">
        <f>G207+G204</f>
        <v>2735</v>
      </c>
      <c r="H203" s="122">
        <f t="shared" ref="H203" si="87">H207+H204</f>
        <v>0</v>
      </c>
      <c r="I203" s="122">
        <f t="shared" si="86"/>
        <v>2735</v>
      </c>
    </row>
    <row r="204" spans="2:9" x14ac:dyDescent="0.2">
      <c r="B204" s="120">
        <f t="shared" si="72"/>
        <v>199</v>
      </c>
      <c r="C204" s="72">
        <v>210</v>
      </c>
      <c r="D204" s="68"/>
      <c r="E204" s="73"/>
      <c r="F204" s="2" t="s">
        <v>251</v>
      </c>
      <c r="G204" s="115">
        <f>G205</f>
        <v>2720</v>
      </c>
      <c r="H204" s="115">
        <f t="shared" ref="H204:H205" si="88">H205</f>
        <v>0</v>
      </c>
      <c r="I204" s="115">
        <f t="shared" si="86"/>
        <v>2720</v>
      </c>
    </row>
    <row r="205" spans="2:9" x14ac:dyDescent="0.2">
      <c r="B205" s="120">
        <f t="shared" si="72"/>
        <v>200</v>
      </c>
      <c r="C205" s="74"/>
      <c r="D205" s="69">
        <v>212</v>
      </c>
      <c r="E205" s="75"/>
      <c r="F205" s="3" t="s">
        <v>252</v>
      </c>
      <c r="G205" s="87">
        <f>G206</f>
        <v>2720</v>
      </c>
      <c r="H205" s="87">
        <f t="shared" si="88"/>
        <v>0</v>
      </c>
      <c r="I205" s="87">
        <f t="shared" si="86"/>
        <v>2720</v>
      </c>
    </row>
    <row r="206" spans="2:9" x14ac:dyDescent="0.2">
      <c r="B206" s="120">
        <f t="shared" si="72"/>
        <v>201</v>
      </c>
      <c r="C206" s="12"/>
      <c r="D206" s="4"/>
      <c r="E206" s="13">
        <v>212003</v>
      </c>
      <c r="F206" s="4" t="s">
        <v>253</v>
      </c>
      <c r="G206" s="88">
        <v>2720</v>
      </c>
      <c r="H206" s="88"/>
      <c r="I206" s="88">
        <f t="shared" si="86"/>
        <v>2720</v>
      </c>
    </row>
    <row r="207" spans="2:9" x14ac:dyDescent="0.2">
      <c r="B207" s="120">
        <f t="shared" si="72"/>
        <v>202</v>
      </c>
      <c r="C207" s="72">
        <v>240</v>
      </c>
      <c r="D207" s="68"/>
      <c r="E207" s="73"/>
      <c r="F207" s="2" t="s">
        <v>179</v>
      </c>
      <c r="G207" s="115">
        <f>G208</f>
        <v>15</v>
      </c>
      <c r="H207" s="115">
        <f t="shared" ref="H207:H208" si="89">H208</f>
        <v>0</v>
      </c>
      <c r="I207" s="115">
        <f t="shared" si="86"/>
        <v>15</v>
      </c>
    </row>
    <row r="208" spans="2:9" x14ac:dyDescent="0.2">
      <c r="B208" s="120">
        <f t="shared" si="72"/>
        <v>203</v>
      </c>
      <c r="C208" s="74"/>
      <c r="D208" s="69">
        <v>242</v>
      </c>
      <c r="E208" s="75"/>
      <c r="F208" s="3" t="s">
        <v>178</v>
      </c>
      <c r="G208" s="87">
        <f>G209</f>
        <v>15</v>
      </c>
      <c r="H208" s="87">
        <f t="shared" si="89"/>
        <v>0</v>
      </c>
      <c r="I208" s="87">
        <f t="shared" si="86"/>
        <v>15</v>
      </c>
    </row>
    <row r="209" spans="2:9" ht="13.5" thickBot="1" x14ac:dyDescent="0.25">
      <c r="B209" s="120">
        <f t="shared" si="72"/>
        <v>204</v>
      </c>
      <c r="C209" s="12"/>
      <c r="D209" s="4"/>
      <c r="E209" s="13">
        <v>242</v>
      </c>
      <c r="F209" s="4" t="s">
        <v>178</v>
      </c>
      <c r="G209" s="88">
        <v>15</v>
      </c>
      <c r="H209" s="88"/>
      <c r="I209" s="88">
        <f t="shared" si="86"/>
        <v>15</v>
      </c>
    </row>
    <row r="210" spans="2:9" ht="15.75" thickBot="1" x14ac:dyDescent="0.3">
      <c r="B210" s="120">
        <f t="shared" si="72"/>
        <v>205</v>
      </c>
      <c r="C210" s="76">
        <v>5</v>
      </c>
      <c r="D210" s="163"/>
      <c r="E210" s="77"/>
      <c r="F210" s="9" t="s">
        <v>116</v>
      </c>
      <c r="G210" s="17">
        <f>G211+G217+G221+G225+G229+G236+G244+G253+G259+G265+G270</f>
        <v>775200</v>
      </c>
      <c r="H210" s="17">
        <f t="shared" ref="H210" si="90">H211+H217+H221+H225+H229+H236+H244+H253+H259+H265+H270</f>
        <v>0</v>
      </c>
      <c r="I210" s="17">
        <f t="shared" si="86"/>
        <v>775200</v>
      </c>
    </row>
    <row r="211" spans="2:9" x14ac:dyDescent="0.2">
      <c r="B211" s="120">
        <f t="shared" si="72"/>
        <v>206</v>
      </c>
      <c r="C211" s="70"/>
      <c r="D211" s="67"/>
      <c r="E211" s="71"/>
      <c r="F211" s="5" t="s">
        <v>78</v>
      </c>
      <c r="G211" s="122">
        <f>G212</f>
        <v>144400</v>
      </c>
      <c r="H211" s="122">
        <f t="shared" ref="H211:H212" si="91">H212</f>
        <v>0</v>
      </c>
      <c r="I211" s="122">
        <f t="shared" si="86"/>
        <v>144400</v>
      </c>
    </row>
    <row r="212" spans="2:9" x14ac:dyDescent="0.2">
      <c r="B212" s="120">
        <f t="shared" si="72"/>
        <v>207</v>
      </c>
      <c r="C212" s="72">
        <v>220</v>
      </c>
      <c r="D212" s="68"/>
      <c r="E212" s="73"/>
      <c r="F212" s="2" t="s">
        <v>226</v>
      </c>
      <c r="G212" s="115">
        <f>G213</f>
        <v>144400</v>
      </c>
      <c r="H212" s="115">
        <f t="shared" si="91"/>
        <v>0</v>
      </c>
      <c r="I212" s="115">
        <f t="shared" si="86"/>
        <v>144400</v>
      </c>
    </row>
    <row r="213" spans="2:9" x14ac:dyDescent="0.2">
      <c r="B213" s="120">
        <f t="shared" si="72"/>
        <v>208</v>
      </c>
      <c r="C213" s="74"/>
      <c r="D213" s="69">
        <v>223</v>
      </c>
      <c r="E213" s="75"/>
      <c r="F213" s="3" t="s">
        <v>255</v>
      </c>
      <c r="G213" s="87">
        <f>G214+G215+G216</f>
        <v>144400</v>
      </c>
      <c r="H213" s="87">
        <f t="shared" ref="H213" si="92">H214+H215+H216</f>
        <v>0</v>
      </c>
      <c r="I213" s="87">
        <f t="shared" si="86"/>
        <v>144400</v>
      </c>
    </row>
    <row r="214" spans="2:9" x14ac:dyDescent="0.2">
      <c r="B214" s="120">
        <f t="shared" si="72"/>
        <v>209</v>
      </c>
      <c r="C214" s="12"/>
      <c r="D214" s="4"/>
      <c r="E214" s="13">
        <v>223002</v>
      </c>
      <c r="F214" s="4" t="s">
        <v>76</v>
      </c>
      <c r="G214" s="88">
        <v>134400</v>
      </c>
      <c r="H214" s="88"/>
      <c r="I214" s="88">
        <f t="shared" si="86"/>
        <v>134400</v>
      </c>
    </row>
    <row r="215" spans="2:9" x14ac:dyDescent="0.2">
      <c r="B215" s="120">
        <f t="shared" si="72"/>
        <v>210</v>
      </c>
      <c r="C215" s="12"/>
      <c r="D215" s="4"/>
      <c r="E215" s="13">
        <v>223003</v>
      </c>
      <c r="F215" s="4" t="s">
        <v>77</v>
      </c>
      <c r="G215" s="88">
        <v>9000</v>
      </c>
      <c r="H215" s="88"/>
      <c r="I215" s="88">
        <f t="shared" si="86"/>
        <v>9000</v>
      </c>
    </row>
    <row r="216" spans="2:9" x14ac:dyDescent="0.2">
      <c r="B216" s="120">
        <f t="shared" si="72"/>
        <v>211</v>
      </c>
      <c r="C216" s="12"/>
      <c r="D216" s="4"/>
      <c r="E216" s="13">
        <v>223003</v>
      </c>
      <c r="F216" s="4" t="s">
        <v>314</v>
      </c>
      <c r="G216" s="88">
        <v>1000</v>
      </c>
      <c r="H216" s="88"/>
      <c r="I216" s="88">
        <f t="shared" si="86"/>
        <v>1000</v>
      </c>
    </row>
    <row r="217" spans="2:9" x14ac:dyDescent="0.2">
      <c r="B217" s="120">
        <f t="shared" si="72"/>
        <v>212</v>
      </c>
      <c r="C217" s="70"/>
      <c r="D217" s="67"/>
      <c r="E217" s="71"/>
      <c r="F217" s="5" t="s">
        <v>316</v>
      </c>
      <c r="G217" s="122">
        <f>G218</f>
        <v>6600</v>
      </c>
      <c r="H217" s="122">
        <f t="shared" ref="H217:H219" si="93">H218</f>
        <v>0</v>
      </c>
      <c r="I217" s="122">
        <f t="shared" si="86"/>
        <v>6600</v>
      </c>
    </row>
    <row r="218" spans="2:9" x14ac:dyDescent="0.2">
      <c r="B218" s="120">
        <f t="shared" si="72"/>
        <v>213</v>
      </c>
      <c r="C218" s="72">
        <v>220</v>
      </c>
      <c r="D218" s="68"/>
      <c r="E218" s="73"/>
      <c r="F218" s="2" t="s">
        <v>226</v>
      </c>
      <c r="G218" s="115">
        <f>G219</f>
        <v>6600</v>
      </c>
      <c r="H218" s="115">
        <f t="shared" si="93"/>
        <v>0</v>
      </c>
      <c r="I218" s="115">
        <f t="shared" si="86"/>
        <v>6600</v>
      </c>
    </row>
    <row r="219" spans="2:9" x14ac:dyDescent="0.2">
      <c r="B219" s="120">
        <f t="shared" si="72"/>
        <v>214</v>
      </c>
      <c r="C219" s="74"/>
      <c r="D219" s="69">
        <v>223</v>
      </c>
      <c r="E219" s="75"/>
      <c r="F219" s="3" t="s">
        <v>255</v>
      </c>
      <c r="G219" s="87">
        <f>G220</f>
        <v>6600</v>
      </c>
      <c r="H219" s="87">
        <f t="shared" si="93"/>
        <v>0</v>
      </c>
      <c r="I219" s="87">
        <f t="shared" si="86"/>
        <v>6600</v>
      </c>
    </row>
    <row r="220" spans="2:9" x14ac:dyDescent="0.2">
      <c r="B220" s="120">
        <f t="shared" si="72"/>
        <v>215</v>
      </c>
      <c r="C220" s="12"/>
      <c r="D220" s="4"/>
      <c r="E220" s="13">
        <v>223003</v>
      </c>
      <c r="F220" s="4" t="s">
        <v>77</v>
      </c>
      <c r="G220" s="88">
        <v>6600</v>
      </c>
      <c r="H220" s="88"/>
      <c r="I220" s="88">
        <f t="shared" si="86"/>
        <v>6600</v>
      </c>
    </row>
    <row r="221" spans="2:9" x14ac:dyDescent="0.2">
      <c r="B221" s="120">
        <f t="shared" si="72"/>
        <v>216</v>
      </c>
      <c r="C221" s="70"/>
      <c r="D221" s="67"/>
      <c r="E221" s="71"/>
      <c r="F221" s="5" t="s">
        <v>117</v>
      </c>
      <c r="G221" s="122">
        <f>G222</f>
        <v>2000</v>
      </c>
      <c r="H221" s="122">
        <f t="shared" ref="H221:H223" si="94">H222</f>
        <v>0</v>
      </c>
      <c r="I221" s="122">
        <f t="shared" si="86"/>
        <v>2000</v>
      </c>
    </row>
    <row r="222" spans="2:9" x14ac:dyDescent="0.2">
      <c r="B222" s="120">
        <f t="shared" si="72"/>
        <v>217</v>
      </c>
      <c r="C222" s="72">
        <v>220</v>
      </c>
      <c r="D222" s="68"/>
      <c r="E222" s="73"/>
      <c r="F222" s="2" t="s">
        <v>226</v>
      </c>
      <c r="G222" s="115">
        <f>G223</f>
        <v>2000</v>
      </c>
      <c r="H222" s="115">
        <f t="shared" si="94"/>
        <v>0</v>
      </c>
      <c r="I222" s="115">
        <f t="shared" si="86"/>
        <v>2000</v>
      </c>
    </row>
    <row r="223" spans="2:9" x14ac:dyDescent="0.2">
      <c r="B223" s="120">
        <f t="shared" si="72"/>
        <v>218</v>
      </c>
      <c r="C223" s="74"/>
      <c r="D223" s="69">
        <v>223</v>
      </c>
      <c r="E223" s="75"/>
      <c r="F223" s="3" t="s">
        <v>255</v>
      </c>
      <c r="G223" s="87">
        <f>G224</f>
        <v>2000</v>
      </c>
      <c r="H223" s="87">
        <f t="shared" si="94"/>
        <v>0</v>
      </c>
      <c r="I223" s="87">
        <f t="shared" si="86"/>
        <v>2000</v>
      </c>
    </row>
    <row r="224" spans="2:9" x14ac:dyDescent="0.2">
      <c r="B224" s="120">
        <f t="shared" si="72"/>
        <v>219</v>
      </c>
      <c r="C224" s="12"/>
      <c r="D224" s="4"/>
      <c r="E224" s="13">
        <v>223001</v>
      </c>
      <c r="F224" s="4" t="s">
        <v>256</v>
      </c>
      <c r="G224" s="88">
        <v>2000</v>
      </c>
      <c r="H224" s="88"/>
      <c r="I224" s="88">
        <f t="shared" si="86"/>
        <v>2000</v>
      </c>
    </row>
    <row r="225" spans="2:9" x14ac:dyDescent="0.2">
      <c r="B225" s="120">
        <f t="shared" si="72"/>
        <v>220</v>
      </c>
      <c r="C225" s="70"/>
      <c r="D225" s="67"/>
      <c r="E225" s="71"/>
      <c r="F225" s="5" t="s">
        <v>315</v>
      </c>
      <c r="G225" s="122">
        <f>G226</f>
        <v>3000</v>
      </c>
      <c r="H225" s="122">
        <f t="shared" ref="H225:H227" si="95">H226</f>
        <v>0</v>
      </c>
      <c r="I225" s="122">
        <f t="shared" si="86"/>
        <v>3000</v>
      </c>
    </row>
    <row r="226" spans="2:9" x14ac:dyDescent="0.2">
      <c r="B226" s="120">
        <f t="shared" si="72"/>
        <v>221</v>
      </c>
      <c r="C226" s="72">
        <v>220</v>
      </c>
      <c r="D226" s="68"/>
      <c r="E226" s="73"/>
      <c r="F226" s="2" t="s">
        <v>226</v>
      </c>
      <c r="G226" s="115">
        <f>G227</f>
        <v>3000</v>
      </c>
      <c r="H226" s="115">
        <f t="shared" si="95"/>
        <v>0</v>
      </c>
      <c r="I226" s="115">
        <f t="shared" si="86"/>
        <v>3000</v>
      </c>
    </row>
    <row r="227" spans="2:9" x14ac:dyDescent="0.2">
      <c r="B227" s="120">
        <f>B226+1</f>
        <v>222</v>
      </c>
      <c r="C227" s="74"/>
      <c r="D227" s="69">
        <v>223</v>
      </c>
      <c r="E227" s="75"/>
      <c r="F227" s="3" t="s">
        <v>255</v>
      </c>
      <c r="G227" s="87">
        <f>G228</f>
        <v>3000</v>
      </c>
      <c r="H227" s="87">
        <f t="shared" si="95"/>
        <v>0</v>
      </c>
      <c r="I227" s="87">
        <f t="shared" si="86"/>
        <v>3000</v>
      </c>
    </row>
    <row r="228" spans="2:9" x14ac:dyDescent="0.2">
      <c r="B228" s="120">
        <f t="shared" ref="B228:B278" si="96">B227+1</f>
        <v>223</v>
      </c>
      <c r="C228" s="12"/>
      <c r="D228" s="4"/>
      <c r="E228" s="13">
        <v>223001</v>
      </c>
      <c r="F228" s="4" t="s">
        <v>256</v>
      </c>
      <c r="G228" s="88">
        <v>3000</v>
      </c>
      <c r="H228" s="88"/>
      <c r="I228" s="88">
        <f t="shared" si="86"/>
        <v>3000</v>
      </c>
    </row>
    <row r="229" spans="2:9" x14ac:dyDescent="0.2">
      <c r="B229" s="120">
        <f t="shared" si="96"/>
        <v>224</v>
      </c>
      <c r="C229" s="70"/>
      <c r="D229" s="67"/>
      <c r="E229" s="71"/>
      <c r="F229" s="5" t="s">
        <v>63</v>
      </c>
      <c r="G229" s="122">
        <f>G230+G233</f>
        <v>11400</v>
      </c>
      <c r="H229" s="122">
        <f t="shared" ref="H229" si="97">H230+H233</f>
        <v>0</v>
      </c>
      <c r="I229" s="122">
        <f t="shared" si="86"/>
        <v>11400</v>
      </c>
    </row>
    <row r="230" spans="2:9" x14ac:dyDescent="0.2">
      <c r="B230" s="120">
        <f t="shared" si="96"/>
        <v>225</v>
      </c>
      <c r="C230" s="72">
        <v>210</v>
      </c>
      <c r="D230" s="68"/>
      <c r="E230" s="73"/>
      <c r="F230" s="2" t="s">
        <v>251</v>
      </c>
      <c r="G230" s="115">
        <f>G231</f>
        <v>3600</v>
      </c>
      <c r="H230" s="115">
        <f t="shared" ref="H230:H231" si="98">H231</f>
        <v>0</v>
      </c>
      <c r="I230" s="115">
        <f t="shared" si="86"/>
        <v>3600</v>
      </c>
    </row>
    <row r="231" spans="2:9" x14ac:dyDescent="0.2">
      <c r="B231" s="120">
        <f t="shared" si="96"/>
        <v>226</v>
      </c>
      <c r="C231" s="74"/>
      <c r="D231" s="69">
        <v>212</v>
      </c>
      <c r="E231" s="75"/>
      <c r="F231" s="3" t="s">
        <v>252</v>
      </c>
      <c r="G231" s="87">
        <f>G232</f>
        <v>3600</v>
      </c>
      <c r="H231" s="87">
        <f t="shared" si="98"/>
        <v>0</v>
      </c>
      <c r="I231" s="87">
        <f t="shared" si="86"/>
        <v>3600</v>
      </c>
    </row>
    <row r="232" spans="2:9" x14ac:dyDescent="0.2">
      <c r="B232" s="120">
        <f t="shared" si="96"/>
        <v>227</v>
      </c>
      <c r="C232" s="12"/>
      <c r="D232" s="4"/>
      <c r="E232" s="13">
        <v>212003</v>
      </c>
      <c r="F232" s="4" t="s">
        <v>253</v>
      </c>
      <c r="G232" s="88">
        <v>3600</v>
      </c>
      <c r="H232" s="88"/>
      <c r="I232" s="88">
        <f t="shared" si="86"/>
        <v>3600</v>
      </c>
    </row>
    <row r="233" spans="2:9" x14ac:dyDescent="0.2">
      <c r="B233" s="120">
        <f t="shared" si="96"/>
        <v>228</v>
      </c>
      <c r="C233" s="72">
        <v>220</v>
      </c>
      <c r="D233" s="68"/>
      <c r="E233" s="73"/>
      <c r="F233" s="2" t="s">
        <v>226</v>
      </c>
      <c r="G233" s="115">
        <f>G234</f>
        <v>7800</v>
      </c>
      <c r="H233" s="115">
        <f t="shared" ref="H233:H234" si="99">H234</f>
        <v>0</v>
      </c>
      <c r="I233" s="115">
        <f t="shared" si="86"/>
        <v>7800</v>
      </c>
    </row>
    <row r="234" spans="2:9" x14ac:dyDescent="0.2">
      <c r="B234" s="120">
        <f t="shared" si="96"/>
        <v>229</v>
      </c>
      <c r="C234" s="74"/>
      <c r="D234" s="69">
        <v>223</v>
      </c>
      <c r="E234" s="75"/>
      <c r="F234" s="3" t="s">
        <v>255</v>
      </c>
      <c r="G234" s="87">
        <f>G235</f>
        <v>7800</v>
      </c>
      <c r="H234" s="87">
        <f t="shared" si="99"/>
        <v>0</v>
      </c>
      <c r="I234" s="87">
        <f t="shared" si="86"/>
        <v>7800</v>
      </c>
    </row>
    <row r="235" spans="2:9" x14ac:dyDescent="0.2">
      <c r="B235" s="120">
        <f t="shared" si="96"/>
        <v>230</v>
      </c>
      <c r="C235" s="12"/>
      <c r="D235" s="4"/>
      <c r="E235" s="13">
        <v>223001</v>
      </c>
      <c r="F235" s="4" t="s">
        <v>256</v>
      </c>
      <c r="G235" s="88">
        <v>7800</v>
      </c>
      <c r="H235" s="88"/>
      <c r="I235" s="88">
        <f t="shared" si="86"/>
        <v>7800</v>
      </c>
    </row>
    <row r="236" spans="2:9" x14ac:dyDescent="0.2">
      <c r="B236" s="120">
        <f t="shared" si="96"/>
        <v>231</v>
      </c>
      <c r="C236" s="70"/>
      <c r="D236" s="67"/>
      <c r="E236" s="71"/>
      <c r="F236" s="5" t="s">
        <v>66</v>
      </c>
      <c r="G236" s="122">
        <f>G240+G237</f>
        <v>158500</v>
      </c>
      <c r="H236" s="122">
        <f t="shared" ref="H236" si="100">H240+H237</f>
        <v>0</v>
      </c>
      <c r="I236" s="122">
        <f t="shared" si="86"/>
        <v>158500</v>
      </c>
    </row>
    <row r="237" spans="2:9" x14ac:dyDescent="0.2">
      <c r="B237" s="120">
        <f t="shared" si="96"/>
        <v>232</v>
      </c>
      <c r="C237" s="72">
        <v>210</v>
      </c>
      <c r="D237" s="68"/>
      <c r="E237" s="73"/>
      <c r="F237" s="2" t="s">
        <v>251</v>
      </c>
      <c r="G237" s="115">
        <f>G238</f>
        <v>500</v>
      </c>
      <c r="H237" s="115">
        <f t="shared" ref="H237:H238" si="101">H238</f>
        <v>0</v>
      </c>
      <c r="I237" s="115">
        <f t="shared" si="86"/>
        <v>500</v>
      </c>
    </row>
    <row r="238" spans="2:9" x14ac:dyDescent="0.2">
      <c r="B238" s="120">
        <f t="shared" si="96"/>
        <v>233</v>
      </c>
      <c r="C238" s="74"/>
      <c r="D238" s="69">
        <v>212</v>
      </c>
      <c r="E238" s="75"/>
      <c r="F238" s="3" t="s">
        <v>252</v>
      </c>
      <c r="G238" s="87">
        <f>G239</f>
        <v>500</v>
      </c>
      <c r="H238" s="87">
        <f t="shared" si="101"/>
        <v>0</v>
      </c>
      <c r="I238" s="87">
        <f t="shared" si="86"/>
        <v>500</v>
      </c>
    </row>
    <row r="239" spans="2:9" x14ac:dyDescent="0.2">
      <c r="B239" s="120">
        <f t="shared" si="96"/>
        <v>234</v>
      </c>
      <c r="C239" s="12"/>
      <c r="D239" s="4"/>
      <c r="E239" s="13">
        <v>212003</v>
      </c>
      <c r="F239" s="4" t="s">
        <v>253</v>
      </c>
      <c r="G239" s="88">
        <v>500</v>
      </c>
      <c r="H239" s="88"/>
      <c r="I239" s="88">
        <f t="shared" si="86"/>
        <v>500</v>
      </c>
    </row>
    <row r="240" spans="2:9" x14ac:dyDescent="0.2">
      <c r="B240" s="120">
        <f t="shared" si="96"/>
        <v>235</v>
      </c>
      <c r="C240" s="72">
        <v>220</v>
      </c>
      <c r="D240" s="68"/>
      <c r="E240" s="73"/>
      <c r="F240" s="2" t="s">
        <v>226</v>
      </c>
      <c r="G240" s="115">
        <f>G241</f>
        <v>158000</v>
      </c>
      <c r="H240" s="115">
        <f t="shared" ref="H240" si="102">H241</f>
        <v>0</v>
      </c>
      <c r="I240" s="115">
        <f t="shared" si="86"/>
        <v>158000</v>
      </c>
    </row>
    <row r="241" spans="2:9" x14ac:dyDescent="0.2">
      <c r="B241" s="120">
        <f t="shared" si="96"/>
        <v>236</v>
      </c>
      <c r="C241" s="74"/>
      <c r="D241" s="69">
        <v>223</v>
      </c>
      <c r="E241" s="75"/>
      <c r="F241" s="3" t="s">
        <v>255</v>
      </c>
      <c r="G241" s="87">
        <f>G242+G243</f>
        <v>158000</v>
      </c>
      <c r="H241" s="87">
        <f t="shared" ref="H241" si="103">H242+H243</f>
        <v>0</v>
      </c>
      <c r="I241" s="87">
        <f t="shared" si="86"/>
        <v>158000</v>
      </c>
    </row>
    <row r="242" spans="2:9" x14ac:dyDescent="0.2">
      <c r="B242" s="120">
        <f t="shared" si="96"/>
        <v>237</v>
      </c>
      <c r="C242" s="12"/>
      <c r="D242" s="4"/>
      <c r="E242" s="13">
        <v>223001</v>
      </c>
      <c r="F242" s="4" t="s">
        <v>317</v>
      </c>
      <c r="G242" s="88">
        <v>108000</v>
      </c>
      <c r="H242" s="88"/>
      <c r="I242" s="88">
        <f t="shared" si="86"/>
        <v>108000</v>
      </c>
    </row>
    <row r="243" spans="2:9" x14ac:dyDescent="0.2">
      <c r="B243" s="120">
        <f t="shared" si="96"/>
        <v>238</v>
      </c>
      <c r="C243" s="12"/>
      <c r="D243" s="4"/>
      <c r="E243" s="13">
        <v>223001</v>
      </c>
      <c r="F243" s="4" t="s">
        <v>318</v>
      </c>
      <c r="G243" s="88">
        <v>50000</v>
      </c>
      <c r="H243" s="88"/>
      <c r="I243" s="88">
        <f t="shared" si="86"/>
        <v>50000</v>
      </c>
    </row>
    <row r="244" spans="2:9" x14ac:dyDescent="0.2">
      <c r="B244" s="120">
        <f t="shared" si="96"/>
        <v>239</v>
      </c>
      <c r="C244" s="70"/>
      <c r="D244" s="67"/>
      <c r="E244" s="71"/>
      <c r="F244" s="5" t="s">
        <v>320</v>
      </c>
      <c r="G244" s="122">
        <f>G248+G245</f>
        <v>196900</v>
      </c>
      <c r="H244" s="122">
        <f t="shared" ref="H244" si="104">H248+H245</f>
        <v>0</v>
      </c>
      <c r="I244" s="122">
        <f t="shared" si="86"/>
        <v>196900</v>
      </c>
    </row>
    <row r="245" spans="2:9" x14ac:dyDescent="0.2">
      <c r="B245" s="120">
        <f t="shared" si="96"/>
        <v>240</v>
      </c>
      <c r="C245" s="72">
        <v>210</v>
      </c>
      <c r="D245" s="68"/>
      <c r="E245" s="73"/>
      <c r="F245" s="2" t="s">
        <v>251</v>
      </c>
      <c r="G245" s="115">
        <f>G246</f>
        <v>400</v>
      </c>
      <c r="H245" s="115">
        <f t="shared" ref="H245:H246" si="105">H246</f>
        <v>0</v>
      </c>
      <c r="I245" s="115">
        <f t="shared" si="86"/>
        <v>400</v>
      </c>
    </row>
    <row r="246" spans="2:9" x14ac:dyDescent="0.2">
      <c r="B246" s="120">
        <f t="shared" si="96"/>
        <v>241</v>
      </c>
      <c r="C246" s="74"/>
      <c r="D246" s="69">
        <v>212</v>
      </c>
      <c r="E246" s="75"/>
      <c r="F246" s="3" t="s">
        <v>252</v>
      </c>
      <c r="G246" s="87">
        <f>G247</f>
        <v>400</v>
      </c>
      <c r="H246" s="87">
        <f t="shared" si="105"/>
        <v>0</v>
      </c>
      <c r="I246" s="87">
        <f t="shared" si="86"/>
        <v>400</v>
      </c>
    </row>
    <row r="247" spans="2:9" x14ac:dyDescent="0.2">
      <c r="B247" s="120">
        <f t="shared" si="96"/>
        <v>242</v>
      </c>
      <c r="C247" s="12"/>
      <c r="D247" s="4"/>
      <c r="E247" s="13">
        <v>212003</v>
      </c>
      <c r="F247" s="4" t="s">
        <v>253</v>
      </c>
      <c r="G247" s="88">
        <v>400</v>
      </c>
      <c r="H247" s="88"/>
      <c r="I247" s="88">
        <f t="shared" si="86"/>
        <v>400</v>
      </c>
    </row>
    <row r="248" spans="2:9" x14ac:dyDescent="0.2">
      <c r="B248" s="120">
        <f t="shared" si="96"/>
        <v>243</v>
      </c>
      <c r="C248" s="72">
        <v>220</v>
      </c>
      <c r="D248" s="68"/>
      <c r="E248" s="73"/>
      <c r="F248" s="2" t="s">
        <v>226</v>
      </c>
      <c r="G248" s="115">
        <f>G249</f>
        <v>196500</v>
      </c>
      <c r="H248" s="115">
        <f t="shared" ref="H248" si="106">H249</f>
        <v>0</v>
      </c>
      <c r="I248" s="115">
        <f t="shared" si="86"/>
        <v>196500</v>
      </c>
    </row>
    <row r="249" spans="2:9" x14ac:dyDescent="0.2">
      <c r="B249" s="120">
        <f t="shared" si="96"/>
        <v>244</v>
      </c>
      <c r="C249" s="74"/>
      <c r="D249" s="69">
        <v>223</v>
      </c>
      <c r="E249" s="75"/>
      <c r="F249" s="3" t="s">
        <v>255</v>
      </c>
      <c r="G249" s="87">
        <f>G250+G251+G252</f>
        <v>196500</v>
      </c>
      <c r="H249" s="87">
        <f t="shared" ref="H249" si="107">H250+H251+H252</f>
        <v>0</v>
      </c>
      <c r="I249" s="87">
        <f t="shared" si="86"/>
        <v>196500</v>
      </c>
    </row>
    <row r="250" spans="2:9" x14ac:dyDescent="0.2">
      <c r="B250" s="120">
        <f t="shared" si="96"/>
        <v>245</v>
      </c>
      <c r="C250" s="12"/>
      <c r="D250" s="4"/>
      <c r="E250" s="13">
        <v>223001</v>
      </c>
      <c r="F250" s="4" t="s">
        <v>317</v>
      </c>
      <c r="G250" s="88">
        <v>45000</v>
      </c>
      <c r="H250" s="88"/>
      <c r="I250" s="88">
        <f t="shared" si="86"/>
        <v>45000</v>
      </c>
    </row>
    <row r="251" spans="2:9" x14ac:dyDescent="0.2">
      <c r="B251" s="120">
        <f t="shared" si="96"/>
        <v>246</v>
      </c>
      <c r="C251" s="12"/>
      <c r="D251" s="4"/>
      <c r="E251" s="13">
        <v>223001</v>
      </c>
      <c r="F251" s="4" t="s">
        <v>319</v>
      </c>
      <c r="G251" s="88">
        <v>53500</v>
      </c>
      <c r="H251" s="88"/>
      <c r="I251" s="88">
        <f t="shared" si="86"/>
        <v>53500</v>
      </c>
    </row>
    <row r="252" spans="2:9" x14ac:dyDescent="0.2">
      <c r="B252" s="120">
        <f t="shared" si="96"/>
        <v>247</v>
      </c>
      <c r="C252" s="12"/>
      <c r="D252" s="4"/>
      <c r="E252" s="13">
        <v>223001</v>
      </c>
      <c r="F252" s="4" t="s">
        <v>318</v>
      </c>
      <c r="G252" s="88">
        <v>98000</v>
      </c>
      <c r="H252" s="88"/>
      <c r="I252" s="88">
        <f t="shared" si="86"/>
        <v>98000</v>
      </c>
    </row>
    <row r="253" spans="2:9" x14ac:dyDescent="0.2">
      <c r="B253" s="120">
        <f t="shared" si="96"/>
        <v>248</v>
      </c>
      <c r="C253" s="70"/>
      <c r="D253" s="67"/>
      <c r="E253" s="71"/>
      <c r="F253" s="5" t="s">
        <v>321</v>
      </c>
      <c r="G253" s="122">
        <f>G254</f>
        <v>11000</v>
      </c>
      <c r="H253" s="122">
        <f t="shared" ref="H253:H254" si="108">H254</f>
        <v>0</v>
      </c>
      <c r="I253" s="122">
        <f t="shared" si="86"/>
        <v>11000</v>
      </c>
    </row>
    <row r="254" spans="2:9" x14ac:dyDescent="0.2">
      <c r="B254" s="120">
        <f t="shared" si="96"/>
        <v>249</v>
      </c>
      <c r="C254" s="72">
        <v>220</v>
      </c>
      <c r="D254" s="68"/>
      <c r="E254" s="73"/>
      <c r="F254" s="2" t="s">
        <v>226</v>
      </c>
      <c r="G254" s="115">
        <f>G255</f>
        <v>11000</v>
      </c>
      <c r="H254" s="115">
        <f t="shared" si="108"/>
        <v>0</v>
      </c>
      <c r="I254" s="115">
        <f t="shared" si="86"/>
        <v>11000</v>
      </c>
    </row>
    <row r="255" spans="2:9" x14ac:dyDescent="0.2">
      <c r="B255" s="120">
        <f t="shared" si="96"/>
        <v>250</v>
      </c>
      <c r="C255" s="74"/>
      <c r="D255" s="69">
        <v>223</v>
      </c>
      <c r="E255" s="75"/>
      <c r="F255" s="3" t="s">
        <v>255</v>
      </c>
      <c r="G255" s="87">
        <f>G256+G257+G258</f>
        <v>11000</v>
      </c>
      <c r="H255" s="87">
        <f t="shared" ref="H255" si="109">H256+H257+H258</f>
        <v>0</v>
      </c>
      <c r="I255" s="87">
        <f t="shared" si="86"/>
        <v>11000</v>
      </c>
    </row>
    <row r="256" spans="2:9" x14ac:dyDescent="0.2">
      <c r="B256" s="120">
        <f t="shared" si="96"/>
        <v>251</v>
      </c>
      <c r="C256" s="12"/>
      <c r="D256" s="4"/>
      <c r="E256" s="13">
        <v>223001</v>
      </c>
      <c r="F256" s="4" t="s">
        <v>317</v>
      </c>
      <c r="G256" s="88">
        <v>2500</v>
      </c>
      <c r="H256" s="88"/>
      <c r="I256" s="88">
        <f t="shared" si="86"/>
        <v>2500</v>
      </c>
    </row>
    <row r="257" spans="2:9" x14ac:dyDescent="0.2">
      <c r="B257" s="120">
        <f t="shared" si="96"/>
        <v>252</v>
      </c>
      <c r="C257" s="12"/>
      <c r="D257" s="4"/>
      <c r="E257" s="13">
        <v>223001</v>
      </c>
      <c r="F257" s="4" t="s">
        <v>319</v>
      </c>
      <c r="G257" s="88">
        <v>4900</v>
      </c>
      <c r="H257" s="88"/>
      <c r="I257" s="88">
        <f t="shared" si="86"/>
        <v>4900</v>
      </c>
    </row>
    <row r="258" spans="2:9" x14ac:dyDescent="0.2">
      <c r="B258" s="120">
        <f t="shared" si="96"/>
        <v>253</v>
      </c>
      <c r="C258" s="12"/>
      <c r="D258" s="4"/>
      <c r="E258" s="13">
        <v>223001</v>
      </c>
      <c r="F258" s="4" t="s">
        <v>318</v>
      </c>
      <c r="G258" s="88">
        <v>3600</v>
      </c>
      <c r="H258" s="88"/>
      <c r="I258" s="88">
        <f t="shared" si="86"/>
        <v>3600</v>
      </c>
    </row>
    <row r="259" spans="2:9" x14ac:dyDescent="0.2">
      <c r="B259" s="120">
        <f t="shared" si="96"/>
        <v>254</v>
      </c>
      <c r="C259" s="70"/>
      <c r="D259" s="67"/>
      <c r="E259" s="71"/>
      <c r="F259" s="5" t="s">
        <v>322</v>
      </c>
      <c r="G259" s="122">
        <f>G260</f>
        <v>141500</v>
      </c>
      <c r="H259" s="122">
        <f t="shared" ref="H259:H260" si="110">H260</f>
        <v>0</v>
      </c>
      <c r="I259" s="122">
        <f t="shared" si="86"/>
        <v>141500</v>
      </c>
    </row>
    <row r="260" spans="2:9" x14ac:dyDescent="0.2">
      <c r="B260" s="120">
        <f t="shared" si="96"/>
        <v>255</v>
      </c>
      <c r="C260" s="72">
        <v>220</v>
      </c>
      <c r="D260" s="68"/>
      <c r="E260" s="73"/>
      <c r="F260" s="2" t="s">
        <v>226</v>
      </c>
      <c r="G260" s="115">
        <f>G261</f>
        <v>141500</v>
      </c>
      <c r="H260" s="115">
        <f t="shared" si="110"/>
        <v>0</v>
      </c>
      <c r="I260" s="115">
        <f t="shared" si="86"/>
        <v>141500</v>
      </c>
    </row>
    <row r="261" spans="2:9" x14ac:dyDescent="0.2">
      <c r="B261" s="120">
        <f t="shared" si="96"/>
        <v>256</v>
      </c>
      <c r="C261" s="74"/>
      <c r="D261" s="69">
        <v>223</v>
      </c>
      <c r="E261" s="75"/>
      <c r="F261" s="3" t="s">
        <v>255</v>
      </c>
      <c r="G261" s="87">
        <f>G262+G263+G264</f>
        <v>141500</v>
      </c>
      <c r="H261" s="87">
        <f t="shared" ref="H261" si="111">H262+H263+H264</f>
        <v>0</v>
      </c>
      <c r="I261" s="87">
        <f t="shared" si="86"/>
        <v>141500</v>
      </c>
    </row>
    <row r="262" spans="2:9" x14ac:dyDescent="0.2">
      <c r="B262" s="120">
        <f t="shared" si="96"/>
        <v>257</v>
      </c>
      <c r="C262" s="12"/>
      <c r="D262" s="4"/>
      <c r="E262" s="13">
        <v>223001</v>
      </c>
      <c r="F262" s="4" t="s">
        <v>317</v>
      </c>
      <c r="G262" s="88">
        <v>104000</v>
      </c>
      <c r="H262" s="88"/>
      <c r="I262" s="88">
        <f t="shared" si="86"/>
        <v>104000</v>
      </c>
    </row>
    <row r="263" spans="2:9" x14ac:dyDescent="0.2">
      <c r="B263" s="120">
        <f t="shared" si="96"/>
        <v>258</v>
      </c>
      <c r="C263" s="12"/>
      <c r="D263" s="4"/>
      <c r="E263" s="13">
        <v>223001</v>
      </c>
      <c r="F263" s="4" t="s">
        <v>319</v>
      </c>
      <c r="G263" s="88">
        <v>10500</v>
      </c>
      <c r="H263" s="88"/>
      <c r="I263" s="88">
        <f t="shared" ref="I263:I326" si="112">G263+H263</f>
        <v>10500</v>
      </c>
    </row>
    <row r="264" spans="2:9" x14ac:dyDescent="0.2">
      <c r="B264" s="120">
        <f t="shared" si="96"/>
        <v>259</v>
      </c>
      <c r="C264" s="12"/>
      <c r="D264" s="4"/>
      <c r="E264" s="13">
        <v>223001</v>
      </c>
      <c r="F264" s="4" t="s">
        <v>318</v>
      </c>
      <c r="G264" s="88">
        <v>27000</v>
      </c>
      <c r="H264" s="88"/>
      <c r="I264" s="88">
        <f t="shared" si="112"/>
        <v>27000</v>
      </c>
    </row>
    <row r="265" spans="2:9" x14ac:dyDescent="0.2">
      <c r="B265" s="120">
        <f t="shared" si="96"/>
        <v>260</v>
      </c>
      <c r="C265" s="70"/>
      <c r="D265" s="67"/>
      <c r="E265" s="71"/>
      <c r="F265" s="5" t="s">
        <v>325</v>
      </c>
      <c r="G265" s="122">
        <f>G266</f>
        <v>88500</v>
      </c>
      <c r="H265" s="122">
        <f t="shared" ref="H265:H266" si="113">H266</f>
        <v>0</v>
      </c>
      <c r="I265" s="122">
        <f t="shared" si="112"/>
        <v>88500</v>
      </c>
    </row>
    <row r="266" spans="2:9" x14ac:dyDescent="0.2">
      <c r="B266" s="120">
        <f t="shared" si="96"/>
        <v>261</v>
      </c>
      <c r="C266" s="72">
        <v>220</v>
      </c>
      <c r="D266" s="68"/>
      <c r="E266" s="73"/>
      <c r="F266" s="2" t="s">
        <v>226</v>
      </c>
      <c r="G266" s="115">
        <f>G267</f>
        <v>88500</v>
      </c>
      <c r="H266" s="115">
        <f t="shared" si="113"/>
        <v>0</v>
      </c>
      <c r="I266" s="115">
        <f t="shared" si="112"/>
        <v>88500</v>
      </c>
    </row>
    <row r="267" spans="2:9" x14ac:dyDescent="0.2">
      <c r="B267" s="120">
        <f t="shared" si="96"/>
        <v>262</v>
      </c>
      <c r="C267" s="74"/>
      <c r="D267" s="69">
        <v>223</v>
      </c>
      <c r="E267" s="75"/>
      <c r="F267" s="3" t="s">
        <v>255</v>
      </c>
      <c r="G267" s="87">
        <f>G268+G269</f>
        <v>88500</v>
      </c>
      <c r="H267" s="87">
        <f t="shared" ref="H267" si="114">H268+H269</f>
        <v>0</v>
      </c>
      <c r="I267" s="87">
        <f t="shared" si="112"/>
        <v>88500</v>
      </c>
    </row>
    <row r="268" spans="2:9" x14ac:dyDescent="0.2">
      <c r="B268" s="120">
        <f t="shared" si="96"/>
        <v>263</v>
      </c>
      <c r="C268" s="12"/>
      <c r="D268" s="4"/>
      <c r="E268" s="13">
        <v>223001</v>
      </c>
      <c r="F268" s="4" t="s">
        <v>323</v>
      </c>
      <c r="G268" s="88">
        <v>83000</v>
      </c>
      <c r="H268" s="88"/>
      <c r="I268" s="88">
        <f t="shared" si="112"/>
        <v>83000</v>
      </c>
    </row>
    <row r="269" spans="2:9" x14ac:dyDescent="0.2">
      <c r="B269" s="120">
        <f t="shared" si="96"/>
        <v>264</v>
      </c>
      <c r="C269" s="12"/>
      <c r="D269" s="4"/>
      <c r="E269" s="13">
        <v>223001</v>
      </c>
      <c r="F269" s="4" t="s">
        <v>324</v>
      </c>
      <c r="G269" s="88">
        <v>5500</v>
      </c>
      <c r="H269" s="88"/>
      <c r="I269" s="88">
        <f t="shared" si="112"/>
        <v>5500</v>
      </c>
    </row>
    <row r="270" spans="2:9" x14ac:dyDescent="0.2">
      <c r="B270" s="120">
        <f t="shared" si="96"/>
        <v>265</v>
      </c>
      <c r="C270" s="70"/>
      <c r="D270" s="67"/>
      <c r="E270" s="71"/>
      <c r="F270" s="5" t="s">
        <v>46</v>
      </c>
      <c r="G270" s="122">
        <f>G271</f>
        <v>11400</v>
      </c>
      <c r="H270" s="122">
        <f t="shared" ref="H270:H272" si="115">H271</f>
        <v>0</v>
      </c>
      <c r="I270" s="122">
        <f t="shared" si="112"/>
        <v>11400</v>
      </c>
    </row>
    <row r="271" spans="2:9" x14ac:dyDescent="0.2">
      <c r="B271" s="120">
        <f t="shared" si="96"/>
        <v>266</v>
      </c>
      <c r="C271" s="72">
        <v>220</v>
      </c>
      <c r="D271" s="68"/>
      <c r="E271" s="73"/>
      <c r="F271" s="2" t="s">
        <v>226</v>
      </c>
      <c r="G271" s="115">
        <f>G272</f>
        <v>11400</v>
      </c>
      <c r="H271" s="115">
        <f t="shared" si="115"/>
        <v>0</v>
      </c>
      <c r="I271" s="115">
        <f t="shared" si="112"/>
        <v>11400</v>
      </c>
    </row>
    <row r="272" spans="2:9" x14ac:dyDescent="0.2">
      <c r="B272" s="120">
        <f t="shared" si="96"/>
        <v>267</v>
      </c>
      <c r="C272" s="74"/>
      <c r="D272" s="69">
        <v>223</v>
      </c>
      <c r="E272" s="75"/>
      <c r="F272" s="3" t="s">
        <v>255</v>
      </c>
      <c r="G272" s="87">
        <f>G273</f>
        <v>11400</v>
      </c>
      <c r="H272" s="87">
        <f t="shared" si="115"/>
        <v>0</v>
      </c>
      <c r="I272" s="87">
        <f t="shared" si="112"/>
        <v>11400</v>
      </c>
    </row>
    <row r="273" spans="2:9" ht="13.5" thickBot="1" x14ac:dyDescent="0.25">
      <c r="B273" s="120">
        <f t="shared" si="96"/>
        <v>268</v>
      </c>
      <c r="C273" s="12"/>
      <c r="D273" s="150"/>
      <c r="E273" s="13">
        <v>223001</v>
      </c>
      <c r="F273" s="4" t="s">
        <v>256</v>
      </c>
      <c r="G273" s="88">
        <v>11400</v>
      </c>
      <c r="H273" s="88"/>
      <c r="I273" s="88">
        <f t="shared" si="112"/>
        <v>11400</v>
      </c>
    </row>
    <row r="274" spans="2:9" ht="15.75" thickBot="1" x14ac:dyDescent="0.3">
      <c r="B274" s="120">
        <f t="shared" si="96"/>
        <v>269</v>
      </c>
      <c r="C274" s="76">
        <v>6</v>
      </c>
      <c r="D274" s="163"/>
      <c r="E274" s="77"/>
      <c r="F274" s="9" t="s">
        <v>12</v>
      </c>
      <c r="G274" s="17">
        <f>G286+G283+G278+G275</f>
        <v>102100</v>
      </c>
      <c r="H274" s="17">
        <f t="shared" ref="H274" si="116">H286+H283+H278+H275</f>
        <v>0</v>
      </c>
      <c r="I274" s="17">
        <f t="shared" si="112"/>
        <v>102100</v>
      </c>
    </row>
    <row r="275" spans="2:9" x14ac:dyDescent="0.2">
      <c r="B275" s="120">
        <f t="shared" si="96"/>
        <v>270</v>
      </c>
      <c r="C275" s="70">
        <v>210</v>
      </c>
      <c r="D275" s="162"/>
      <c r="E275" s="71"/>
      <c r="F275" s="5" t="s">
        <v>251</v>
      </c>
      <c r="G275" s="122">
        <f>G276</f>
        <v>1350</v>
      </c>
      <c r="H275" s="122">
        <f t="shared" ref="H275:H276" si="117">H276</f>
        <v>0</v>
      </c>
      <c r="I275" s="122">
        <f t="shared" si="112"/>
        <v>1350</v>
      </c>
    </row>
    <row r="276" spans="2:9" x14ac:dyDescent="0.2">
      <c r="B276" s="120">
        <f t="shared" si="96"/>
        <v>271</v>
      </c>
      <c r="C276" s="72"/>
      <c r="D276" s="68">
        <v>212</v>
      </c>
      <c r="E276" s="73"/>
      <c r="F276" s="2" t="s">
        <v>252</v>
      </c>
      <c r="G276" s="115">
        <f>G277</f>
        <v>1350</v>
      </c>
      <c r="H276" s="115">
        <f t="shared" si="117"/>
        <v>0</v>
      </c>
      <c r="I276" s="115">
        <f t="shared" si="112"/>
        <v>1350</v>
      </c>
    </row>
    <row r="277" spans="2:9" x14ac:dyDescent="0.2">
      <c r="B277" s="120">
        <f t="shared" si="96"/>
        <v>272</v>
      </c>
      <c r="C277" s="74"/>
      <c r="D277" s="69"/>
      <c r="E277" s="75">
        <v>212003</v>
      </c>
      <c r="F277" s="3" t="s">
        <v>253</v>
      </c>
      <c r="G277" s="87">
        <v>1350</v>
      </c>
      <c r="H277" s="87"/>
      <c r="I277" s="87">
        <f t="shared" si="112"/>
        <v>1350</v>
      </c>
    </row>
    <row r="278" spans="2:9" x14ac:dyDescent="0.2">
      <c r="B278" s="120">
        <f t="shared" si="96"/>
        <v>273</v>
      </c>
      <c r="C278" s="70">
        <v>220</v>
      </c>
      <c r="D278" s="67"/>
      <c r="E278" s="71"/>
      <c r="F278" s="5" t="s">
        <v>226</v>
      </c>
      <c r="G278" s="122">
        <f>G279</f>
        <v>100345</v>
      </c>
      <c r="H278" s="122">
        <f t="shared" ref="H278" si="118">H279</f>
        <v>0</v>
      </c>
      <c r="I278" s="122">
        <f t="shared" si="112"/>
        <v>100345</v>
      </c>
    </row>
    <row r="279" spans="2:9" x14ac:dyDescent="0.2">
      <c r="B279" s="120">
        <f t="shared" ref="B279:B343" si="119">B278+1</f>
        <v>274</v>
      </c>
      <c r="C279" s="72"/>
      <c r="D279" s="68">
        <v>223</v>
      </c>
      <c r="E279" s="73"/>
      <c r="F279" s="2" t="s">
        <v>255</v>
      </c>
      <c r="G279" s="115">
        <f>G282+G281+G280</f>
        <v>100345</v>
      </c>
      <c r="H279" s="115">
        <f t="shared" ref="H279" si="120">H282+H281+H280</f>
        <v>0</v>
      </c>
      <c r="I279" s="115">
        <f t="shared" si="112"/>
        <v>100345</v>
      </c>
    </row>
    <row r="280" spans="2:9" x14ac:dyDescent="0.2">
      <c r="B280" s="120">
        <f t="shared" si="119"/>
        <v>275</v>
      </c>
      <c r="C280" s="74"/>
      <c r="D280" s="69"/>
      <c r="E280" s="75">
        <v>223001</v>
      </c>
      <c r="F280" s="3" t="s">
        <v>256</v>
      </c>
      <c r="G280" s="87">
        <v>7700</v>
      </c>
      <c r="H280" s="87"/>
      <c r="I280" s="87">
        <f t="shared" si="112"/>
        <v>7700</v>
      </c>
    </row>
    <row r="281" spans="2:9" x14ac:dyDescent="0.2">
      <c r="B281" s="120">
        <f t="shared" si="119"/>
        <v>276</v>
      </c>
      <c r="C281" s="74"/>
      <c r="D281" s="69"/>
      <c r="E281" s="75">
        <v>223002</v>
      </c>
      <c r="F281" s="3" t="s">
        <v>76</v>
      </c>
      <c r="G281" s="87">
        <v>12000</v>
      </c>
      <c r="H281" s="87"/>
      <c r="I281" s="87">
        <f t="shared" si="112"/>
        <v>12000</v>
      </c>
    </row>
    <row r="282" spans="2:9" x14ac:dyDescent="0.2">
      <c r="B282" s="120">
        <f t="shared" si="119"/>
        <v>277</v>
      </c>
      <c r="C282" s="74"/>
      <c r="D282" s="69"/>
      <c r="E282" s="75">
        <v>223003</v>
      </c>
      <c r="F282" s="52" t="s">
        <v>77</v>
      </c>
      <c r="G282" s="87">
        <v>80645</v>
      </c>
      <c r="H282" s="87"/>
      <c r="I282" s="87">
        <f t="shared" si="112"/>
        <v>80645</v>
      </c>
    </row>
    <row r="283" spans="2:9" x14ac:dyDescent="0.2">
      <c r="B283" s="120">
        <f t="shared" si="119"/>
        <v>278</v>
      </c>
      <c r="C283" s="70">
        <v>240</v>
      </c>
      <c r="D283" s="67"/>
      <c r="E283" s="71"/>
      <c r="F283" s="5" t="s">
        <v>179</v>
      </c>
      <c r="G283" s="122">
        <f>G284</f>
        <v>5</v>
      </c>
      <c r="H283" s="122">
        <f t="shared" ref="H283:H284" si="121">H284</f>
        <v>0</v>
      </c>
      <c r="I283" s="122">
        <f t="shared" si="112"/>
        <v>5</v>
      </c>
    </row>
    <row r="284" spans="2:9" x14ac:dyDescent="0.2">
      <c r="B284" s="120">
        <f t="shared" si="119"/>
        <v>279</v>
      </c>
      <c r="C284" s="72"/>
      <c r="D284" s="68">
        <v>242</v>
      </c>
      <c r="E284" s="73"/>
      <c r="F284" s="2" t="s">
        <v>178</v>
      </c>
      <c r="G284" s="115">
        <f>G285</f>
        <v>5</v>
      </c>
      <c r="H284" s="115">
        <f t="shared" si="121"/>
        <v>0</v>
      </c>
      <c r="I284" s="115">
        <f t="shared" si="112"/>
        <v>5</v>
      </c>
    </row>
    <row r="285" spans="2:9" x14ac:dyDescent="0.2">
      <c r="B285" s="120">
        <f t="shared" si="119"/>
        <v>280</v>
      </c>
      <c r="C285" s="74"/>
      <c r="D285" s="69"/>
      <c r="E285" s="75">
        <v>242</v>
      </c>
      <c r="F285" s="3" t="s">
        <v>178</v>
      </c>
      <c r="G285" s="87">
        <v>5</v>
      </c>
      <c r="H285" s="87"/>
      <c r="I285" s="87">
        <f t="shared" si="112"/>
        <v>5</v>
      </c>
    </row>
    <row r="286" spans="2:9" x14ac:dyDescent="0.2">
      <c r="B286" s="120">
        <f t="shared" si="119"/>
        <v>281</v>
      </c>
      <c r="C286" s="70">
        <v>290</v>
      </c>
      <c r="D286" s="67"/>
      <c r="E286" s="71"/>
      <c r="F286" s="5" t="s">
        <v>181</v>
      </c>
      <c r="G286" s="122">
        <f>G287</f>
        <v>400</v>
      </c>
      <c r="H286" s="122">
        <f t="shared" ref="H286" si="122">H287</f>
        <v>0</v>
      </c>
      <c r="I286" s="122">
        <f t="shared" si="112"/>
        <v>400</v>
      </c>
    </row>
    <row r="287" spans="2:9" x14ac:dyDescent="0.2">
      <c r="B287" s="120">
        <f t="shared" si="119"/>
        <v>282</v>
      </c>
      <c r="C287" s="72"/>
      <c r="D287" s="68">
        <v>292</v>
      </c>
      <c r="E287" s="73"/>
      <c r="F287" s="2" t="s">
        <v>182</v>
      </c>
      <c r="G287" s="115">
        <f>SUM(G288:G288)</f>
        <v>400</v>
      </c>
      <c r="H287" s="115">
        <f t="shared" ref="H287" si="123">SUM(H288:H288)</f>
        <v>0</v>
      </c>
      <c r="I287" s="115">
        <f t="shared" si="112"/>
        <v>400</v>
      </c>
    </row>
    <row r="288" spans="2:9" ht="13.5" thickBot="1" x14ac:dyDescent="0.25">
      <c r="B288" s="120">
        <f t="shared" si="119"/>
        <v>283</v>
      </c>
      <c r="C288" s="74"/>
      <c r="D288" s="69"/>
      <c r="E288" s="75">
        <v>292012</v>
      </c>
      <c r="F288" s="3" t="s">
        <v>237</v>
      </c>
      <c r="G288" s="87">
        <v>400</v>
      </c>
      <c r="H288" s="87"/>
      <c r="I288" s="87">
        <f t="shared" si="112"/>
        <v>400</v>
      </c>
    </row>
    <row r="289" spans="2:9" ht="15.75" thickBot="1" x14ac:dyDescent="0.3">
      <c r="B289" s="120">
        <f t="shared" si="119"/>
        <v>284</v>
      </c>
      <c r="C289" s="76">
        <v>7</v>
      </c>
      <c r="D289" s="163"/>
      <c r="E289" s="77"/>
      <c r="F289" s="9" t="s">
        <v>13</v>
      </c>
      <c r="G289" s="17">
        <f>G293+G290</f>
        <v>98800</v>
      </c>
      <c r="H289" s="17">
        <f t="shared" ref="H289" si="124">H293+H290</f>
        <v>0</v>
      </c>
      <c r="I289" s="17">
        <f t="shared" si="112"/>
        <v>98800</v>
      </c>
    </row>
    <row r="290" spans="2:9" x14ac:dyDescent="0.2">
      <c r="B290" s="120">
        <f t="shared" si="119"/>
        <v>285</v>
      </c>
      <c r="C290" s="70">
        <v>210</v>
      </c>
      <c r="D290" s="162"/>
      <c r="E290" s="71"/>
      <c r="F290" s="5" t="s">
        <v>251</v>
      </c>
      <c r="G290" s="122">
        <f>G291</f>
        <v>2000</v>
      </c>
      <c r="H290" s="122">
        <f t="shared" ref="H290:H291" si="125">H291</f>
        <v>0</v>
      </c>
      <c r="I290" s="122">
        <f t="shared" si="112"/>
        <v>2000</v>
      </c>
    </row>
    <row r="291" spans="2:9" x14ac:dyDescent="0.2">
      <c r="B291" s="120">
        <f t="shared" si="119"/>
        <v>286</v>
      </c>
      <c r="C291" s="72"/>
      <c r="D291" s="68">
        <v>212</v>
      </c>
      <c r="E291" s="73"/>
      <c r="F291" s="2" t="s">
        <v>252</v>
      </c>
      <c r="G291" s="115">
        <f>G292</f>
        <v>2000</v>
      </c>
      <c r="H291" s="115">
        <f t="shared" si="125"/>
        <v>0</v>
      </c>
      <c r="I291" s="115">
        <f t="shared" si="112"/>
        <v>2000</v>
      </c>
    </row>
    <row r="292" spans="2:9" x14ac:dyDescent="0.2">
      <c r="B292" s="120">
        <f t="shared" si="119"/>
        <v>287</v>
      </c>
      <c r="C292" s="74"/>
      <c r="D292" s="69"/>
      <c r="E292" s="75">
        <v>212003</v>
      </c>
      <c r="F292" s="3" t="s">
        <v>253</v>
      </c>
      <c r="G292" s="87">
        <v>2000</v>
      </c>
      <c r="H292" s="87"/>
      <c r="I292" s="87">
        <f t="shared" si="112"/>
        <v>2000</v>
      </c>
    </row>
    <row r="293" spans="2:9" x14ac:dyDescent="0.2">
      <c r="B293" s="120">
        <f t="shared" si="119"/>
        <v>288</v>
      </c>
      <c r="C293" s="70">
        <v>220</v>
      </c>
      <c r="D293" s="67"/>
      <c r="E293" s="71"/>
      <c r="F293" s="5" t="s">
        <v>226</v>
      </c>
      <c r="G293" s="122">
        <f>G294</f>
        <v>96800</v>
      </c>
      <c r="H293" s="122">
        <f t="shared" ref="H293" si="126">H294</f>
        <v>0</v>
      </c>
      <c r="I293" s="122">
        <f t="shared" si="112"/>
        <v>96800</v>
      </c>
    </row>
    <row r="294" spans="2:9" x14ac:dyDescent="0.2">
      <c r="B294" s="120">
        <f t="shared" si="119"/>
        <v>289</v>
      </c>
      <c r="C294" s="72"/>
      <c r="D294" s="68">
        <v>223</v>
      </c>
      <c r="E294" s="73"/>
      <c r="F294" s="2" t="s">
        <v>255</v>
      </c>
      <c r="G294" s="115">
        <f>G296+G295</f>
        <v>96800</v>
      </c>
      <c r="H294" s="115">
        <f t="shared" ref="H294" si="127">H296+H295</f>
        <v>0</v>
      </c>
      <c r="I294" s="115">
        <f t="shared" si="112"/>
        <v>96800</v>
      </c>
    </row>
    <row r="295" spans="2:9" x14ac:dyDescent="0.2">
      <c r="B295" s="120">
        <f t="shared" si="119"/>
        <v>290</v>
      </c>
      <c r="C295" s="74"/>
      <c r="D295" s="69"/>
      <c r="E295" s="75">
        <v>223002</v>
      </c>
      <c r="F295" s="3" t="s">
        <v>76</v>
      </c>
      <c r="G295" s="87">
        <v>15800</v>
      </c>
      <c r="H295" s="87"/>
      <c r="I295" s="87">
        <f t="shared" si="112"/>
        <v>15800</v>
      </c>
    </row>
    <row r="296" spans="2:9" ht="13.5" thickBot="1" x14ac:dyDescent="0.25">
      <c r="B296" s="120">
        <f t="shared" si="119"/>
        <v>291</v>
      </c>
      <c r="C296" s="74"/>
      <c r="D296" s="69"/>
      <c r="E296" s="75">
        <v>223003</v>
      </c>
      <c r="F296" s="52" t="s">
        <v>77</v>
      </c>
      <c r="G296" s="87">
        <v>81000</v>
      </c>
      <c r="H296" s="87"/>
      <c r="I296" s="87">
        <f t="shared" si="112"/>
        <v>81000</v>
      </c>
    </row>
    <row r="297" spans="2:9" ht="15.75" thickBot="1" x14ac:dyDescent="0.3">
      <c r="B297" s="120">
        <f t="shared" si="119"/>
        <v>292</v>
      </c>
      <c r="C297" s="76">
        <v>8</v>
      </c>
      <c r="D297" s="163"/>
      <c r="E297" s="77"/>
      <c r="F297" s="9" t="s">
        <v>10</v>
      </c>
      <c r="G297" s="17">
        <f>G304+G301+G298</f>
        <v>42860</v>
      </c>
      <c r="H297" s="17">
        <f t="shared" ref="H297" si="128">H304+H301+H298</f>
        <v>0</v>
      </c>
      <c r="I297" s="17">
        <f t="shared" si="112"/>
        <v>42860</v>
      </c>
    </row>
    <row r="298" spans="2:9" x14ac:dyDescent="0.2">
      <c r="B298" s="120">
        <f t="shared" si="119"/>
        <v>293</v>
      </c>
      <c r="C298" s="70">
        <v>210</v>
      </c>
      <c r="D298" s="162"/>
      <c r="E298" s="71"/>
      <c r="F298" s="5" t="s">
        <v>251</v>
      </c>
      <c r="G298" s="122">
        <f>G299</f>
        <v>20100</v>
      </c>
      <c r="H298" s="122">
        <f t="shared" ref="H298:H299" si="129">H299</f>
        <v>0</v>
      </c>
      <c r="I298" s="122">
        <f t="shared" si="112"/>
        <v>20100</v>
      </c>
    </row>
    <row r="299" spans="2:9" x14ac:dyDescent="0.2">
      <c r="B299" s="120">
        <f t="shared" si="119"/>
        <v>294</v>
      </c>
      <c r="C299" s="72"/>
      <c r="D299" s="68">
        <v>212</v>
      </c>
      <c r="E299" s="73"/>
      <c r="F299" s="2" t="s">
        <v>252</v>
      </c>
      <c r="G299" s="115">
        <f>G300</f>
        <v>20100</v>
      </c>
      <c r="H299" s="115">
        <f t="shared" si="129"/>
        <v>0</v>
      </c>
      <c r="I299" s="115">
        <f t="shared" si="112"/>
        <v>20100</v>
      </c>
    </row>
    <row r="300" spans="2:9" x14ac:dyDescent="0.2">
      <c r="B300" s="120">
        <f t="shared" si="119"/>
        <v>295</v>
      </c>
      <c r="C300" s="74"/>
      <c r="D300" s="69"/>
      <c r="E300" s="75">
        <v>212003</v>
      </c>
      <c r="F300" s="3" t="s">
        <v>253</v>
      </c>
      <c r="G300" s="87">
        <v>20100</v>
      </c>
      <c r="H300" s="87"/>
      <c r="I300" s="87">
        <f t="shared" si="112"/>
        <v>20100</v>
      </c>
    </row>
    <row r="301" spans="2:9" x14ac:dyDescent="0.2">
      <c r="B301" s="120">
        <f t="shared" si="119"/>
        <v>296</v>
      </c>
      <c r="C301" s="70">
        <v>220</v>
      </c>
      <c r="D301" s="67"/>
      <c r="E301" s="71"/>
      <c r="F301" s="5" t="s">
        <v>226</v>
      </c>
      <c r="G301" s="122">
        <f>G302</f>
        <v>22756</v>
      </c>
      <c r="H301" s="122">
        <f t="shared" ref="H301:H302" si="130">H302</f>
        <v>0</v>
      </c>
      <c r="I301" s="122">
        <f t="shared" si="112"/>
        <v>22756</v>
      </c>
    </row>
    <row r="302" spans="2:9" x14ac:dyDescent="0.2">
      <c r="B302" s="120">
        <f t="shared" si="119"/>
        <v>297</v>
      </c>
      <c r="C302" s="72"/>
      <c r="D302" s="68">
        <v>223</v>
      </c>
      <c r="E302" s="73"/>
      <c r="F302" s="2" t="s">
        <v>255</v>
      </c>
      <c r="G302" s="115">
        <f>G303</f>
        <v>22756</v>
      </c>
      <c r="H302" s="115">
        <f t="shared" si="130"/>
        <v>0</v>
      </c>
      <c r="I302" s="115">
        <f t="shared" si="112"/>
        <v>22756</v>
      </c>
    </row>
    <row r="303" spans="2:9" x14ac:dyDescent="0.2">
      <c r="B303" s="120">
        <f t="shared" si="119"/>
        <v>298</v>
      </c>
      <c r="C303" s="74"/>
      <c r="D303" s="69"/>
      <c r="E303" s="75">
        <v>223002</v>
      </c>
      <c r="F303" s="3" t="s">
        <v>76</v>
      </c>
      <c r="G303" s="87">
        <v>22756</v>
      </c>
      <c r="H303" s="87"/>
      <c r="I303" s="87">
        <f t="shared" si="112"/>
        <v>22756</v>
      </c>
    </row>
    <row r="304" spans="2:9" x14ac:dyDescent="0.2">
      <c r="B304" s="120">
        <f t="shared" si="119"/>
        <v>299</v>
      </c>
      <c r="C304" s="70">
        <v>240</v>
      </c>
      <c r="D304" s="67"/>
      <c r="E304" s="71"/>
      <c r="F304" s="5" t="s">
        <v>179</v>
      </c>
      <c r="G304" s="122">
        <f>G305</f>
        <v>4</v>
      </c>
      <c r="H304" s="122">
        <f t="shared" ref="H304:H305" si="131">H305</f>
        <v>0</v>
      </c>
      <c r="I304" s="122">
        <f t="shared" si="112"/>
        <v>4</v>
      </c>
    </row>
    <row r="305" spans="2:9" x14ac:dyDescent="0.2">
      <c r="B305" s="120">
        <f t="shared" si="119"/>
        <v>300</v>
      </c>
      <c r="C305" s="72"/>
      <c r="D305" s="68">
        <v>242</v>
      </c>
      <c r="E305" s="73"/>
      <c r="F305" s="2" t="s">
        <v>178</v>
      </c>
      <c r="G305" s="115">
        <f>G306</f>
        <v>4</v>
      </c>
      <c r="H305" s="115">
        <f t="shared" si="131"/>
        <v>0</v>
      </c>
      <c r="I305" s="115">
        <f t="shared" si="112"/>
        <v>4</v>
      </c>
    </row>
    <row r="306" spans="2:9" ht="13.5" thickBot="1" x14ac:dyDescent="0.25">
      <c r="B306" s="120">
        <f t="shared" si="119"/>
        <v>301</v>
      </c>
      <c r="C306" s="74"/>
      <c r="D306" s="69"/>
      <c r="E306" s="75">
        <v>242</v>
      </c>
      <c r="F306" s="3" t="s">
        <v>178</v>
      </c>
      <c r="G306" s="87">
        <v>4</v>
      </c>
      <c r="H306" s="87"/>
      <c r="I306" s="87">
        <f t="shared" si="112"/>
        <v>4</v>
      </c>
    </row>
    <row r="307" spans="2:9" ht="15.75" thickBot="1" x14ac:dyDescent="0.3">
      <c r="B307" s="120">
        <f t="shared" si="119"/>
        <v>302</v>
      </c>
      <c r="C307" s="76">
        <v>9</v>
      </c>
      <c r="D307" s="163"/>
      <c r="E307" s="77"/>
      <c r="F307" s="9" t="s">
        <v>8</v>
      </c>
      <c r="G307" s="17">
        <f>G316+G311+G308</f>
        <v>86860</v>
      </c>
      <c r="H307" s="17">
        <f t="shared" ref="H307" si="132">H316+H311+H308</f>
        <v>0</v>
      </c>
      <c r="I307" s="17">
        <f t="shared" si="112"/>
        <v>86860</v>
      </c>
    </row>
    <row r="308" spans="2:9" x14ac:dyDescent="0.2">
      <c r="B308" s="120">
        <f t="shared" si="119"/>
        <v>303</v>
      </c>
      <c r="C308" s="70">
        <v>210</v>
      </c>
      <c r="D308" s="162"/>
      <c r="E308" s="71"/>
      <c r="F308" s="5" t="s">
        <v>251</v>
      </c>
      <c r="G308" s="122">
        <f>G309</f>
        <v>3000</v>
      </c>
      <c r="H308" s="122">
        <f t="shared" ref="H308:H309" si="133">H309</f>
        <v>0</v>
      </c>
      <c r="I308" s="122">
        <f t="shared" si="112"/>
        <v>3000</v>
      </c>
    </row>
    <row r="309" spans="2:9" x14ac:dyDescent="0.2">
      <c r="B309" s="120">
        <f t="shared" si="119"/>
        <v>304</v>
      </c>
      <c r="C309" s="72"/>
      <c r="D309" s="68">
        <v>212</v>
      </c>
      <c r="E309" s="73"/>
      <c r="F309" s="2" t="s">
        <v>252</v>
      </c>
      <c r="G309" s="115">
        <f>G310</f>
        <v>3000</v>
      </c>
      <c r="H309" s="115">
        <f t="shared" si="133"/>
        <v>0</v>
      </c>
      <c r="I309" s="115">
        <f t="shared" si="112"/>
        <v>3000</v>
      </c>
    </row>
    <row r="310" spans="2:9" x14ac:dyDescent="0.2">
      <c r="B310" s="120">
        <f t="shared" si="119"/>
        <v>305</v>
      </c>
      <c r="C310" s="74"/>
      <c r="D310" s="69"/>
      <c r="E310" s="75">
        <v>212003</v>
      </c>
      <c r="F310" s="3" t="s">
        <v>253</v>
      </c>
      <c r="G310" s="87">
        <v>3000</v>
      </c>
      <c r="H310" s="87"/>
      <c r="I310" s="87">
        <f t="shared" si="112"/>
        <v>3000</v>
      </c>
    </row>
    <row r="311" spans="2:9" x14ac:dyDescent="0.2">
      <c r="B311" s="120">
        <f t="shared" si="119"/>
        <v>306</v>
      </c>
      <c r="C311" s="70">
        <v>220</v>
      </c>
      <c r="D311" s="67"/>
      <c r="E311" s="71"/>
      <c r="F311" s="5" t="s">
        <v>226</v>
      </c>
      <c r="G311" s="122">
        <f>G312</f>
        <v>83360</v>
      </c>
      <c r="H311" s="122">
        <f t="shared" ref="H311" si="134">H312</f>
        <v>0</v>
      </c>
      <c r="I311" s="122">
        <f t="shared" si="112"/>
        <v>83360</v>
      </c>
    </row>
    <row r="312" spans="2:9" x14ac:dyDescent="0.2">
      <c r="B312" s="120">
        <f t="shared" si="119"/>
        <v>307</v>
      </c>
      <c r="C312" s="72"/>
      <c r="D312" s="68">
        <v>223</v>
      </c>
      <c r="E312" s="73"/>
      <c r="F312" s="2" t="s">
        <v>255</v>
      </c>
      <c r="G312" s="115">
        <f>G315+G314+G313</f>
        <v>83360</v>
      </c>
      <c r="H312" s="115">
        <f t="shared" ref="H312" si="135">H315+H314+H313</f>
        <v>0</v>
      </c>
      <c r="I312" s="115">
        <f t="shared" si="112"/>
        <v>83360</v>
      </c>
    </row>
    <row r="313" spans="2:9" x14ac:dyDescent="0.2">
      <c r="B313" s="120">
        <f t="shared" si="119"/>
        <v>308</v>
      </c>
      <c r="C313" s="74"/>
      <c r="D313" s="69"/>
      <c r="E313" s="75">
        <v>223001</v>
      </c>
      <c r="F313" s="3" t="s">
        <v>256</v>
      </c>
      <c r="G313" s="87">
        <v>7800</v>
      </c>
      <c r="H313" s="87"/>
      <c r="I313" s="87">
        <f t="shared" si="112"/>
        <v>7800</v>
      </c>
    </row>
    <row r="314" spans="2:9" x14ac:dyDescent="0.2">
      <c r="B314" s="120">
        <f t="shared" si="119"/>
        <v>309</v>
      </c>
      <c r="C314" s="74"/>
      <c r="D314" s="69"/>
      <c r="E314" s="75">
        <v>223002</v>
      </c>
      <c r="F314" s="52" t="s">
        <v>76</v>
      </c>
      <c r="G314" s="87">
        <v>9560</v>
      </c>
      <c r="H314" s="87"/>
      <c r="I314" s="87">
        <f t="shared" si="112"/>
        <v>9560</v>
      </c>
    </row>
    <row r="315" spans="2:9" x14ac:dyDescent="0.2">
      <c r="B315" s="120">
        <f t="shared" si="119"/>
        <v>310</v>
      </c>
      <c r="C315" s="74"/>
      <c r="D315" s="69"/>
      <c r="E315" s="75">
        <v>223003</v>
      </c>
      <c r="F315" s="52" t="s">
        <v>77</v>
      </c>
      <c r="G315" s="87">
        <v>66000</v>
      </c>
      <c r="H315" s="87"/>
      <c r="I315" s="87">
        <f t="shared" si="112"/>
        <v>66000</v>
      </c>
    </row>
    <row r="316" spans="2:9" x14ac:dyDescent="0.2">
      <c r="B316" s="120">
        <f t="shared" si="119"/>
        <v>311</v>
      </c>
      <c r="C316" s="70">
        <v>290</v>
      </c>
      <c r="D316" s="67"/>
      <c r="E316" s="71"/>
      <c r="F316" s="5" t="s">
        <v>181</v>
      </c>
      <c r="G316" s="122">
        <f>G317</f>
        <v>500</v>
      </c>
      <c r="H316" s="122">
        <f t="shared" ref="H316:H317" si="136">H317</f>
        <v>0</v>
      </c>
      <c r="I316" s="122">
        <f t="shared" si="112"/>
        <v>500</v>
      </c>
    </row>
    <row r="317" spans="2:9" x14ac:dyDescent="0.2">
      <c r="B317" s="120">
        <f t="shared" si="119"/>
        <v>312</v>
      </c>
      <c r="C317" s="72"/>
      <c r="D317" s="68">
        <v>292</v>
      </c>
      <c r="E317" s="73"/>
      <c r="F317" s="2" t="s">
        <v>182</v>
      </c>
      <c r="G317" s="115">
        <f>G318</f>
        <v>500</v>
      </c>
      <c r="H317" s="115">
        <f t="shared" si="136"/>
        <v>0</v>
      </c>
      <c r="I317" s="115">
        <f t="shared" si="112"/>
        <v>500</v>
      </c>
    </row>
    <row r="318" spans="2:9" ht="13.5" thickBot="1" x14ac:dyDescent="0.25">
      <c r="B318" s="120">
        <f t="shared" si="119"/>
        <v>313</v>
      </c>
      <c r="C318" s="74"/>
      <c r="D318" s="161"/>
      <c r="E318" s="75">
        <v>292012</v>
      </c>
      <c r="F318" s="3" t="s">
        <v>237</v>
      </c>
      <c r="G318" s="87">
        <v>500</v>
      </c>
      <c r="H318" s="87"/>
      <c r="I318" s="87">
        <f t="shared" si="112"/>
        <v>500</v>
      </c>
    </row>
    <row r="319" spans="2:9" ht="15.75" thickBot="1" x14ac:dyDescent="0.3">
      <c r="B319" s="120">
        <f t="shared" si="119"/>
        <v>314</v>
      </c>
      <c r="C319" s="76">
        <v>10</v>
      </c>
      <c r="D319" s="163"/>
      <c r="E319" s="77"/>
      <c r="F319" s="9" t="s">
        <v>2</v>
      </c>
      <c r="G319" s="17">
        <f>G328+G323+G320</f>
        <v>105000</v>
      </c>
      <c r="H319" s="17">
        <f t="shared" ref="H319" si="137">H328+H323+H320</f>
        <v>0</v>
      </c>
      <c r="I319" s="17">
        <f t="shared" si="112"/>
        <v>105000</v>
      </c>
    </row>
    <row r="320" spans="2:9" x14ac:dyDescent="0.2">
      <c r="B320" s="120">
        <f t="shared" si="119"/>
        <v>315</v>
      </c>
      <c r="C320" s="70">
        <v>210</v>
      </c>
      <c r="D320" s="162"/>
      <c r="E320" s="71"/>
      <c r="F320" s="5" t="s">
        <v>251</v>
      </c>
      <c r="G320" s="122">
        <f>G321</f>
        <v>7100</v>
      </c>
      <c r="H320" s="122">
        <f t="shared" ref="H320:H321" si="138">H321</f>
        <v>0</v>
      </c>
      <c r="I320" s="122">
        <f t="shared" si="112"/>
        <v>7100</v>
      </c>
    </row>
    <row r="321" spans="2:9" x14ac:dyDescent="0.2">
      <c r="B321" s="120">
        <f t="shared" si="119"/>
        <v>316</v>
      </c>
      <c r="C321" s="72"/>
      <c r="D321" s="68">
        <v>212</v>
      </c>
      <c r="E321" s="73"/>
      <c r="F321" s="2" t="s">
        <v>252</v>
      </c>
      <c r="G321" s="115">
        <f>G322</f>
        <v>7100</v>
      </c>
      <c r="H321" s="115">
        <f t="shared" si="138"/>
        <v>0</v>
      </c>
      <c r="I321" s="115">
        <f t="shared" si="112"/>
        <v>7100</v>
      </c>
    </row>
    <row r="322" spans="2:9" x14ac:dyDescent="0.2">
      <c r="B322" s="120">
        <f t="shared" si="119"/>
        <v>317</v>
      </c>
      <c r="C322" s="74"/>
      <c r="D322" s="69"/>
      <c r="E322" s="75">
        <v>212003</v>
      </c>
      <c r="F322" s="3" t="s">
        <v>253</v>
      </c>
      <c r="G322" s="87">
        <v>7100</v>
      </c>
      <c r="H322" s="87"/>
      <c r="I322" s="87">
        <f t="shared" si="112"/>
        <v>7100</v>
      </c>
    </row>
    <row r="323" spans="2:9" x14ac:dyDescent="0.2">
      <c r="B323" s="120">
        <f t="shared" si="119"/>
        <v>318</v>
      </c>
      <c r="C323" s="70">
        <v>220</v>
      </c>
      <c r="D323" s="67"/>
      <c r="E323" s="71"/>
      <c r="F323" s="5" t="s">
        <v>226</v>
      </c>
      <c r="G323" s="122">
        <f>G324</f>
        <v>97400</v>
      </c>
      <c r="H323" s="122">
        <f t="shared" ref="H323" si="139">H324</f>
        <v>0</v>
      </c>
      <c r="I323" s="122">
        <f t="shared" si="112"/>
        <v>97400</v>
      </c>
    </row>
    <row r="324" spans="2:9" x14ac:dyDescent="0.2">
      <c r="B324" s="120">
        <f t="shared" si="119"/>
        <v>319</v>
      </c>
      <c r="C324" s="72"/>
      <c r="D324" s="68">
        <v>223</v>
      </c>
      <c r="E324" s="73"/>
      <c r="F324" s="2" t="s">
        <v>255</v>
      </c>
      <c r="G324" s="115">
        <f>G327+G326+G325</f>
        <v>97400</v>
      </c>
      <c r="H324" s="115">
        <f t="shared" ref="H324" si="140">H327+H326+H325</f>
        <v>0</v>
      </c>
      <c r="I324" s="115">
        <f t="shared" si="112"/>
        <v>97400</v>
      </c>
    </row>
    <row r="325" spans="2:9" x14ac:dyDescent="0.2">
      <c r="B325" s="120">
        <f t="shared" si="119"/>
        <v>320</v>
      </c>
      <c r="C325" s="74"/>
      <c r="D325" s="69"/>
      <c r="E325" s="75">
        <v>223001</v>
      </c>
      <c r="F325" s="3" t="s">
        <v>256</v>
      </c>
      <c r="G325" s="87">
        <v>21070</v>
      </c>
      <c r="H325" s="87"/>
      <c r="I325" s="87">
        <f t="shared" si="112"/>
        <v>21070</v>
      </c>
    </row>
    <row r="326" spans="2:9" x14ac:dyDescent="0.2">
      <c r="B326" s="120">
        <f t="shared" si="119"/>
        <v>321</v>
      </c>
      <c r="C326" s="74"/>
      <c r="D326" s="69"/>
      <c r="E326" s="75">
        <v>223002</v>
      </c>
      <c r="F326" s="3" t="s">
        <v>76</v>
      </c>
      <c r="G326" s="87">
        <v>6330</v>
      </c>
      <c r="H326" s="87"/>
      <c r="I326" s="87">
        <f t="shared" si="112"/>
        <v>6330</v>
      </c>
    </row>
    <row r="327" spans="2:9" x14ac:dyDescent="0.2">
      <c r="B327" s="120">
        <f t="shared" si="119"/>
        <v>322</v>
      </c>
      <c r="C327" s="74"/>
      <c r="D327" s="69"/>
      <c r="E327" s="75">
        <v>223003</v>
      </c>
      <c r="F327" s="52" t="s">
        <v>77</v>
      </c>
      <c r="G327" s="87">
        <v>70000</v>
      </c>
      <c r="H327" s="87"/>
      <c r="I327" s="87">
        <f t="shared" ref="I327:I390" si="141">G327+H327</f>
        <v>70000</v>
      </c>
    </row>
    <row r="328" spans="2:9" x14ac:dyDescent="0.2">
      <c r="B328" s="120">
        <f t="shared" si="119"/>
        <v>323</v>
      </c>
      <c r="C328" s="70">
        <v>290</v>
      </c>
      <c r="D328" s="67"/>
      <c r="E328" s="71"/>
      <c r="F328" s="5" t="s">
        <v>181</v>
      </c>
      <c r="G328" s="122">
        <f>G329</f>
        <v>500</v>
      </c>
      <c r="H328" s="122">
        <f t="shared" ref="H328:H329" si="142">H329</f>
        <v>0</v>
      </c>
      <c r="I328" s="122">
        <f t="shared" si="141"/>
        <v>500</v>
      </c>
    </row>
    <row r="329" spans="2:9" x14ac:dyDescent="0.2">
      <c r="B329" s="120">
        <f t="shared" si="119"/>
        <v>324</v>
      </c>
      <c r="C329" s="72"/>
      <c r="D329" s="68">
        <v>292</v>
      </c>
      <c r="E329" s="73"/>
      <c r="F329" s="2" t="s">
        <v>182</v>
      </c>
      <c r="G329" s="115">
        <f>G330</f>
        <v>500</v>
      </c>
      <c r="H329" s="115">
        <f t="shared" si="142"/>
        <v>0</v>
      </c>
      <c r="I329" s="115">
        <f t="shared" si="141"/>
        <v>500</v>
      </c>
    </row>
    <row r="330" spans="2:9" ht="13.5" thickBot="1" x14ac:dyDescent="0.25">
      <c r="B330" s="120">
        <f t="shared" si="119"/>
        <v>325</v>
      </c>
      <c r="C330" s="74"/>
      <c r="D330" s="69"/>
      <c r="E330" s="75">
        <v>292012</v>
      </c>
      <c r="F330" s="3" t="s">
        <v>237</v>
      </c>
      <c r="G330" s="87">
        <v>500</v>
      </c>
      <c r="H330" s="87"/>
      <c r="I330" s="87">
        <f t="shared" si="141"/>
        <v>500</v>
      </c>
    </row>
    <row r="331" spans="2:9" ht="15.75" thickBot="1" x14ac:dyDescent="0.3">
      <c r="B331" s="120">
        <f t="shared" si="119"/>
        <v>326</v>
      </c>
      <c r="C331" s="76">
        <v>11</v>
      </c>
      <c r="D331" s="163"/>
      <c r="E331" s="77"/>
      <c r="F331" s="9" t="s">
        <v>11</v>
      </c>
      <c r="G331" s="17">
        <f>G340+G335+G332</f>
        <v>184700</v>
      </c>
      <c r="H331" s="17">
        <f t="shared" ref="H331" si="143">H340+H335+H332</f>
        <v>0</v>
      </c>
      <c r="I331" s="17">
        <f t="shared" si="141"/>
        <v>184700</v>
      </c>
    </row>
    <row r="332" spans="2:9" x14ac:dyDescent="0.2">
      <c r="B332" s="120">
        <f t="shared" si="119"/>
        <v>327</v>
      </c>
      <c r="C332" s="70">
        <v>210</v>
      </c>
      <c r="D332" s="162"/>
      <c r="E332" s="71"/>
      <c r="F332" s="5" t="s">
        <v>251</v>
      </c>
      <c r="G332" s="122">
        <f>G333</f>
        <v>39196</v>
      </c>
      <c r="H332" s="122">
        <f t="shared" ref="H332:H333" si="144">H333</f>
        <v>0</v>
      </c>
      <c r="I332" s="122">
        <f t="shared" si="141"/>
        <v>39196</v>
      </c>
    </row>
    <row r="333" spans="2:9" x14ac:dyDescent="0.2">
      <c r="B333" s="120">
        <f t="shared" si="119"/>
        <v>328</v>
      </c>
      <c r="C333" s="72"/>
      <c r="D333" s="68">
        <v>212</v>
      </c>
      <c r="E333" s="73"/>
      <c r="F333" s="2" t="s">
        <v>252</v>
      </c>
      <c r="G333" s="115">
        <f>G334</f>
        <v>39196</v>
      </c>
      <c r="H333" s="115">
        <f t="shared" si="144"/>
        <v>0</v>
      </c>
      <c r="I333" s="115">
        <f t="shared" si="141"/>
        <v>39196</v>
      </c>
    </row>
    <row r="334" spans="2:9" x14ac:dyDescent="0.2">
      <c r="B334" s="120">
        <f t="shared" si="119"/>
        <v>329</v>
      </c>
      <c r="C334" s="74"/>
      <c r="D334" s="69"/>
      <c r="E334" s="75">
        <v>212003</v>
      </c>
      <c r="F334" s="3" t="s">
        <v>253</v>
      </c>
      <c r="G334" s="87">
        <v>39196</v>
      </c>
      <c r="H334" s="87"/>
      <c r="I334" s="87">
        <f t="shared" si="141"/>
        <v>39196</v>
      </c>
    </row>
    <row r="335" spans="2:9" x14ac:dyDescent="0.2">
      <c r="B335" s="120">
        <f t="shared" si="119"/>
        <v>330</v>
      </c>
      <c r="C335" s="70">
        <v>220</v>
      </c>
      <c r="D335" s="67"/>
      <c r="E335" s="71"/>
      <c r="F335" s="5" t="s">
        <v>226</v>
      </c>
      <c r="G335" s="122">
        <f>G336</f>
        <v>145500</v>
      </c>
      <c r="H335" s="122">
        <f t="shared" ref="H335" si="145">H336</f>
        <v>0</v>
      </c>
      <c r="I335" s="122">
        <f t="shared" si="141"/>
        <v>145500</v>
      </c>
    </row>
    <row r="336" spans="2:9" x14ac:dyDescent="0.2">
      <c r="B336" s="120">
        <f t="shared" si="119"/>
        <v>331</v>
      </c>
      <c r="C336" s="72"/>
      <c r="D336" s="68">
        <v>223</v>
      </c>
      <c r="E336" s="73"/>
      <c r="F336" s="2" t="s">
        <v>255</v>
      </c>
      <c r="G336" s="115">
        <f>G339+G338+G337</f>
        <v>145500</v>
      </c>
      <c r="H336" s="115">
        <f t="shared" ref="H336" si="146">H339+H338+H337</f>
        <v>0</v>
      </c>
      <c r="I336" s="115">
        <f t="shared" si="141"/>
        <v>145500</v>
      </c>
    </row>
    <row r="337" spans="2:9" x14ac:dyDescent="0.2">
      <c r="B337" s="120">
        <f t="shared" si="119"/>
        <v>332</v>
      </c>
      <c r="C337" s="74"/>
      <c r="D337" s="69"/>
      <c r="E337" s="75">
        <v>223001</v>
      </c>
      <c r="F337" s="3" t="s">
        <v>256</v>
      </c>
      <c r="G337" s="87">
        <v>18500</v>
      </c>
      <c r="H337" s="87"/>
      <c r="I337" s="87">
        <f t="shared" si="141"/>
        <v>18500</v>
      </c>
    </row>
    <row r="338" spans="2:9" x14ac:dyDescent="0.2">
      <c r="B338" s="120">
        <f t="shared" si="119"/>
        <v>333</v>
      </c>
      <c r="C338" s="74"/>
      <c r="D338" s="69"/>
      <c r="E338" s="75">
        <v>223002</v>
      </c>
      <c r="F338" s="3" t="s">
        <v>76</v>
      </c>
      <c r="G338" s="87">
        <v>13000</v>
      </c>
      <c r="H338" s="87"/>
      <c r="I338" s="87">
        <f t="shared" si="141"/>
        <v>13000</v>
      </c>
    </row>
    <row r="339" spans="2:9" x14ac:dyDescent="0.2">
      <c r="B339" s="120">
        <f t="shared" si="119"/>
        <v>334</v>
      </c>
      <c r="C339" s="74"/>
      <c r="D339" s="69"/>
      <c r="E339" s="75">
        <v>223003</v>
      </c>
      <c r="F339" s="52" t="s">
        <v>77</v>
      </c>
      <c r="G339" s="87">
        <v>114000</v>
      </c>
      <c r="H339" s="87"/>
      <c r="I339" s="87">
        <f t="shared" si="141"/>
        <v>114000</v>
      </c>
    </row>
    <row r="340" spans="2:9" x14ac:dyDescent="0.2">
      <c r="B340" s="120">
        <f t="shared" si="119"/>
        <v>335</v>
      </c>
      <c r="C340" s="70">
        <v>240</v>
      </c>
      <c r="D340" s="67"/>
      <c r="E340" s="71"/>
      <c r="F340" s="5" t="s">
        <v>179</v>
      </c>
      <c r="G340" s="122">
        <f>G341</f>
        <v>4</v>
      </c>
      <c r="H340" s="122">
        <f t="shared" ref="H340:H341" si="147">H341</f>
        <v>0</v>
      </c>
      <c r="I340" s="122">
        <f t="shared" si="141"/>
        <v>4</v>
      </c>
    </row>
    <row r="341" spans="2:9" x14ac:dyDescent="0.2">
      <c r="B341" s="120">
        <f t="shared" si="119"/>
        <v>336</v>
      </c>
      <c r="C341" s="72"/>
      <c r="D341" s="68">
        <v>242</v>
      </c>
      <c r="E341" s="73"/>
      <c r="F341" s="2" t="s">
        <v>178</v>
      </c>
      <c r="G341" s="115">
        <f>G342</f>
        <v>4</v>
      </c>
      <c r="H341" s="115">
        <f t="shared" si="147"/>
        <v>0</v>
      </c>
      <c r="I341" s="115">
        <f t="shared" si="141"/>
        <v>4</v>
      </c>
    </row>
    <row r="342" spans="2:9" ht="13.5" thickBot="1" x14ac:dyDescent="0.25">
      <c r="B342" s="120">
        <f t="shared" si="119"/>
        <v>337</v>
      </c>
      <c r="C342" s="74"/>
      <c r="D342" s="69"/>
      <c r="E342" s="75">
        <v>242</v>
      </c>
      <c r="F342" s="3" t="s">
        <v>178</v>
      </c>
      <c r="G342" s="87">
        <v>4</v>
      </c>
      <c r="H342" s="87"/>
      <c r="I342" s="87">
        <f t="shared" si="141"/>
        <v>4</v>
      </c>
    </row>
    <row r="343" spans="2:9" ht="15.75" thickBot="1" x14ac:dyDescent="0.3">
      <c r="B343" s="120">
        <f t="shared" si="119"/>
        <v>338</v>
      </c>
      <c r="C343" s="76">
        <v>12</v>
      </c>
      <c r="D343" s="163"/>
      <c r="E343" s="77"/>
      <c r="F343" s="9" t="s">
        <v>9</v>
      </c>
      <c r="G343" s="17">
        <f>G351+G347+G344</f>
        <v>166500</v>
      </c>
      <c r="H343" s="17">
        <f t="shared" ref="H343" si="148">H351+H347+H344</f>
        <v>0</v>
      </c>
      <c r="I343" s="17">
        <f t="shared" si="141"/>
        <v>166500</v>
      </c>
    </row>
    <row r="344" spans="2:9" x14ac:dyDescent="0.2">
      <c r="B344" s="120">
        <f t="shared" ref="B344:B398" si="149">B343+1</f>
        <v>339</v>
      </c>
      <c r="C344" s="70">
        <v>210</v>
      </c>
      <c r="D344" s="162"/>
      <c r="E344" s="71"/>
      <c r="F344" s="5" t="s">
        <v>251</v>
      </c>
      <c r="G344" s="122">
        <f>G345</f>
        <v>3000</v>
      </c>
      <c r="H344" s="122">
        <f t="shared" ref="H344:H345" si="150">H345</f>
        <v>0</v>
      </c>
      <c r="I344" s="122">
        <f t="shared" si="141"/>
        <v>3000</v>
      </c>
    </row>
    <row r="345" spans="2:9" x14ac:dyDescent="0.2">
      <c r="B345" s="120">
        <f t="shared" si="149"/>
        <v>340</v>
      </c>
      <c r="C345" s="72"/>
      <c r="D345" s="68">
        <v>212</v>
      </c>
      <c r="E345" s="73"/>
      <c r="F345" s="2" t="s">
        <v>252</v>
      </c>
      <c r="G345" s="115">
        <f>G346</f>
        <v>3000</v>
      </c>
      <c r="H345" s="115">
        <f t="shared" si="150"/>
        <v>0</v>
      </c>
      <c r="I345" s="115">
        <f t="shared" si="141"/>
        <v>3000</v>
      </c>
    </row>
    <row r="346" spans="2:9" x14ac:dyDescent="0.2">
      <c r="B346" s="120">
        <f t="shared" si="149"/>
        <v>341</v>
      </c>
      <c r="C346" s="74"/>
      <c r="D346" s="69"/>
      <c r="E346" s="75">
        <v>212003</v>
      </c>
      <c r="F346" s="3" t="s">
        <v>253</v>
      </c>
      <c r="G346" s="87">
        <v>3000</v>
      </c>
      <c r="H346" s="87"/>
      <c r="I346" s="87">
        <f t="shared" si="141"/>
        <v>3000</v>
      </c>
    </row>
    <row r="347" spans="2:9" x14ac:dyDescent="0.2">
      <c r="B347" s="120">
        <f t="shared" si="149"/>
        <v>342</v>
      </c>
      <c r="C347" s="70">
        <v>220</v>
      </c>
      <c r="D347" s="67"/>
      <c r="E347" s="71"/>
      <c r="F347" s="5" t="s">
        <v>226</v>
      </c>
      <c r="G347" s="122">
        <f>G348</f>
        <v>163000</v>
      </c>
      <c r="H347" s="122">
        <f t="shared" ref="H347" si="151">H348</f>
        <v>0</v>
      </c>
      <c r="I347" s="122">
        <f t="shared" si="141"/>
        <v>163000</v>
      </c>
    </row>
    <row r="348" spans="2:9" x14ac:dyDescent="0.2">
      <c r="B348" s="120">
        <f t="shared" si="149"/>
        <v>343</v>
      </c>
      <c r="C348" s="72"/>
      <c r="D348" s="68">
        <v>223</v>
      </c>
      <c r="E348" s="73"/>
      <c r="F348" s="2" t="s">
        <v>255</v>
      </c>
      <c r="G348" s="115">
        <f>G349+G350</f>
        <v>163000</v>
      </c>
      <c r="H348" s="115">
        <f t="shared" ref="H348" si="152">H349+H350</f>
        <v>0</v>
      </c>
      <c r="I348" s="115">
        <f t="shared" si="141"/>
        <v>163000</v>
      </c>
    </row>
    <row r="349" spans="2:9" x14ac:dyDescent="0.2">
      <c r="B349" s="120">
        <f t="shared" si="149"/>
        <v>344</v>
      </c>
      <c r="C349" s="74"/>
      <c r="D349" s="69"/>
      <c r="E349" s="75">
        <v>223002</v>
      </c>
      <c r="F349" s="3" t="s">
        <v>76</v>
      </c>
      <c r="G349" s="87">
        <v>14000</v>
      </c>
      <c r="H349" s="87"/>
      <c r="I349" s="87">
        <f t="shared" si="141"/>
        <v>14000</v>
      </c>
    </row>
    <row r="350" spans="2:9" x14ac:dyDescent="0.2">
      <c r="B350" s="120">
        <f t="shared" si="149"/>
        <v>345</v>
      </c>
      <c r="C350" s="74"/>
      <c r="D350" s="69"/>
      <c r="E350" s="75">
        <v>223003</v>
      </c>
      <c r="F350" s="11" t="s">
        <v>77</v>
      </c>
      <c r="G350" s="87">
        <v>149000</v>
      </c>
      <c r="H350" s="87"/>
      <c r="I350" s="87">
        <f t="shared" si="141"/>
        <v>149000</v>
      </c>
    </row>
    <row r="351" spans="2:9" x14ac:dyDescent="0.2">
      <c r="B351" s="120">
        <f t="shared" si="149"/>
        <v>346</v>
      </c>
      <c r="C351" s="70">
        <v>290</v>
      </c>
      <c r="D351" s="67"/>
      <c r="E351" s="71"/>
      <c r="F351" s="5" t="s">
        <v>181</v>
      </c>
      <c r="G351" s="122">
        <f>G352</f>
        <v>500</v>
      </c>
      <c r="H351" s="122">
        <f t="shared" ref="H351:H352" si="153">H352</f>
        <v>0</v>
      </c>
      <c r="I351" s="122">
        <f t="shared" si="141"/>
        <v>500</v>
      </c>
    </row>
    <row r="352" spans="2:9" x14ac:dyDescent="0.2">
      <c r="B352" s="120">
        <f t="shared" si="149"/>
        <v>347</v>
      </c>
      <c r="C352" s="72"/>
      <c r="D352" s="68">
        <v>292</v>
      </c>
      <c r="E352" s="73"/>
      <c r="F352" s="2" t="s">
        <v>182</v>
      </c>
      <c r="G352" s="115">
        <f>G353</f>
        <v>500</v>
      </c>
      <c r="H352" s="115">
        <f t="shared" si="153"/>
        <v>0</v>
      </c>
      <c r="I352" s="115">
        <f t="shared" si="141"/>
        <v>500</v>
      </c>
    </row>
    <row r="353" spans="2:9" ht="13.5" thickBot="1" x14ac:dyDescent="0.25">
      <c r="B353" s="120">
        <f t="shared" si="149"/>
        <v>348</v>
      </c>
      <c r="C353" s="74"/>
      <c r="D353" s="69"/>
      <c r="E353" s="75">
        <v>292012</v>
      </c>
      <c r="F353" s="3" t="s">
        <v>237</v>
      </c>
      <c r="G353" s="87">
        <v>500</v>
      </c>
      <c r="H353" s="87"/>
      <c r="I353" s="87">
        <f t="shared" si="141"/>
        <v>500</v>
      </c>
    </row>
    <row r="354" spans="2:9" ht="15.75" thickBot="1" x14ac:dyDescent="0.3">
      <c r="B354" s="120">
        <f t="shared" si="149"/>
        <v>349</v>
      </c>
      <c r="C354" s="76">
        <v>13</v>
      </c>
      <c r="D354" s="163"/>
      <c r="E354" s="77"/>
      <c r="F354" s="9" t="s">
        <v>19</v>
      </c>
      <c r="G354" s="17">
        <f>G363+G358+G355</f>
        <v>79500</v>
      </c>
      <c r="H354" s="17">
        <f t="shared" ref="H354" si="154">H363+H358+H355</f>
        <v>0</v>
      </c>
      <c r="I354" s="17">
        <f t="shared" si="141"/>
        <v>79500</v>
      </c>
    </row>
    <row r="355" spans="2:9" x14ac:dyDescent="0.2">
      <c r="B355" s="120">
        <f t="shared" si="149"/>
        <v>350</v>
      </c>
      <c r="C355" s="70">
        <v>210</v>
      </c>
      <c r="D355" s="162"/>
      <c r="E355" s="71"/>
      <c r="F355" s="5" t="s">
        <v>251</v>
      </c>
      <c r="G355" s="122">
        <f>G356</f>
        <v>6097</v>
      </c>
      <c r="H355" s="122">
        <f t="shared" ref="H355:H356" si="155">H356</f>
        <v>0</v>
      </c>
      <c r="I355" s="122">
        <f t="shared" si="141"/>
        <v>6097</v>
      </c>
    </row>
    <row r="356" spans="2:9" x14ac:dyDescent="0.2">
      <c r="B356" s="120">
        <f t="shared" si="149"/>
        <v>351</v>
      </c>
      <c r="C356" s="72"/>
      <c r="D356" s="68">
        <v>212</v>
      </c>
      <c r="E356" s="73"/>
      <c r="F356" s="2" t="s">
        <v>252</v>
      </c>
      <c r="G356" s="115">
        <f>G357</f>
        <v>6097</v>
      </c>
      <c r="H356" s="115">
        <f t="shared" si="155"/>
        <v>0</v>
      </c>
      <c r="I356" s="115">
        <f t="shared" si="141"/>
        <v>6097</v>
      </c>
    </row>
    <row r="357" spans="2:9" x14ac:dyDescent="0.2">
      <c r="B357" s="120">
        <f t="shared" si="149"/>
        <v>352</v>
      </c>
      <c r="C357" s="74"/>
      <c r="D357" s="69"/>
      <c r="E357" s="75">
        <v>212003</v>
      </c>
      <c r="F357" s="3" t="s">
        <v>253</v>
      </c>
      <c r="G357" s="87">
        <v>6097</v>
      </c>
      <c r="H357" s="87"/>
      <c r="I357" s="87">
        <f t="shared" si="141"/>
        <v>6097</v>
      </c>
    </row>
    <row r="358" spans="2:9" x14ac:dyDescent="0.2">
      <c r="B358" s="120">
        <f t="shared" si="149"/>
        <v>353</v>
      </c>
      <c r="C358" s="70">
        <v>220</v>
      </c>
      <c r="D358" s="67"/>
      <c r="E358" s="71"/>
      <c r="F358" s="5" t="s">
        <v>226</v>
      </c>
      <c r="G358" s="122">
        <f>G359</f>
        <v>73400</v>
      </c>
      <c r="H358" s="122">
        <f t="shared" ref="H358" si="156">H359</f>
        <v>0</v>
      </c>
      <c r="I358" s="122">
        <f t="shared" si="141"/>
        <v>73400</v>
      </c>
    </row>
    <row r="359" spans="2:9" x14ac:dyDescent="0.2">
      <c r="B359" s="120">
        <f t="shared" si="149"/>
        <v>354</v>
      </c>
      <c r="C359" s="72"/>
      <c r="D359" s="68">
        <v>223</v>
      </c>
      <c r="E359" s="73"/>
      <c r="F359" s="2" t="s">
        <v>255</v>
      </c>
      <c r="G359" s="115">
        <f>G362+G361+G360</f>
        <v>73400</v>
      </c>
      <c r="H359" s="115">
        <f t="shared" ref="H359" si="157">H362+H361+H360</f>
        <v>0</v>
      </c>
      <c r="I359" s="115">
        <f t="shared" si="141"/>
        <v>73400</v>
      </c>
    </row>
    <row r="360" spans="2:9" x14ac:dyDescent="0.2">
      <c r="B360" s="120">
        <f t="shared" si="149"/>
        <v>355</v>
      </c>
      <c r="C360" s="74"/>
      <c r="D360" s="69"/>
      <c r="E360" s="75">
        <v>223001</v>
      </c>
      <c r="F360" s="3" t="s">
        <v>256</v>
      </c>
      <c r="G360" s="87">
        <v>9000</v>
      </c>
      <c r="H360" s="87"/>
      <c r="I360" s="87">
        <f t="shared" si="141"/>
        <v>9000</v>
      </c>
    </row>
    <row r="361" spans="2:9" x14ac:dyDescent="0.2">
      <c r="B361" s="120">
        <f t="shared" si="149"/>
        <v>356</v>
      </c>
      <c r="C361" s="74"/>
      <c r="D361" s="69"/>
      <c r="E361" s="75">
        <v>223002</v>
      </c>
      <c r="F361" s="3" t="s">
        <v>76</v>
      </c>
      <c r="G361" s="87">
        <v>4400</v>
      </c>
      <c r="H361" s="87"/>
      <c r="I361" s="87">
        <f t="shared" si="141"/>
        <v>4400</v>
      </c>
    </row>
    <row r="362" spans="2:9" x14ac:dyDescent="0.2">
      <c r="B362" s="120">
        <f t="shared" si="149"/>
        <v>357</v>
      </c>
      <c r="C362" s="74"/>
      <c r="D362" s="69"/>
      <c r="E362" s="75">
        <v>223003</v>
      </c>
      <c r="F362" s="52" t="s">
        <v>77</v>
      </c>
      <c r="G362" s="87">
        <v>60000</v>
      </c>
      <c r="H362" s="87"/>
      <c r="I362" s="87">
        <f t="shared" si="141"/>
        <v>60000</v>
      </c>
    </row>
    <row r="363" spans="2:9" x14ac:dyDescent="0.2">
      <c r="B363" s="120">
        <f t="shared" si="149"/>
        <v>358</v>
      </c>
      <c r="C363" s="70">
        <v>240</v>
      </c>
      <c r="D363" s="67"/>
      <c r="E363" s="71"/>
      <c r="F363" s="5" t="s">
        <v>179</v>
      </c>
      <c r="G363" s="122">
        <f>G364</f>
        <v>3</v>
      </c>
      <c r="H363" s="122">
        <f t="shared" ref="H363:H364" si="158">H364</f>
        <v>0</v>
      </c>
      <c r="I363" s="122">
        <f t="shared" si="141"/>
        <v>3</v>
      </c>
    </row>
    <row r="364" spans="2:9" x14ac:dyDescent="0.2">
      <c r="B364" s="120">
        <f t="shared" si="149"/>
        <v>359</v>
      </c>
      <c r="C364" s="72"/>
      <c r="D364" s="68">
        <v>242</v>
      </c>
      <c r="E364" s="73"/>
      <c r="F364" s="2" t="s">
        <v>178</v>
      </c>
      <c r="G364" s="115">
        <f>G365</f>
        <v>3</v>
      </c>
      <c r="H364" s="115">
        <f t="shared" si="158"/>
        <v>0</v>
      </c>
      <c r="I364" s="115">
        <f t="shared" si="141"/>
        <v>3</v>
      </c>
    </row>
    <row r="365" spans="2:9" ht="13.5" thickBot="1" x14ac:dyDescent="0.25">
      <c r="B365" s="120">
        <f t="shared" si="149"/>
        <v>360</v>
      </c>
      <c r="C365" s="74"/>
      <c r="D365" s="69"/>
      <c r="E365" s="75">
        <v>242</v>
      </c>
      <c r="F365" s="3" t="s">
        <v>178</v>
      </c>
      <c r="G365" s="87">
        <v>3</v>
      </c>
      <c r="H365" s="87"/>
      <c r="I365" s="87">
        <f t="shared" si="141"/>
        <v>3</v>
      </c>
    </row>
    <row r="366" spans="2:9" ht="15.75" thickBot="1" x14ac:dyDescent="0.3">
      <c r="B366" s="120">
        <f t="shared" si="149"/>
        <v>361</v>
      </c>
      <c r="C366" s="76">
        <v>14</v>
      </c>
      <c r="D366" s="163"/>
      <c r="E366" s="77"/>
      <c r="F366" s="9" t="s">
        <v>3</v>
      </c>
      <c r="G366" s="17">
        <f>G373+G370+G367</f>
        <v>86800</v>
      </c>
      <c r="H366" s="17">
        <f t="shared" ref="H366" si="159">H373+H370+H367</f>
        <v>0</v>
      </c>
      <c r="I366" s="17">
        <f t="shared" si="141"/>
        <v>86800</v>
      </c>
    </row>
    <row r="367" spans="2:9" x14ac:dyDescent="0.2">
      <c r="B367" s="120">
        <f t="shared" si="149"/>
        <v>362</v>
      </c>
      <c r="C367" s="70">
        <v>210</v>
      </c>
      <c r="D367" s="162"/>
      <c r="E367" s="71"/>
      <c r="F367" s="5" t="s">
        <v>251</v>
      </c>
      <c r="G367" s="122">
        <f>G368</f>
        <v>135</v>
      </c>
      <c r="H367" s="122">
        <f t="shared" ref="H367:H368" si="160">H368</f>
        <v>0</v>
      </c>
      <c r="I367" s="122">
        <f t="shared" si="141"/>
        <v>135</v>
      </c>
    </row>
    <row r="368" spans="2:9" x14ac:dyDescent="0.2">
      <c r="B368" s="120">
        <f t="shared" si="149"/>
        <v>363</v>
      </c>
      <c r="C368" s="72"/>
      <c r="D368" s="68">
        <v>212</v>
      </c>
      <c r="E368" s="73"/>
      <c r="F368" s="2" t="s">
        <v>252</v>
      </c>
      <c r="G368" s="115">
        <f>G369</f>
        <v>135</v>
      </c>
      <c r="H368" s="115">
        <f t="shared" si="160"/>
        <v>0</v>
      </c>
      <c r="I368" s="115">
        <f t="shared" si="141"/>
        <v>135</v>
      </c>
    </row>
    <row r="369" spans="2:9" x14ac:dyDescent="0.2">
      <c r="B369" s="120">
        <f t="shared" si="149"/>
        <v>364</v>
      </c>
      <c r="C369" s="74"/>
      <c r="D369" s="69"/>
      <c r="E369" s="75">
        <v>212003</v>
      </c>
      <c r="F369" s="3" t="s">
        <v>253</v>
      </c>
      <c r="G369" s="87">
        <v>135</v>
      </c>
      <c r="H369" s="87"/>
      <c r="I369" s="87">
        <f t="shared" si="141"/>
        <v>135</v>
      </c>
    </row>
    <row r="370" spans="2:9" x14ac:dyDescent="0.2">
      <c r="B370" s="120">
        <f t="shared" si="149"/>
        <v>365</v>
      </c>
      <c r="C370" s="70">
        <v>220</v>
      </c>
      <c r="D370" s="67"/>
      <c r="E370" s="71"/>
      <c r="F370" s="5" t="s">
        <v>226</v>
      </c>
      <c r="G370" s="122">
        <f>G371</f>
        <v>86660</v>
      </c>
      <c r="H370" s="122">
        <f t="shared" ref="H370:H371" si="161">H371</f>
        <v>0</v>
      </c>
      <c r="I370" s="122">
        <f t="shared" si="141"/>
        <v>86660</v>
      </c>
    </row>
    <row r="371" spans="2:9" x14ac:dyDescent="0.2">
      <c r="B371" s="120">
        <f t="shared" si="149"/>
        <v>366</v>
      </c>
      <c r="C371" s="72"/>
      <c r="D371" s="68">
        <v>223</v>
      </c>
      <c r="E371" s="73"/>
      <c r="F371" s="2" t="s">
        <v>255</v>
      </c>
      <c r="G371" s="115">
        <f>G372</f>
        <v>86660</v>
      </c>
      <c r="H371" s="115">
        <f t="shared" si="161"/>
        <v>0</v>
      </c>
      <c r="I371" s="115">
        <f t="shared" si="141"/>
        <v>86660</v>
      </c>
    </row>
    <row r="372" spans="2:9" x14ac:dyDescent="0.2">
      <c r="B372" s="120">
        <f t="shared" si="149"/>
        <v>367</v>
      </c>
      <c r="C372" s="74"/>
      <c r="D372" s="69"/>
      <c r="E372" s="75">
        <v>223002</v>
      </c>
      <c r="F372" s="3" t="s">
        <v>76</v>
      </c>
      <c r="G372" s="87">
        <v>86660</v>
      </c>
      <c r="H372" s="87"/>
      <c r="I372" s="87">
        <f t="shared" si="141"/>
        <v>86660</v>
      </c>
    </row>
    <row r="373" spans="2:9" x14ac:dyDescent="0.2">
      <c r="B373" s="120">
        <f t="shared" si="149"/>
        <v>368</v>
      </c>
      <c r="C373" s="70">
        <v>240</v>
      </c>
      <c r="D373" s="67"/>
      <c r="E373" s="71"/>
      <c r="F373" s="5" t="s">
        <v>179</v>
      </c>
      <c r="G373" s="122">
        <f>G374</f>
        <v>5</v>
      </c>
      <c r="H373" s="122">
        <f t="shared" ref="H373:H374" si="162">H374</f>
        <v>0</v>
      </c>
      <c r="I373" s="122">
        <f t="shared" si="141"/>
        <v>5</v>
      </c>
    </row>
    <row r="374" spans="2:9" x14ac:dyDescent="0.2">
      <c r="B374" s="120">
        <f t="shared" si="149"/>
        <v>369</v>
      </c>
      <c r="C374" s="72"/>
      <c r="D374" s="68">
        <v>242</v>
      </c>
      <c r="E374" s="73"/>
      <c r="F374" s="2" t="s">
        <v>178</v>
      </c>
      <c r="G374" s="115">
        <f>G375</f>
        <v>5</v>
      </c>
      <c r="H374" s="115">
        <f t="shared" si="162"/>
        <v>0</v>
      </c>
      <c r="I374" s="115">
        <f t="shared" si="141"/>
        <v>5</v>
      </c>
    </row>
    <row r="375" spans="2:9" x14ac:dyDescent="0.2">
      <c r="B375" s="120">
        <f t="shared" si="149"/>
        <v>370</v>
      </c>
      <c r="C375" s="74"/>
      <c r="D375" s="69"/>
      <c r="E375" s="75">
        <v>242</v>
      </c>
      <c r="F375" s="3" t="s">
        <v>178</v>
      </c>
      <c r="G375" s="87">
        <v>5</v>
      </c>
      <c r="H375" s="87"/>
      <c r="I375" s="87">
        <f t="shared" si="141"/>
        <v>5</v>
      </c>
    </row>
    <row r="376" spans="2:9" ht="16.5" thickBot="1" x14ac:dyDescent="0.3">
      <c r="B376" s="120">
        <f t="shared" si="149"/>
        <v>371</v>
      </c>
      <c r="C376" s="78">
        <v>300</v>
      </c>
      <c r="D376" s="165"/>
      <c r="E376" s="65"/>
      <c r="F376" s="8" t="s">
        <v>229</v>
      </c>
      <c r="G376" s="123">
        <f>G393+G377</f>
        <v>8936756</v>
      </c>
      <c r="H376" s="123">
        <f>H393+H377</f>
        <v>-54420</v>
      </c>
      <c r="I376" s="123">
        <f t="shared" si="141"/>
        <v>8882336</v>
      </c>
    </row>
    <row r="377" spans="2:9" ht="15.75" thickBot="1" x14ac:dyDescent="0.3">
      <c r="B377" s="120">
        <f t="shared" si="149"/>
        <v>372</v>
      </c>
      <c r="C377" s="76"/>
      <c r="D377" s="163"/>
      <c r="E377" s="77"/>
      <c r="F377" s="9" t="s">
        <v>43</v>
      </c>
      <c r="G377" s="17">
        <f>G378</f>
        <v>8608256</v>
      </c>
      <c r="H377" s="17">
        <f t="shared" ref="H377:H378" si="163">H378</f>
        <v>-54820</v>
      </c>
      <c r="I377" s="17">
        <f t="shared" si="141"/>
        <v>8553436</v>
      </c>
    </row>
    <row r="378" spans="2:9" x14ac:dyDescent="0.2">
      <c r="B378" s="120">
        <f t="shared" si="149"/>
        <v>373</v>
      </c>
      <c r="C378" s="70">
        <v>310</v>
      </c>
      <c r="D378" s="162"/>
      <c r="E378" s="71"/>
      <c r="F378" s="5" t="s">
        <v>230</v>
      </c>
      <c r="G378" s="122">
        <f>G379</f>
        <v>8608256</v>
      </c>
      <c r="H378" s="122">
        <f t="shared" si="163"/>
        <v>-54820</v>
      </c>
      <c r="I378" s="122">
        <f t="shared" si="141"/>
        <v>8553436</v>
      </c>
    </row>
    <row r="379" spans="2:9" x14ac:dyDescent="0.2">
      <c r="B379" s="120">
        <f t="shared" si="149"/>
        <v>374</v>
      </c>
      <c r="C379" s="72"/>
      <c r="D379" s="68">
        <v>312</v>
      </c>
      <c r="E379" s="73"/>
      <c r="F379" s="2" t="s">
        <v>195</v>
      </c>
      <c r="G379" s="115">
        <f>G380+G385</f>
        <v>8608256</v>
      </c>
      <c r="H379" s="115">
        <f t="shared" ref="H379" si="164">H380+H385</f>
        <v>-54820</v>
      </c>
      <c r="I379" s="115">
        <f t="shared" si="141"/>
        <v>8553436</v>
      </c>
    </row>
    <row r="380" spans="2:9" x14ac:dyDescent="0.2">
      <c r="B380" s="120">
        <f t="shared" si="149"/>
        <v>375</v>
      </c>
      <c r="C380" s="74"/>
      <c r="D380" s="69"/>
      <c r="E380" s="75">
        <v>312001</v>
      </c>
      <c r="F380" s="3" t="s">
        <v>414</v>
      </c>
      <c r="G380" s="87">
        <f>SUM(G381:G384)</f>
        <v>918706</v>
      </c>
      <c r="H380" s="87">
        <f t="shared" ref="H380" si="165">SUM(H381:H384)</f>
        <v>0</v>
      </c>
      <c r="I380" s="87">
        <f t="shared" si="141"/>
        <v>918706</v>
      </c>
    </row>
    <row r="381" spans="2:9" x14ac:dyDescent="0.2">
      <c r="B381" s="120">
        <f t="shared" si="149"/>
        <v>376</v>
      </c>
      <c r="C381" s="12"/>
      <c r="D381" s="4"/>
      <c r="E381" s="13"/>
      <c r="F381" s="4" t="s">
        <v>288</v>
      </c>
      <c r="G381" s="88">
        <v>833280</v>
      </c>
      <c r="H381" s="88"/>
      <c r="I381" s="88">
        <f t="shared" si="141"/>
        <v>833280</v>
      </c>
    </row>
    <row r="382" spans="2:9" x14ac:dyDescent="0.2">
      <c r="B382" s="120">
        <f t="shared" si="149"/>
        <v>377</v>
      </c>
      <c r="C382" s="12"/>
      <c r="D382" s="4"/>
      <c r="E382" s="13"/>
      <c r="F382" s="4" t="s">
        <v>290</v>
      </c>
      <c r="G382" s="88">
        <f>7900+8526</f>
        <v>16426</v>
      </c>
      <c r="H382" s="88"/>
      <c r="I382" s="88">
        <f t="shared" si="141"/>
        <v>16426</v>
      </c>
    </row>
    <row r="383" spans="2:9" x14ac:dyDescent="0.2">
      <c r="B383" s="120">
        <f t="shared" si="149"/>
        <v>378</v>
      </c>
      <c r="C383" s="12"/>
      <c r="D383" s="4"/>
      <c r="E383" s="13"/>
      <c r="F383" s="4" t="s">
        <v>287</v>
      </c>
      <c r="G383" s="88">
        <v>14000</v>
      </c>
      <c r="H383" s="88"/>
      <c r="I383" s="88">
        <f t="shared" si="141"/>
        <v>14000</v>
      </c>
    </row>
    <row r="384" spans="2:9" x14ac:dyDescent="0.2">
      <c r="B384" s="120">
        <f t="shared" si="149"/>
        <v>379</v>
      </c>
      <c r="C384" s="12"/>
      <c r="D384" s="4"/>
      <c r="E384" s="13"/>
      <c r="F384" s="4" t="s">
        <v>388</v>
      </c>
      <c r="G384" s="88">
        <v>55000</v>
      </c>
      <c r="H384" s="88"/>
      <c r="I384" s="88">
        <f t="shared" si="141"/>
        <v>55000</v>
      </c>
    </row>
    <row r="385" spans="2:9" x14ac:dyDescent="0.2">
      <c r="B385" s="120">
        <f t="shared" si="149"/>
        <v>380</v>
      </c>
      <c r="C385" s="74"/>
      <c r="D385" s="69"/>
      <c r="E385" s="75">
        <v>312012</v>
      </c>
      <c r="F385" s="3" t="s">
        <v>413</v>
      </c>
      <c r="G385" s="87">
        <f>SUM(G386:G392)</f>
        <v>7689550</v>
      </c>
      <c r="H385" s="87">
        <f t="shared" ref="H385" si="166">SUM(H386:H392)</f>
        <v>-54820</v>
      </c>
      <c r="I385" s="87">
        <f t="shared" si="141"/>
        <v>7634730</v>
      </c>
    </row>
    <row r="386" spans="2:9" x14ac:dyDescent="0.2">
      <c r="B386" s="120">
        <f t="shared" si="149"/>
        <v>381</v>
      </c>
      <c r="C386" s="12"/>
      <c r="D386" s="4"/>
      <c r="E386" s="13"/>
      <c r="F386" s="4" t="s">
        <v>298</v>
      </c>
      <c r="G386" s="88">
        <v>7366500</v>
      </c>
      <c r="H386" s="88">
        <f>-60159+5932</f>
        <v>-54227</v>
      </c>
      <c r="I386" s="88">
        <f t="shared" si="141"/>
        <v>7312273</v>
      </c>
    </row>
    <row r="387" spans="2:9" x14ac:dyDescent="0.2">
      <c r="B387" s="120">
        <f t="shared" si="149"/>
        <v>382</v>
      </c>
      <c r="C387" s="12"/>
      <c r="D387" s="4"/>
      <c r="E387" s="13"/>
      <c r="F387" s="4" t="s">
        <v>300</v>
      </c>
      <c r="G387" s="88">
        <v>86935</v>
      </c>
      <c r="H387" s="88">
        <v>-554</v>
      </c>
      <c r="I387" s="88">
        <f t="shared" si="141"/>
        <v>86381</v>
      </c>
    </row>
    <row r="388" spans="2:9" x14ac:dyDescent="0.2">
      <c r="B388" s="120">
        <f t="shared" si="149"/>
        <v>383</v>
      </c>
      <c r="C388" s="12"/>
      <c r="D388" s="4"/>
      <c r="E388" s="13"/>
      <c r="F388" s="4" t="s">
        <v>292</v>
      </c>
      <c r="G388" s="88">
        <v>98600</v>
      </c>
      <c r="H388" s="88"/>
      <c r="I388" s="88">
        <f t="shared" si="141"/>
        <v>98600</v>
      </c>
    </row>
    <row r="389" spans="2:9" x14ac:dyDescent="0.2">
      <c r="B389" s="120">
        <f t="shared" si="149"/>
        <v>384</v>
      </c>
      <c r="C389" s="12"/>
      <c r="D389" s="4"/>
      <c r="E389" s="13"/>
      <c r="F389" s="4" t="s">
        <v>289</v>
      </c>
      <c r="G389" s="88">
        <v>52000</v>
      </c>
      <c r="H389" s="88"/>
      <c r="I389" s="88">
        <f t="shared" si="141"/>
        <v>52000</v>
      </c>
    </row>
    <row r="390" spans="2:9" x14ac:dyDescent="0.2">
      <c r="B390" s="120">
        <f t="shared" si="149"/>
        <v>385</v>
      </c>
      <c r="C390" s="12"/>
      <c r="D390" s="4"/>
      <c r="E390" s="13"/>
      <c r="F390" s="4" t="s">
        <v>299</v>
      </c>
      <c r="G390" s="88">
        <v>42515</v>
      </c>
      <c r="H390" s="88">
        <v>-39</v>
      </c>
      <c r="I390" s="88">
        <f t="shared" si="141"/>
        <v>42476</v>
      </c>
    </row>
    <row r="391" spans="2:9" x14ac:dyDescent="0.2">
      <c r="B391" s="120">
        <f t="shared" si="149"/>
        <v>386</v>
      </c>
      <c r="C391" s="12"/>
      <c r="D391" s="4"/>
      <c r="E391" s="13"/>
      <c r="F391" s="4" t="s">
        <v>293</v>
      </c>
      <c r="G391" s="88">
        <v>18500</v>
      </c>
      <c r="H391" s="88"/>
      <c r="I391" s="88">
        <f t="shared" ref="I391:I398" si="167">G391+H391</f>
        <v>18500</v>
      </c>
    </row>
    <row r="392" spans="2:9" ht="13.5" thickBot="1" x14ac:dyDescent="0.25">
      <c r="B392" s="120">
        <f t="shared" si="149"/>
        <v>387</v>
      </c>
      <c r="C392" s="12"/>
      <c r="D392" s="4"/>
      <c r="E392" s="13"/>
      <c r="F392" s="4" t="s">
        <v>291</v>
      </c>
      <c r="G392" s="88">
        <v>24500</v>
      </c>
      <c r="H392" s="88"/>
      <c r="I392" s="88">
        <f t="shared" si="167"/>
        <v>24500</v>
      </c>
    </row>
    <row r="393" spans="2:9" ht="15.75" thickBot="1" x14ac:dyDescent="0.3">
      <c r="B393" s="120">
        <f t="shared" si="149"/>
        <v>388</v>
      </c>
      <c r="C393" s="76">
        <v>5</v>
      </c>
      <c r="D393" s="163"/>
      <c r="E393" s="77"/>
      <c r="F393" s="9" t="s">
        <v>116</v>
      </c>
      <c r="G393" s="17">
        <f>G394</f>
        <v>328500</v>
      </c>
      <c r="H393" s="17">
        <f t="shared" ref="H393:H396" si="168">H394</f>
        <v>400</v>
      </c>
      <c r="I393" s="17">
        <f t="shared" si="167"/>
        <v>328900</v>
      </c>
    </row>
    <row r="394" spans="2:9" x14ac:dyDescent="0.2">
      <c r="B394" s="120">
        <f t="shared" si="149"/>
        <v>389</v>
      </c>
      <c r="C394" s="72">
        <v>310</v>
      </c>
      <c r="D394" s="164"/>
      <c r="E394" s="73"/>
      <c r="F394" s="2" t="s">
        <v>230</v>
      </c>
      <c r="G394" s="115">
        <f>G396</f>
        <v>328500</v>
      </c>
      <c r="H394" s="115">
        <f>H396+H395</f>
        <v>400</v>
      </c>
      <c r="I394" s="115">
        <f t="shared" si="167"/>
        <v>328900</v>
      </c>
    </row>
    <row r="395" spans="2:9" x14ac:dyDescent="0.2">
      <c r="B395" s="120">
        <f t="shared" si="149"/>
        <v>390</v>
      </c>
      <c r="C395" s="72"/>
      <c r="D395" s="219">
        <v>311</v>
      </c>
      <c r="E395" s="75"/>
      <c r="F395" s="3" t="s">
        <v>572</v>
      </c>
      <c r="G395" s="87">
        <v>0</v>
      </c>
      <c r="H395" s="87">
        <v>400</v>
      </c>
      <c r="I395" s="87">
        <f>H395+G395</f>
        <v>400</v>
      </c>
    </row>
    <row r="396" spans="2:9" x14ac:dyDescent="0.2">
      <c r="B396" s="120">
        <f t="shared" si="149"/>
        <v>391</v>
      </c>
      <c r="C396" s="74"/>
      <c r="D396" s="69">
        <v>312</v>
      </c>
      <c r="E396" s="75"/>
      <c r="F396" s="3" t="s">
        <v>195</v>
      </c>
      <c r="G396" s="87">
        <f>G397</f>
        <v>328500</v>
      </c>
      <c r="H396" s="87">
        <f t="shared" si="168"/>
        <v>0</v>
      </c>
      <c r="I396" s="87">
        <f t="shared" si="167"/>
        <v>328500</v>
      </c>
    </row>
    <row r="397" spans="2:9" x14ac:dyDescent="0.2">
      <c r="B397" s="120">
        <f t="shared" si="149"/>
        <v>392</v>
      </c>
      <c r="C397" s="12"/>
      <c r="D397" s="150"/>
      <c r="E397" s="13">
        <v>312001</v>
      </c>
      <c r="F397" s="4" t="s">
        <v>239</v>
      </c>
      <c r="G397" s="88">
        <v>328500</v>
      </c>
      <c r="H397" s="88"/>
      <c r="I397" s="88">
        <f t="shared" si="167"/>
        <v>328500</v>
      </c>
    </row>
    <row r="398" spans="2:9" ht="15.75" thickBot="1" x14ac:dyDescent="0.25">
      <c r="B398" s="125">
        <f t="shared" si="149"/>
        <v>393</v>
      </c>
      <c r="C398" s="126"/>
      <c r="D398" s="127"/>
      <c r="E398" s="128"/>
      <c r="F398" s="129" t="s">
        <v>125</v>
      </c>
      <c r="G398" s="130">
        <f>G376+G22+G6</f>
        <v>42933047</v>
      </c>
      <c r="H398" s="130">
        <f>H376+H22+H6</f>
        <v>-460871</v>
      </c>
      <c r="I398" s="130">
        <f t="shared" si="167"/>
        <v>42472176</v>
      </c>
    </row>
    <row r="399" spans="2:9" ht="13.5" thickBot="1" x14ac:dyDescent="0.25">
      <c r="H399" s="16"/>
      <c r="I399" s="16"/>
    </row>
    <row r="400" spans="2:9" ht="12.75" customHeight="1" x14ac:dyDescent="0.2">
      <c r="B400" s="343" t="s">
        <v>175</v>
      </c>
      <c r="C400" s="344"/>
      <c r="D400" s="344"/>
      <c r="E400" s="344"/>
      <c r="F400" s="345"/>
      <c r="G400" s="338" t="s">
        <v>571</v>
      </c>
      <c r="H400" s="349" t="s">
        <v>565</v>
      </c>
      <c r="I400" s="349" t="s">
        <v>569</v>
      </c>
    </row>
    <row r="401" spans="2:9" x14ac:dyDescent="0.2">
      <c r="B401" s="346"/>
      <c r="C401" s="347"/>
      <c r="D401" s="347"/>
      <c r="E401" s="347"/>
      <c r="F401" s="348"/>
      <c r="G401" s="339"/>
      <c r="H401" s="350"/>
      <c r="I401" s="350"/>
    </row>
    <row r="402" spans="2:9" x14ac:dyDescent="0.2">
      <c r="B402" s="332" t="s">
        <v>120</v>
      </c>
      <c r="C402" s="334" t="s">
        <v>121</v>
      </c>
      <c r="D402" s="336" t="s">
        <v>122</v>
      </c>
      <c r="E402" s="336" t="s">
        <v>124</v>
      </c>
      <c r="F402" s="341" t="s">
        <v>123</v>
      </c>
      <c r="G402" s="339"/>
      <c r="H402" s="350"/>
      <c r="I402" s="350"/>
    </row>
    <row r="403" spans="2:9" ht="13.5" thickBot="1" x14ac:dyDescent="0.25">
      <c r="B403" s="333"/>
      <c r="C403" s="335"/>
      <c r="D403" s="337"/>
      <c r="E403" s="337"/>
      <c r="F403" s="342"/>
      <c r="G403" s="340"/>
      <c r="H403" s="351"/>
      <c r="I403" s="351"/>
    </row>
    <row r="404" spans="2:9" ht="17.25" thickTop="1" thickBot="1" x14ac:dyDescent="0.3">
      <c r="B404" s="120">
        <f t="shared" ref="B404:B421" si="169">B403+1</f>
        <v>1</v>
      </c>
      <c r="C404" s="65">
        <v>200</v>
      </c>
      <c r="D404" s="65"/>
      <c r="E404" s="65"/>
      <c r="F404" s="8" t="s">
        <v>174</v>
      </c>
      <c r="G404" s="123">
        <f>G405</f>
        <v>937434</v>
      </c>
      <c r="H404" s="123">
        <f t="shared" ref="H404:H405" si="170">H405</f>
        <v>0</v>
      </c>
      <c r="I404" s="123">
        <f t="shared" ref="I404:I421" si="171">G404+H404</f>
        <v>937434</v>
      </c>
    </row>
    <row r="405" spans="2:9" ht="15.75" thickBot="1" x14ac:dyDescent="0.3">
      <c r="B405" s="120">
        <f t="shared" si="169"/>
        <v>2</v>
      </c>
      <c r="C405" s="66"/>
      <c r="D405" s="66"/>
      <c r="E405" s="66"/>
      <c r="F405" s="9" t="s">
        <v>43</v>
      </c>
      <c r="G405" s="17">
        <f>G406</f>
        <v>937434</v>
      </c>
      <c r="H405" s="17">
        <f t="shared" si="170"/>
        <v>0</v>
      </c>
      <c r="I405" s="17">
        <f t="shared" si="171"/>
        <v>937434</v>
      </c>
    </row>
    <row r="406" spans="2:9" x14ac:dyDescent="0.2">
      <c r="B406" s="120">
        <f t="shared" si="169"/>
        <v>3</v>
      </c>
      <c r="C406" s="67">
        <v>230</v>
      </c>
      <c r="D406" s="67"/>
      <c r="E406" s="67"/>
      <c r="F406" s="5" t="s">
        <v>175</v>
      </c>
      <c r="G406" s="122">
        <f>G407+G409</f>
        <v>937434</v>
      </c>
      <c r="H406" s="122">
        <f t="shared" ref="H406" si="172">H407+H409</f>
        <v>0</v>
      </c>
      <c r="I406" s="122">
        <f t="shared" si="171"/>
        <v>937434</v>
      </c>
    </row>
    <row r="407" spans="2:9" x14ac:dyDescent="0.2">
      <c r="B407" s="120">
        <f t="shared" si="169"/>
        <v>4</v>
      </c>
      <c r="C407" s="68"/>
      <c r="D407" s="68">
        <v>231</v>
      </c>
      <c r="E407" s="68"/>
      <c r="F407" s="2" t="s">
        <v>269</v>
      </c>
      <c r="G407" s="115">
        <f>G408</f>
        <v>550000</v>
      </c>
      <c r="H407" s="115">
        <f t="shared" ref="H407" si="173">H408</f>
        <v>0</v>
      </c>
      <c r="I407" s="115">
        <f t="shared" si="171"/>
        <v>550000</v>
      </c>
    </row>
    <row r="408" spans="2:9" x14ac:dyDescent="0.2">
      <c r="B408" s="120">
        <f t="shared" si="169"/>
        <v>5</v>
      </c>
      <c r="C408" s="69"/>
      <c r="D408" s="69"/>
      <c r="E408" s="69">
        <v>231</v>
      </c>
      <c r="F408" s="3" t="s">
        <v>269</v>
      </c>
      <c r="G408" s="87">
        <f>400000+150000</f>
        <v>550000</v>
      </c>
      <c r="H408" s="87"/>
      <c r="I408" s="87">
        <f t="shared" si="171"/>
        <v>550000</v>
      </c>
    </row>
    <row r="409" spans="2:9" x14ac:dyDescent="0.2">
      <c r="B409" s="120">
        <f t="shared" si="169"/>
        <v>6</v>
      </c>
      <c r="C409" s="68"/>
      <c r="D409" s="68">
        <v>233</v>
      </c>
      <c r="E409" s="68"/>
      <c r="F409" s="2" t="s">
        <v>176</v>
      </c>
      <c r="G409" s="115">
        <f>G410</f>
        <v>387434</v>
      </c>
      <c r="H409" s="115">
        <f t="shared" ref="H409" si="174">H410</f>
        <v>0</v>
      </c>
      <c r="I409" s="115">
        <f t="shared" si="171"/>
        <v>387434</v>
      </c>
    </row>
    <row r="410" spans="2:9" x14ac:dyDescent="0.2">
      <c r="B410" s="120">
        <f t="shared" si="169"/>
        <v>7</v>
      </c>
      <c r="C410" s="69"/>
      <c r="D410" s="69"/>
      <c r="E410" s="69">
        <v>233001</v>
      </c>
      <c r="F410" s="3" t="s">
        <v>177</v>
      </c>
      <c r="G410" s="87">
        <f>200000+187434</f>
        <v>387434</v>
      </c>
      <c r="H410" s="87"/>
      <c r="I410" s="87">
        <f t="shared" si="171"/>
        <v>387434</v>
      </c>
    </row>
    <row r="411" spans="2:9" ht="16.5" thickBot="1" x14ac:dyDescent="0.3">
      <c r="B411" s="120">
        <f t="shared" si="169"/>
        <v>8</v>
      </c>
      <c r="C411" s="65">
        <v>300</v>
      </c>
      <c r="D411" s="65"/>
      <c r="E411" s="65"/>
      <c r="F411" s="8" t="s">
        <v>229</v>
      </c>
      <c r="G411" s="123">
        <f>G412</f>
        <v>3371995</v>
      </c>
      <c r="H411" s="123">
        <f t="shared" ref="H411:H414" si="175">H412</f>
        <v>0</v>
      </c>
      <c r="I411" s="123">
        <f t="shared" si="171"/>
        <v>3371995</v>
      </c>
    </row>
    <row r="412" spans="2:9" ht="15.75" thickBot="1" x14ac:dyDescent="0.3">
      <c r="B412" s="120">
        <f t="shared" si="169"/>
        <v>9</v>
      </c>
      <c r="C412" s="66"/>
      <c r="D412" s="66"/>
      <c r="E412" s="66"/>
      <c r="F412" s="9" t="s">
        <v>43</v>
      </c>
      <c r="G412" s="17">
        <f>G413</f>
        <v>3371995</v>
      </c>
      <c r="H412" s="17">
        <f t="shared" si="175"/>
        <v>0</v>
      </c>
      <c r="I412" s="17">
        <f t="shared" si="171"/>
        <v>3371995</v>
      </c>
    </row>
    <row r="413" spans="2:9" x14ac:dyDescent="0.2">
      <c r="B413" s="120">
        <f t="shared" si="169"/>
        <v>10</v>
      </c>
      <c r="C413" s="67">
        <v>320</v>
      </c>
      <c r="D413" s="67"/>
      <c r="E413" s="67"/>
      <c r="F413" s="5" t="s">
        <v>294</v>
      </c>
      <c r="G413" s="122">
        <f>G414</f>
        <v>3371995</v>
      </c>
      <c r="H413" s="122">
        <f t="shared" si="175"/>
        <v>0</v>
      </c>
      <c r="I413" s="122">
        <f t="shared" si="171"/>
        <v>3371995</v>
      </c>
    </row>
    <row r="414" spans="2:9" x14ac:dyDescent="0.2">
      <c r="B414" s="120">
        <f t="shared" si="169"/>
        <v>11</v>
      </c>
      <c r="C414" s="68"/>
      <c r="D414" s="68">
        <v>322</v>
      </c>
      <c r="E414" s="68"/>
      <c r="F414" s="2" t="s">
        <v>195</v>
      </c>
      <c r="G414" s="115">
        <f>G415</f>
        <v>3371995</v>
      </c>
      <c r="H414" s="115">
        <f t="shared" si="175"/>
        <v>0</v>
      </c>
      <c r="I414" s="115">
        <f t="shared" si="171"/>
        <v>3371995</v>
      </c>
    </row>
    <row r="415" spans="2:9" x14ac:dyDescent="0.2">
      <c r="B415" s="120">
        <f t="shared" si="169"/>
        <v>12</v>
      </c>
      <c r="C415" s="69"/>
      <c r="D415" s="69"/>
      <c r="E415" s="69">
        <v>322001</v>
      </c>
      <c r="F415" s="3" t="s">
        <v>295</v>
      </c>
      <c r="G415" s="87">
        <f>SUM(G416:G420)</f>
        <v>3371995</v>
      </c>
      <c r="H415" s="87">
        <f t="shared" ref="H415" si="176">SUM(H416:H420)</f>
        <v>0</v>
      </c>
      <c r="I415" s="87">
        <f t="shared" si="171"/>
        <v>3371995</v>
      </c>
    </row>
    <row r="416" spans="2:9" x14ac:dyDescent="0.2">
      <c r="B416" s="120">
        <f t="shared" si="169"/>
        <v>13</v>
      </c>
      <c r="C416" s="149"/>
      <c r="D416" s="150"/>
      <c r="E416" s="150"/>
      <c r="F416" s="150" t="s">
        <v>451</v>
      </c>
      <c r="G416" s="182">
        <v>821934</v>
      </c>
      <c r="H416" s="182"/>
      <c r="I416" s="182">
        <f t="shared" si="171"/>
        <v>821934</v>
      </c>
    </row>
    <row r="417" spans="2:9" x14ac:dyDescent="0.2">
      <c r="B417" s="120">
        <f t="shared" si="169"/>
        <v>14</v>
      </c>
      <c r="C417" s="151"/>
      <c r="D417" s="150"/>
      <c r="E417" s="150"/>
      <c r="F417" s="150" t="s">
        <v>452</v>
      </c>
      <c r="G417" s="182">
        <v>1116091</v>
      </c>
      <c r="H417" s="182"/>
      <c r="I417" s="182">
        <f t="shared" si="171"/>
        <v>1116091</v>
      </c>
    </row>
    <row r="418" spans="2:9" x14ac:dyDescent="0.2">
      <c r="B418" s="120">
        <f t="shared" si="169"/>
        <v>15</v>
      </c>
      <c r="C418" s="150"/>
      <c r="D418" s="150"/>
      <c r="E418" s="150"/>
      <c r="F418" s="150" t="s">
        <v>457</v>
      </c>
      <c r="G418" s="182">
        <v>823760</v>
      </c>
      <c r="H418" s="182"/>
      <c r="I418" s="182">
        <f t="shared" si="171"/>
        <v>823760</v>
      </c>
    </row>
    <row r="419" spans="2:9" x14ac:dyDescent="0.2">
      <c r="B419" s="120">
        <f t="shared" si="169"/>
        <v>16</v>
      </c>
      <c r="C419" s="150"/>
      <c r="D419" s="150"/>
      <c r="E419" s="150"/>
      <c r="F419" s="150" t="s">
        <v>539</v>
      </c>
      <c r="G419" s="182">
        <v>414720</v>
      </c>
      <c r="H419" s="182"/>
      <c r="I419" s="182">
        <f t="shared" si="171"/>
        <v>414720</v>
      </c>
    </row>
    <row r="420" spans="2:9" x14ac:dyDescent="0.2">
      <c r="B420" s="120">
        <f t="shared" si="169"/>
        <v>17</v>
      </c>
      <c r="C420" s="4"/>
      <c r="D420" s="4"/>
      <c r="E420" s="4"/>
      <c r="F420" s="4" t="s">
        <v>524</v>
      </c>
      <c r="G420" s="88">
        <v>195490</v>
      </c>
      <c r="H420" s="88"/>
      <c r="I420" s="88">
        <f t="shared" si="171"/>
        <v>195490</v>
      </c>
    </row>
    <row r="421" spans="2:9" ht="15.75" thickBot="1" x14ac:dyDescent="0.25">
      <c r="B421" s="120">
        <f t="shared" si="169"/>
        <v>18</v>
      </c>
      <c r="C421" s="186"/>
      <c r="D421" s="186"/>
      <c r="E421" s="186"/>
      <c r="F421" s="187" t="s">
        <v>44</v>
      </c>
      <c r="G421" s="188">
        <f>G404+G411</f>
        <v>4309429</v>
      </c>
      <c r="H421" s="188">
        <f t="shared" ref="H421" si="177">H404+H411</f>
        <v>0</v>
      </c>
      <c r="I421" s="188">
        <f t="shared" si="171"/>
        <v>4309429</v>
      </c>
    </row>
    <row r="422" spans="2:9" ht="13.5" thickBot="1" x14ac:dyDescent="0.25">
      <c r="H422" s="16"/>
      <c r="I422" s="16"/>
    </row>
    <row r="423" spans="2:9" ht="12.75" customHeight="1" x14ac:dyDescent="0.2">
      <c r="B423" s="343" t="s">
        <v>45</v>
      </c>
      <c r="C423" s="344"/>
      <c r="D423" s="344"/>
      <c r="E423" s="344"/>
      <c r="F423" s="345"/>
      <c r="G423" s="338" t="s">
        <v>571</v>
      </c>
      <c r="H423" s="349" t="s">
        <v>565</v>
      </c>
      <c r="I423" s="349" t="s">
        <v>569</v>
      </c>
    </row>
    <row r="424" spans="2:9" x14ac:dyDescent="0.2">
      <c r="B424" s="346"/>
      <c r="C424" s="347"/>
      <c r="D424" s="347"/>
      <c r="E424" s="347"/>
      <c r="F424" s="348"/>
      <c r="G424" s="339"/>
      <c r="H424" s="350"/>
      <c r="I424" s="350"/>
    </row>
    <row r="425" spans="2:9" x14ac:dyDescent="0.2">
      <c r="B425" s="332" t="s">
        <v>120</v>
      </c>
      <c r="C425" s="334" t="s">
        <v>121</v>
      </c>
      <c r="D425" s="336" t="s">
        <v>122</v>
      </c>
      <c r="E425" s="336" t="s">
        <v>124</v>
      </c>
      <c r="F425" s="341" t="s">
        <v>123</v>
      </c>
      <c r="G425" s="339"/>
      <c r="H425" s="350"/>
      <c r="I425" s="350"/>
    </row>
    <row r="426" spans="2:9" ht="13.5" thickBot="1" x14ac:dyDescent="0.25">
      <c r="B426" s="333"/>
      <c r="C426" s="335"/>
      <c r="D426" s="337"/>
      <c r="E426" s="337"/>
      <c r="F426" s="342"/>
      <c r="G426" s="340"/>
      <c r="H426" s="351"/>
      <c r="I426" s="351"/>
    </row>
    <row r="427" spans="2:9" ht="15.75" thickTop="1" x14ac:dyDescent="0.2">
      <c r="B427" s="131">
        <v>1</v>
      </c>
      <c r="C427" s="1"/>
      <c r="D427" s="1"/>
      <c r="E427" s="1"/>
      <c r="F427" s="1" t="s">
        <v>125</v>
      </c>
      <c r="G427" s="132">
        <f>G398</f>
        <v>42933047</v>
      </c>
      <c r="H427" s="132">
        <f t="shared" ref="H427" si="178">H398</f>
        <v>-460871</v>
      </c>
      <c r="I427" s="132">
        <f t="shared" ref="I427:I429" si="179">G427+H427</f>
        <v>42472176</v>
      </c>
    </row>
    <row r="428" spans="2:9" ht="15.75" thickBot="1" x14ac:dyDescent="0.25">
      <c r="B428" s="131">
        <v>2</v>
      </c>
      <c r="C428" s="1"/>
      <c r="D428" s="1"/>
      <c r="E428" s="1"/>
      <c r="F428" s="1" t="s">
        <v>44</v>
      </c>
      <c r="G428" s="132">
        <f>G421</f>
        <v>4309429</v>
      </c>
      <c r="H428" s="132">
        <f t="shared" ref="H428" si="180">H421</f>
        <v>0</v>
      </c>
      <c r="I428" s="132">
        <f t="shared" si="179"/>
        <v>4309429</v>
      </c>
    </row>
    <row r="429" spans="2:9" ht="16.5" thickTop="1" thickBot="1" x14ac:dyDescent="0.25">
      <c r="B429" s="133">
        <v>3</v>
      </c>
      <c r="C429" s="134"/>
      <c r="D429" s="134"/>
      <c r="E429" s="134"/>
      <c r="F429" s="134" t="s">
        <v>45</v>
      </c>
      <c r="G429" s="135">
        <f>G428+G427</f>
        <v>47242476</v>
      </c>
      <c r="H429" s="135">
        <f t="shared" ref="H429" si="181">H428+H427</f>
        <v>-460871</v>
      </c>
      <c r="I429" s="135">
        <f t="shared" si="179"/>
        <v>46781605</v>
      </c>
    </row>
  </sheetData>
  <mergeCells count="28">
    <mergeCell ref="H2:H5"/>
    <mergeCell ref="I2:I5"/>
    <mergeCell ref="H400:H403"/>
    <mergeCell ref="I400:I403"/>
    <mergeCell ref="H423:H426"/>
    <mergeCell ref="I423:I426"/>
    <mergeCell ref="F402:F403"/>
    <mergeCell ref="B402:B403"/>
    <mergeCell ref="C402:C403"/>
    <mergeCell ref="B4:B5"/>
    <mergeCell ref="C4:C5"/>
    <mergeCell ref="D4:D5"/>
    <mergeCell ref="B1:I1"/>
    <mergeCell ref="B425:B426"/>
    <mergeCell ref="C425:C426"/>
    <mergeCell ref="D425:D426"/>
    <mergeCell ref="E425:E426"/>
    <mergeCell ref="G423:G426"/>
    <mergeCell ref="F425:F426"/>
    <mergeCell ref="B423:F424"/>
    <mergeCell ref="G400:G403"/>
    <mergeCell ref="B2:F3"/>
    <mergeCell ref="E4:E5"/>
    <mergeCell ref="B400:F401"/>
    <mergeCell ref="G2:G5"/>
    <mergeCell ref="F4:F5"/>
    <mergeCell ref="D402:D403"/>
    <mergeCell ref="E402:E403"/>
  </mergeCells>
  <phoneticPr fontId="1" type="noConversion"/>
  <pageMargins left="0.62992125984251968" right="0.43307086614173229" top="0.15748031496062992" bottom="0.15748031496062992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3:AQ1860"/>
  <sheetViews>
    <sheetView zoomScale="90" zoomScaleNormal="90" workbookViewId="0">
      <selection activeCell="H45" sqref="H45"/>
    </sheetView>
  </sheetViews>
  <sheetFormatPr defaultRowHeight="12.75" x14ac:dyDescent="0.2"/>
  <cols>
    <col min="1" max="1" width="4.7109375" customWidth="1"/>
    <col min="2" max="3" width="3.85546875" customWidth="1"/>
    <col min="4" max="4" width="2.5703125" customWidth="1"/>
    <col min="5" max="5" width="3.140625" customWidth="1"/>
    <col min="6" max="6" width="5.28515625" style="15" customWidth="1"/>
    <col min="7" max="7" width="5" customWidth="1"/>
    <col min="8" max="8" width="37.5703125" customWidth="1"/>
    <col min="9" max="9" width="14" style="16" customWidth="1"/>
    <col min="10" max="10" width="12.85546875" style="16" customWidth="1"/>
    <col min="11" max="11" width="12.5703125" style="16" customWidth="1"/>
    <col min="12" max="12" width="1.140625" style="54" customWidth="1"/>
    <col min="13" max="13" width="12.42578125" style="16" customWidth="1"/>
    <col min="14" max="14" width="12" style="16" customWidth="1"/>
    <col min="15" max="15" width="12.28515625" style="16" customWidth="1"/>
    <col min="16" max="16" width="1.140625" style="297" customWidth="1"/>
    <col min="17" max="17" width="12.7109375" style="16" customWidth="1"/>
    <col min="18" max="18" width="11.42578125" style="54" customWidth="1"/>
    <col min="19" max="19" width="12.5703125" style="54" customWidth="1"/>
    <col min="20" max="20" width="12.140625" style="54" customWidth="1"/>
    <col min="21" max="21" width="9.140625" style="54"/>
    <col min="22" max="22" width="11.140625" style="54" customWidth="1"/>
    <col min="23" max="23" width="9.140625" style="54" customWidth="1"/>
    <col min="24" max="24" width="8" style="54" customWidth="1"/>
    <col min="25" max="39" width="9.140625" style="54"/>
    <col min="40" max="40" width="6" style="54" customWidth="1"/>
    <col min="41" max="43" width="9.140625" style="54"/>
  </cols>
  <sheetData>
    <row r="3" spans="2:40" ht="27.75" thickBot="1" x14ac:dyDescent="0.4">
      <c r="B3" s="352" t="s">
        <v>506</v>
      </c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</row>
    <row r="4" spans="2:40" ht="13.5" customHeight="1" thickBot="1" x14ac:dyDescent="0.25">
      <c r="B4" s="378" t="s">
        <v>364</v>
      </c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80"/>
      <c r="P4" s="271"/>
      <c r="Q4" s="354" t="s">
        <v>571</v>
      </c>
      <c r="R4" s="392" t="s">
        <v>565</v>
      </c>
      <c r="S4" s="395" t="s">
        <v>569</v>
      </c>
      <c r="AN4" s="79"/>
    </row>
    <row r="5" spans="2:40" ht="12.75" customHeight="1" thickBot="1" x14ac:dyDescent="0.25">
      <c r="B5" s="366"/>
      <c r="C5" s="357" t="s">
        <v>126</v>
      </c>
      <c r="D5" s="357" t="s">
        <v>127</v>
      </c>
      <c r="E5" s="357"/>
      <c r="F5" s="357" t="s">
        <v>128</v>
      </c>
      <c r="G5" s="371" t="s">
        <v>129</v>
      </c>
      <c r="H5" s="374" t="s">
        <v>130</v>
      </c>
      <c r="I5" s="363" t="s">
        <v>566</v>
      </c>
      <c r="J5" s="377" t="s">
        <v>565</v>
      </c>
      <c r="K5" s="376" t="s">
        <v>567</v>
      </c>
      <c r="M5" s="363" t="s">
        <v>568</v>
      </c>
      <c r="N5" s="377" t="s">
        <v>565</v>
      </c>
      <c r="O5" s="376" t="s">
        <v>570</v>
      </c>
      <c r="Q5" s="355"/>
      <c r="R5" s="393"/>
      <c r="S5" s="396"/>
      <c r="AN5" s="80"/>
    </row>
    <row r="6" spans="2:40" ht="13.5" thickBot="1" x14ac:dyDescent="0.25">
      <c r="B6" s="367"/>
      <c r="C6" s="358"/>
      <c r="D6" s="358"/>
      <c r="E6" s="358"/>
      <c r="F6" s="358"/>
      <c r="G6" s="372"/>
      <c r="H6" s="375"/>
      <c r="I6" s="363"/>
      <c r="J6" s="377"/>
      <c r="K6" s="376"/>
      <c r="M6" s="363"/>
      <c r="N6" s="377"/>
      <c r="O6" s="376"/>
      <c r="Q6" s="355"/>
      <c r="R6" s="393"/>
      <c r="S6" s="396"/>
      <c r="V6" s="81"/>
      <c r="W6" s="81"/>
      <c r="AN6" s="80"/>
    </row>
    <row r="7" spans="2:40" ht="18.75" customHeight="1" thickBot="1" x14ac:dyDescent="0.25">
      <c r="B7" s="367"/>
      <c r="C7" s="358"/>
      <c r="D7" s="358"/>
      <c r="E7" s="358"/>
      <c r="F7" s="358"/>
      <c r="G7" s="372"/>
      <c r="H7" s="375"/>
      <c r="I7" s="363"/>
      <c r="J7" s="377"/>
      <c r="K7" s="376"/>
      <c r="M7" s="363"/>
      <c r="N7" s="377"/>
      <c r="O7" s="376"/>
      <c r="Q7" s="355"/>
      <c r="R7" s="393"/>
      <c r="S7" s="396"/>
      <c r="AN7" s="80"/>
    </row>
    <row r="8" spans="2:40" ht="18.75" customHeight="1" thickBot="1" x14ac:dyDescent="0.25">
      <c r="B8" s="367"/>
      <c r="C8" s="359"/>
      <c r="D8" s="359"/>
      <c r="E8" s="359"/>
      <c r="F8" s="359"/>
      <c r="G8" s="373"/>
      <c r="H8" s="375"/>
      <c r="I8" s="363"/>
      <c r="J8" s="377"/>
      <c r="K8" s="376"/>
      <c r="M8" s="363"/>
      <c r="N8" s="377"/>
      <c r="O8" s="376"/>
      <c r="Q8" s="356"/>
      <c r="R8" s="394"/>
      <c r="S8" s="397"/>
      <c r="AN8" s="80"/>
    </row>
    <row r="9" spans="2:40" ht="18.75" thickTop="1" x14ac:dyDescent="0.2">
      <c r="B9" s="82">
        <v>1</v>
      </c>
      <c r="C9" s="369" t="s">
        <v>42</v>
      </c>
      <c r="D9" s="370"/>
      <c r="E9" s="370"/>
      <c r="F9" s="370"/>
      <c r="G9" s="370"/>
      <c r="H9" s="370"/>
      <c r="I9" s="53">
        <f>I64+I61+I53+I42+I30+I10</f>
        <v>516150</v>
      </c>
      <c r="J9" s="53">
        <f t="shared" ref="J9" si="0">J64+J61+J53+J42+J30+J10</f>
        <v>0</v>
      </c>
      <c r="K9" s="53">
        <f>I9+J9</f>
        <v>516150</v>
      </c>
      <c r="M9" s="35">
        <f>M10+M30+M42+M50+M51+M52+M53+M61+M64</f>
        <v>491060</v>
      </c>
      <c r="N9" s="35">
        <f t="shared" ref="N9" si="1">N10+N30+N42+N50+N51+N52+N53+N61+N64</f>
        <v>0</v>
      </c>
      <c r="O9" s="93">
        <f>M9+N9</f>
        <v>491060</v>
      </c>
      <c r="Q9" s="290">
        <f t="shared" ref="Q9:Q40" si="2">I9+M9</f>
        <v>1007210</v>
      </c>
      <c r="R9" s="289">
        <f t="shared" ref="R9:S24" si="3">J9+N9</f>
        <v>0</v>
      </c>
      <c r="S9" s="282">
        <f t="shared" si="3"/>
        <v>1007210</v>
      </c>
      <c r="AN9" s="80"/>
    </row>
    <row r="10" spans="2:40" ht="15" x14ac:dyDescent="0.2">
      <c r="B10" s="83">
        <f>B9+1</f>
        <v>2</v>
      </c>
      <c r="C10" s="268">
        <v>1</v>
      </c>
      <c r="D10" s="364" t="s">
        <v>206</v>
      </c>
      <c r="E10" s="365"/>
      <c r="F10" s="365"/>
      <c r="G10" s="365"/>
      <c r="H10" s="365"/>
      <c r="I10" s="36">
        <f>I24+I21+I18+I11</f>
        <v>189200</v>
      </c>
      <c r="J10" s="36">
        <f t="shared" ref="J10" si="4">J24+J21+J18+J11</f>
        <v>0</v>
      </c>
      <c r="K10" s="36">
        <f t="shared" ref="K10:K64" si="5">I10+J10</f>
        <v>189200</v>
      </c>
      <c r="M10" s="36">
        <v>0</v>
      </c>
      <c r="N10" s="36">
        <v>0</v>
      </c>
      <c r="O10" s="84">
        <f t="shared" ref="O10:O64" si="6">M10+N10</f>
        <v>0</v>
      </c>
      <c r="Q10" s="276">
        <f t="shared" si="2"/>
        <v>189200</v>
      </c>
      <c r="R10" s="36">
        <f t="shared" si="3"/>
        <v>0</v>
      </c>
      <c r="S10" s="283">
        <f t="shared" si="3"/>
        <v>189200</v>
      </c>
      <c r="AN10" s="80"/>
    </row>
    <row r="11" spans="2:40" ht="15" x14ac:dyDescent="0.25">
      <c r="B11" s="83">
        <f>B10+1</f>
        <v>3</v>
      </c>
      <c r="C11" s="267"/>
      <c r="D11" s="267">
        <v>1</v>
      </c>
      <c r="E11" s="384" t="s">
        <v>220</v>
      </c>
      <c r="F11" s="365"/>
      <c r="G11" s="365"/>
      <c r="H11" s="365"/>
      <c r="I11" s="37">
        <f>I12</f>
        <v>19500</v>
      </c>
      <c r="J11" s="37">
        <f t="shared" ref="J11" si="7">J12</f>
        <v>0</v>
      </c>
      <c r="K11" s="37">
        <f t="shared" si="5"/>
        <v>19500</v>
      </c>
      <c r="M11" s="37"/>
      <c r="N11" s="37"/>
      <c r="O11" s="85">
        <f t="shared" si="6"/>
        <v>0</v>
      </c>
      <c r="Q11" s="277">
        <f t="shared" si="2"/>
        <v>19500</v>
      </c>
      <c r="R11" s="37">
        <f t="shared" si="3"/>
        <v>0</v>
      </c>
      <c r="S11" s="284">
        <f t="shared" si="3"/>
        <v>19500</v>
      </c>
      <c r="AN11" s="80"/>
    </row>
    <row r="12" spans="2:40" x14ac:dyDescent="0.2">
      <c r="B12" s="83">
        <f t="shared" ref="B12:B64" si="8">B11+1</f>
        <v>4</v>
      </c>
      <c r="C12" s="7"/>
      <c r="D12" s="7"/>
      <c r="E12" s="7"/>
      <c r="F12" s="25" t="s">
        <v>81</v>
      </c>
      <c r="G12" s="7">
        <v>630</v>
      </c>
      <c r="H12" s="7" t="s">
        <v>133</v>
      </c>
      <c r="I12" s="23">
        <f>SUM(I13:I17)</f>
        <v>19500</v>
      </c>
      <c r="J12" s="23">
        <f t="shared" ref="J12" si="9">SUM(J13:J17)</f>
        <v>0</v>
      </c>
      <c r="K12" s="23">
        <f t="shared" si="5"/>
        <v>19500</v>
      </c>
      <c r="M12" s="23"/>
      <c r="N12" s="23"/>
      <c r="O12" s="86">
        <f t="shared" si="6"/>
        <v>0</v>
      </c>
      <c r="Q12" s="278">
        <f t="shared" si="2"/>
        <v>19500</v>
      </c>
      <c r="R12" s="23">
        <f t="shared" si="3"/>
        <v>0</v>
      </c>
      <c r="S12" s="285">
        <f t="shared" si="3"/>
        <v>19500</v>
      </c>
      <c r="AN12" s="80"/>
    </row>
    <row r="13" spans="2:40" x14ac:dyDescent="0.2">
      <c r="B13" s="83">
        <f t="shared" si="8"/>
        <v>5</v>
      </c>
      <c r="C13" s="3"/>
      <c r="D13" s="3"/>
      <c r="E13" s="3"/>
      <c r="F13" s="26" t="s">
        <v>81</v>
      </c>
      <c r="G13" s="3">
        <v>631</v>
      </c>
      <c r="H13" s="3" t="s">
        <v>139</v>
      </c>
      <c r="I13" s="19">
        <v>4500</v>
      </c>
      <c r="J13" s="19"/>
      <c r="K13" s="19">
        <f t="shared" si="5"/>
        <v>4500</v>
      </c>
      <c r="M13" s="19"/>
      <c r="N13" s="19"/>
      <c r="O13" s="87">
        <f t="shared" si="6"/>
        <v>0</v>
      </c>
      <c r="Q13" s="279">
        <f t="shared" si="2"/>
        <v>4500</v>
      </c>
      <c r="R13" s="19">
        <f t="shared" si="3"/>
        <v>0</v>
      </c>
      <c r="S13" s="286">
        <f t="shared" si="3"/>
        <v>4500</v>
      </c>
      <c r="AN13" s="61"/>
    </row>
    <row r="14" spans="2:40" x14ac:dyDescent="0.2">
      <c r="B14" s="83">
        <f t="shared" si="8"/>
        <v>6</v>
      </c>
      <c r="C14" s="3"/>
      <c r="D14" s="3"/>
      <c r="E14" s="3"/>
      <c r="F14" s="26" t="s">
        <v>81</v>
      </c>
      <c r="G14" s="3">
        <v>633</v>
      </c>
      <c r="H14" s="3" t="s">
        <v>137</v>
      </c>
      <c r="I14" s="19">
        <v>8000</v>
      </c>
      <c r="J14" s="19"/>
      <c r="K14" s="19">
        <f t="shared" si="5"/>
        <v>8000</v>
      </c>
      <c r="M14" s="19"/>
      <c r="N14" s="19"/>
      <c r="O14" s="87">
        <f t="shared" si="6"/>
        <v>0</v>
      </c>
      <c r="Q14" s="279">
        <f t="shared" si="2"/>
        <v>8000</v>
      </c>
      <c r="R14" s="19">
        <f t="shared" si="3"/>
        <v>0</v>
      </c>
      <c r="S14" s="286">
        <f t="shared" si="3"/>
        <v>8000</v>
      </c>
    </row>
    <row r="15" spans="2:40" x14ac:dyDescent="0.2">
      <c r="B15" s="83">
        <f t="shared" si="8"/>
        <v>7</v>
      </c>
      <c r="C15" s="3"/>
      <c r="D15" s="3"/>
      <c r="E15" s="3"/>
      <c r="F15" s="26" t="s">
        <v>81</v>
      </c>
      <c r="G15" s="3">
        <v>634</v>
      </c>
      <c r="H15" s="3" t="s">
        <v>144</v>
      </c>
      <c r="I15" s="19">
        <v>500</v>
      </c>
      <c r="J15" s="19"/>
      <c r="K15" s="19">
        <f t="shared" si="5"/>
        <v>500</v>
      </c>
      <c r="M15" s="19"/>
      <c r="N15" s="19"/>
      <c r="O15" s="87">
        <f t="shared" si="6"/>
        <v>0</v>
      </c>
      <c r="Q15" s="279">
        <f t="shared" si="2"/>
        <v>500</v>
      </c>
      <c r="R15" s="19">
        <f t="shared" si="3"/>
        <v>0</v>
      </c>
      <c r="S15" s="286">
        <f t="shared" si="3"/>
        <v>500</v>
      </c>
    </row>
    <row r="16" spans="2:40" x14ac:dyDescent="0.2">
      <c r="B16" s="83">
        <f t="shared" si="8"/>
        <v>8</v>
      </c>
      <c r="C16" s="3"/>
      <c r="D16" s="3"/>
      <c r="E16" s="3"/>
      <c r="F16" s="26" t="s">
        <v>81</v>
      </c>
      <c r="G16" s="3">
        <v>636</v>
      </c>
      <c r="H16" s="3" t="s">
        <v>138</v>
      </c>
      <c r="I16" s="19">
        <v>500</v>
      </c>
      <c r="J16" s="19"/>
      <c r="K16" s="19">
        <f t="shared" si="5"/>
        <v>500</v>
      </c>
      <c r="M16" s="19"/>
      <c r="N16" s="19"/>
      <c r="O16" s="87">
        <f t="shared" si="6"/>
        <v>0</v>
      </c>
      <c r="Q16" s="279">
        <f t="shared" si="2"/>
        <v>500</v>
      </c>
      <c r="R16" s="19">
        <f t="shared" si="3"/>
        <v>0</v>
      </c>
      <c r="S16" s="286">
        <f t="shared" si="3"/>
        <v>500</v>
      </c>
    </row>
    <row r="17" spans="2:19" x14ac:dyDescent="0.2">
      <c r="B17" s="83">
        <f t="shared" si="8"/>
        <v>9</v>
      </c>
      <c r="C17" s="3"/>
      <c r="D17" s="3"/>
      <c r="E17" s="3"/>
      <c r="F17" s="26" t="s">
        <v>81</v>
      </c>
      <c r="G17" s="3">
        <v>637</v>
      </c>
      <c r="H17" s="3" t="s">
        <v>134</v>
      </c>
      <c r="I17" s="19">
        <v>6000</v>
      </c>
      <c r="J17" s="19"/>
      <c r="K17" s="19">
        <f t="shared" si="5"/>
        <v>6000</v>
      </c>
      <c r="M17" s="19"/>
      <c r="N17" s="19"/>
      <c r="O17" s="87">
        <f t="shared" si="6"/>
        <v>0</v>
      </c>
      <c r="Q17" s="279">
        <f t="shared" si="2"/>
        <v>6000</v>
      </c>
      <c r="R17" s="19">
        <f t="shared" si="3"/>
        <v>0</v>
      </c>
      <c r="S17" s="286">
        <f t="shared" si="3"/>
        <v>6000</v>
      </c>
    </row>
    <row r="18" spans="2:19" ht="15" x14ac:dyDescent="0.25">
      <c r="B18" s="83">
        <f t="shared" si="8"/>
        <v>10</v>
      </c>
      <c r="C18" s="267"/>
      <c r="D18" s="267">
        <v>2</v>
      </c>
      <c r="E18" s="368" t="s">
        <v>247</v>
      </c>
      <c r="F18" s="361"/>
      <c r="G18" s="361"/>
      <c r="H18" s="362"/>
      <c r="I18" s="37">
        <f>I19</f>
        <v>2000</v>
      </c>
      <c r="J18" s="37">
        <f t="shared" ref="J18:J19" si="10">J19</f>
        <v>0</v>
      </c>
      <c r="K18" s="37">
        <f t="shared" si="5"/>
        <v>2000</v>
      </c>
      <c r="M18" s="37">
        <v>0</v>
      </c>
      <c r="N18" s="37">
        <v>0</v>
      </c>
      <c r="O18" s="85">
        <f t="shared" si="6"/>
        <v>0</v>
      </c>
      <c r="Q18" s="277">
        <f t="shared" si="2"/>
        <v>2000</v>
      </c>
      <c r="R18" s="37">
        <f t="shared" si="3"/>
        <v>0</v>
      </c>
      <c r="S18" s="284">
        <f t="shared" si="3"/>
        <v>2000</v>
      </c>
    </row>
    <row r="19" spans="2:19" x14ac:dyDescent="0.2">
      <c r="B19" s="83">
        <f t="shared" si="8"/>
        <v>11</v>
      </c>
      <c r="C19" s="7"/>
      <c r="D19" s="7"/>
      <c r="E19" s="7"/>
      <c r="F19" s="25" t="s">
        <v>81</v>
      </c>
      <c r="G19" s="7">
        <v>630</v>
      </c>
      <c r="H19" s="7" t="s">
        <v>133</v>
      </c>
      <c r="I19" s="23">
        <f>I20</f>
        <v>2000</v>
      </c>
      <c r="J19" s="23">
        <f t="shared" si="10"/>
        <v>0</v>
      </c>
      <c r="K19" s="23">
        <f t="shared" si="5"/>
        <v>2000</v>
      </c>
      <c r="M19" s="23"/>
      <c r="N19" s="23"/>
      <c r="O19" s="86">
        <f t="shared" si="6"/>
        <v>0</v>
      </c>
      <c r="Q19" s="278">
        <f t="shared" si="2"/>
        <v>2000</v>
      </c>
      <c r="R19" s="23">
        <f t="shared" si="3"/>
        <v>0</v>
      </c>
      <c r="S19" s="285">
        <f t="shared" si="3"/>
        <v>2000</v>
      </c>
    </row>
    <row r="20" spans="2:19" x14ac:dyDescent="0.2">
      <c r="B20" s="83">
        <f t="shared" si="8"/>
        <v>12</v>
      </c>
      <c r="C20" s="3"/>
      <c r="D20" s="3"/>
      <c r="E20" s="3"/>
      <c r="F20" s="26" t="s">
        <v>81</v>
      </c>
      <c r="G20" s="3">
        <v>633</v>
      </c>
      <c r="H20" s="3" t="s">
        <v>137</v>
      </c>
      <c r="I20" s="19">
        <v>2000</v>
      </c>
      <c r="J20" s="19"/>
      <c r="K20" s="19">
        <f t="shared" si="5"/>
        <v>2000</v>
      </c>
      <c r="M20" s="19"/>
      <c r="N20" s="19"/>
      <c r="O20" s="87">
        <f t="shared" si="6"/>
        <v>0</v>
      </c>
      <c r="Q20" s="279">
        <f t="shared" si="2"/>
        <v>2000</v>
      </c>
      <c r="R20" s="19">
        <f t="shared" si="3"/>
        <v>0</v>
      </c>
      <c r="S20" s="286">
        <f t="shared" si="3"/>
        <v>2000</v>
      </c>
    </row>
    <row r="21" spans="2:19" ht="15" x14ac:dyDescent="0.25">
      <c r="B21" s="83">
        <f t="shared" si="8"/>
        <v>13</v>
      </c>
      <c r="C21" s="267"/>
      <c r="D21" s="267">
        <v>3</v>
      </c>
      <c r="E21" s="368" t="s">
        <v>248</v>
      </c>
      <c r="F21" s="361"/>
      <c r="G21" s="361"/>
      <c r="H21" s="362"/>
      <c r="I21" s="37">
        <f>I22</f>
        <v>1000</v>
      </c>
      <c r="J21" s="37">
        <f t="shared" ref="J21:J22" si="11">J22</f>
        <v>0</v>
      </c>
      <c r="K21" s="37">
        <f t="shared" si="5"/>
        <v>1000</v>
      </c>
      <c r="M21" s="37">
        <v>0</v>
      </c>
      <c r="N21" s="37">
        <v>0</v>
      </c>
      <c r="O21" s="85">
        <f t="shared" si="6"/>
        <v>0</v>
      </c>
      <c r="Q21" s="277">
        <f t="shared" si="2"/>
        <v>1000</v>
      </c>
      <c r="R21" s="37">
        <f t="shared" si="3"/>
        <v>0</v>
      </c>
      <c r="S21" s="284">
        <f t="shared" si="3"/>
        <v>1000</v>
      </c>
    </row>
    <row r="22" spans="2:19" x14ac:dyDescent="0.2">
      <c r="B22" s="83">
        <f t="shared" si="8"/>
        <v>14</v>
      </c>
      <c r="C22" s="7"/>
      <c r="D22" s="7"/>
      <c r="E22" s="7"/>
      <c r="F22" s="25" t="s">
        <v>81</v>
      </c>
      <c r="G22" s="7">
        <v>630</v>
      </c>
      <c r="H22" s="7" t="s">
        <v>133</v>
      </c>
      <c r="I22" s="23">
        <f>I23</f>
        <v>1000</v>
      </c>
      <c r="J22" s="23">
        <f t="shared" si="11"/>
        <v>0</v>
      </c>
      <c r="K22" s="23">
        <f t="shared" si="5"/>
        <v>1000</v>
      </c>
      <c r="M22" s="23"/>
      <c r="N22" s="23"/>
      <c r="O22" s="86">
        <f t="shared" si="6"/>
        <v>0</v>
      </c>
      <c r="Q22" s="278">
        <f t="shared" si="2"/>
        <v>1000</v>
      </c>
      <c r="R22" s="23">
        <f t="shared" si="3"/>
        <v>0</v>
      </c>
      <c r="S22" s="285">
        <f t="shared" si="3"/>
        <v>1000</v>
      </c>
    </row>
    <row r="23" spans="2:19" x14ac:dyDescent="0.2">
      <c r="B23" s="83">
        <f t="shared" si="8"/>
        <v>15</v>
      </c>
      <c r="C23" s="3"/>
      <c r="D23" s="3"/>
      <c r="E23" s="3"/>
      <c r="F23" s="26" t="s">
        <v>81</v>
      </c>
      <c r="G23" s="3">
        <v>633</v>
      </c>
      <c r="H23" s="3" t="s">
        <v>137</v>
      </c>
      <c r="I23" s="19">
        <v>1000</v>
      </c>
      <c r="J23" s="19"/>
      <c r="K23" s="19">
        <f t="shared" si="5"/>
        <v>1000</v>
      </c>
      <c r="M23" s="19"/>
      <c r="N23" s="19"/>
      <c r="O23" s="87">
        <f t="shared" si="6"/>
        <v>0</v>
      </c>
      <c r="Q23" s="279">
        <f t="shared" si="2"/>
        <v>1000</v>
      </c>
      <c r="R23" s="19">
        <f t="shared" si="3"/>
        <v>0</v>
      </c>
      <c r="S23" s="286">
        <f t="shared" si="3"/>
        <v>1000</v>
      </c>
    </row>
    <row r="24" spans="2:19" ht="15" x14ac:dyDescent="0.25">
      <c r="B24" s="83">
        <f t="shared" si="8"/>
        <v>16</v>
      </c>
      <c r="C24" s="267"/>
      <c r="D24" s="267">
        <v>4</v>
      </c>
      <c r="E24" s="368" t="s">
        <v>205</v>
      </c>
      <c r="F24" s="361"/>
      <c r="G24" s="361"/>
      <c r="H24" s="362"/>
      <c r="I24" s="37">
        <f>I25+I26</f>
        <v>166700</v>
      </c>
      <c r="J24" s="37">
        <f t="shared" ref="J24" si="12">J25+J26</f>
        <v>0</v>
      </c>
      <c r="K24" s="37">
        <f t="shared" si="5"/>
        <v>166700</v>
      </c>
      <c r="M24" s="37">
        <v>0</v>
      </c>
      <c r="N24" s="37">
        <v>0</v>
      </c>
      <c r="O24" s="85">
        <f t="shared" si="6"/>
        <v>0</v>
      </c>
      <c r="Q24" s="277">
        <f t="shared" si="2"/>
        <v>166700</v>
      </c>
      <c r="R24" s="37">
        <f t="shared" si="3"/>
        <v>0</v>
      </c>
      <c r="S24" s="284">
        <f t="shared" si="3"/>
        <v>166700</v>
      </c>
    </row>
    <row r="25" spans="2:19" x14ac:dyDescent="0.2">
      <c r="B25" s="83">
        <f t="shared" si="8"/>
        <v>17</v>
      </c>
      <c r="C25" s="7"/>
      <c r="D25" s="7"/>
      <c r="E25" s="7"/>
      <c r="F25" s="25" t="s">
        <v>81</v>
      </c>
      <c r="G25" s="7">
        <v>620</v>
      </c>
      <c r="H25" s="7" t="s">
        <v>136</v>
      </c>
      <c r="I25" s="23">
        <v>39600</v>
      </c>
      <c r="J25" s="23"/>
      <c r="K25" s="23">
        <f t="shared" si="5"/>
        <v>39600</v>
      </c>
      <c r="M25" s="23"/>
      <c r="N25" s="23"/>
      <c r="O25" s="86">
        <f t="shared" si="6"/>
        <v>0</v>
      </c>
      <c r="Q25" s="278">
        <f t="shared" si="2"/>
        <v>39600</v>
      </c>
      <c r="R25" s="23">
        <f t="shared" ref="R25:S40" si="13">J25+N25</f>
        <v>0</v>
      </c>
      <c r="S25" s="285">
        <f t="shared" si="13"/>
        <v>39600</v>
      </c>
    </row>
    <row r="26" spans="2:19" x14ac:dyDescent="0.2">
      <c r="B26" s="83">
        <f t="shared" si="8"/>
        <v>18</v>
      </c>
      <c r="C26" s="7"/>
      <c r="D26" s="7"/>
      <c r="E26" s="7"/>
      <c r="F26" s="25" t="s">
        <v>81</v>
      </c>
      <c r="G26" s="7">
        <v>630</v>
      </c>
      <c r="H26" s="7" t="s">
        <v>133</v>
      </c>
      <c r="I26" s="23">
        <f>SUM(I27:I29)</f>
        <v>127100</v>
      </c>
      <c r="J26" s="23">
        <f t="shared" ref="J26" si="14">SUM(J27:J29)</f>
        <v>0</v>
      </c>
      <c r="K26" s="23">
        <f t="shared" si="5"/>
        <v>127100</v>
      </c>
      <c r="M26" s="23"/>
      <c r="N26" s="23"/>
      <c r="O26" s="86">
        <f t="shared" si="6"/>
        <v>0</v>
      </c>
      <c r="Q26" s="278">
        <f t="shared" si="2"/>
        <v>127100</v>
      </c>
      <c r="R26" s="23">
        <f t="shared" si="13"/>
        <v>0</v>
      </c>
      <c r="S26" s="285">
        <f t="shared" si="13"/>
        <v>127100</v>
      </c>
    </row>
    <row r="27" spans="2:19" x14ac:dyDescent="0.2">
      <c r="B27" s="83">
        <f t="shared" si="8"/>
        <v>19</v>
      </c>
      <c r="C27" s="3"/>
      <c r="D27" s="3"/>
      <c r="E27" s="3"/>
      <c r="F27" s="26" t="s">
        <v>81</v>
      </c>
      <c r="G27" s="3">
        <v>632</v>
      </c>
      <c r="H27" s="3" t="s">
        <v>146</v>
      </c>
      <c r="I27" s="19">
        <v>10600</v>
      </c>
      <c r="J27" s="19"/>
      <c r="K27" s="19">
        <f t="shared" si="5"/>
        <v>10600</v>
      </c>
      <c r="M27" s="19"/>
      <c r="N27" s="19"/>
      <c r="O27" s="87">
        <f t="shared" si="6"/>
        <v>0</v>
      </c>
      <c r="Q27" s="279">
        <f t="shared" si="2"/>
        <v>10600</v>
      </c>
      <c r="R27" s="19">
        <f t="shared" si="13"/>
        <v>0</v>
      </c>
      <c r="S27" s="286">
        <f t="shared" si="13"/>
        <v>10600</v>
      </c>
    </row>
    <row r="28" spans="2:19" x14ac:dyDescent="0.2">
      <c r="B28" s="83">
        <f t="shared" si="8"/>
        <v>20</v>
      </c>
      <c r="C28" s="3"/>
      <c r="D28" s="3"/>
      <c r="E28" s="3"/>
      <c r="F28" s="26" t="s">
        <v>81</v>
      </c>
      <c r="G28" s="3">
        <v>633</v>
      </c>
      <c r="H28" s="3" t="s">
        <v>137</v>
      </c>
      <c r="I28" s="19">
        <v>3000</v>
      </c>
      <c r="J28" s="19"/>
      <c r="K28" s="19">
        <f t="shared" si="5"/>
        <v>3000</v>
      </c>
      <c r="M28" s="19"/>
      <c r="N28" s="19"/>
      <c r="O28" s="87">
        <f t="shared" si="6"/>
        <v>0</v>
      </c>
      <c r="Q28" s="279">
        <f t="shared" si="2"/>
        <v>3000</v>
      </c>
      <c r="R28" s="19">
        <f t="shared" si="13"/>
        <v>0</v>
      </c>
      <c r="S28" s="286">
        <f t="shared" si="13"/>
        <v>3000</v>
      </c>
    </row>
    <row r="29" spans="2:19" x14ac:dyDescent="0.2">
      <c r="B29" s="83">
        <f t="shared" si="8"/>
        <v>21</v>
      </c>
      <c r="C29" s="3"/>
      <c r="D29" s="3"/>
      <c r="E29" s="3"/>
      <c r="F29" s="26" t="s">
        <v>81</v>
      </c>
      <c r="G29" s="3">
        <v>637</v>
      </c>
      <c r="H29" s="3" t="s">
        <v>134</v>
      </c>
      <c r="I29" s="19">
        <v>113500</v>
      </c>
      <c r="J29" s="19"/>
      <c r="K29" s="19">
        <f t="shared" si="5"/>
        <v>113500</v>
      </c>
      <c r="M29" s="19"/>
      <c r="N29" s="19"/>
      <c r="O29" s="87">
        <f t="shared" si="6"/>
        <v>0</v>
      </c>
      <c r="Q29" s="279">
        <f t="shared" si="2"/>
        <v>113500</v>
      </c>
      <c r="R29" s="19">
        <f t="shared" si="13"/>
        <v>0</v>
      </c>
      <c r="S29" s="286">
        <f t="shared" si="13"/>
        <v>113500</v>
      </c>
    </row>
    <row r="30" spans="2:19" ht="15" x14ac:dyDescent="0.2">
      <c r="B30" s="83">
        <f t="shared" si="8"/>
        <v>22</v>
      </c>
      <c r="C30" s="268">
        <v>2</v>
      </c>
      <c r="D30" s="360" t="s">
        <v>219</v>
      </c>
      <c r="E30" s="361"/>
      <c r="F30" s="361"/>
      <c r="G30" s="361"/>
      <c r="H30" s="362"/>
      <c r="I30" s="36">
        <f>I31+I32+I37</f>
        <v>165300</v>
      </c>
      <c r="J30" s="36">
        <f t="shared" ref="J30" si="15">J31+J32+J37</f>
        <v>0</v>
      </c>
      <c r="K30" s="36">
        <f t="shared" si="5"/>
        <v>165300</v>
      </c>
      <c r="M30" s="36">
        <f>M37</f>
        <v>105000</v>
      </c>
      <c r="N30" s="36">
        <f t="shared" ref="N30" si="16">N37</f>
        <v>0</v>
      </c>
      <c r="O30" s="84">
        <f t="shared" si="6"/>
        <v>105000</v>
      </c>
      <c r="Q30" s="276">
        <f t="shared" si="2"/>
        <v>270300</v>
      </c>
      <c r="R30" s="36">
        <f t="shared" si="13"/>
        <v>0</v>
      </c>
      <c r="S30" s="283">
        <f t="shared" si="13"/>
        <v>270300</v>
      </c>
    </row>
    <row r="31" spans="2:19" x14ac:dyDescent="0.2">
      <c r="B31" s="83">
        <f t="shared" si="8"/>
        <v>23</v>
      </c>
      <c r="C31" s="7"/>
      <c r="D31" s="7"/>
      <c r="E31" s="7"/>
      <c r="F31" s="25" t="s">
        <v>218</v>
      </c>
      <c r="G31" s="7">
        <v>620</v>
      </c>
      <c r="H31" s="7" t="s">
        <v>136</v>
      </c>
      <c r="I31" s="23">
        <f>4500</f>
        <v>4500</v>
      </c>
      <c r="J31" s="23"/>
      <c r="K31" s="23">
        <f t="shared" si="5"/>
        <v>4500</v>
      </c>
      <c r="M31" s="23"/>
      <c r="N31" s="23"/>
      <c r="O31" s="86">
        <f t="shared" si="6"/>
        <v>0</v>
      </c>
      <c r="Q31" s="278">
        <f t="shared" si="2"/>
        <v>4500</v>
      </c>
      <c r="R31" s="23">
        <f t="shared" si="13"/>
        <v>0</v>
      </c>
      <c r="S31" s="285">
        <f t="shared" si="13"/>
        <v>4500</v>
      </c>
    </row>
    <row r="32" spans="2:19" x14ac:dyDescent="0.2">
      <c r="B32" s="83">
        <f t="shared" si="8"/>
        <v>24</v>
      </c>
      <c r="C32" s="7"/>
      <c r="D32" s="7"/>
      <c r="E32" s="7"/>
      <c r="F32" s="25" t="s">
        <v>218</v>
      </c>
      <c r="G32" s="7">
        <v>630</v>
      </c>
      <c r="H32" s="7" t="s">
        <v>133</v>
      </c>
      <c r="I32" s="23">
        <f>SUM(I33:I36)</f>
        <v>160800</v>
      </c>
      <c r="J32" s="23">
        <f t="shared" ref="J32" si="17">SUM(J33:J36)</f>
        <v>0</v>
      </c>
      <c r="K32" s="23">
        <f t="shared" si="5"/>
        <v>160800</v>
      </c>
      <c r="M32" s="23"/>
      <c r="N32" s="23"/>
      <c r="O32" s="86">
        <f t="shared" si="6"/>
        <v>0</v>
      </c>
      <c r="Q32" s="278">
        <f t="shared" si="2"/>
        <v>160800</v>
      </c>
      <c r="R32" s="23">
        <f t="shared" si="13"/>
        <v>0</v>
      </c>
      <c r="S32" s="285">
        <f t="shared" si="13"/>
        <v>160800</v>
      </c>
    </row>
    <row r="33" spans="2:43" x14ac:dyDescent="0.2">
      <c r="B33" s="83">
        <f t="shared" si="8"/>
        <v>25</v>
      </c>
      <c r="C33" s="3"/>
      <c r="D33" s="3"/>
      <c r="E33" s="3"/>
      <c r="F33" s="26" t="s">
        <v>218</v>
      </c>
      <c r="G33" s="3">
        <v>631</v>
      </c>
      <c r="H33" s="3" t="s">
        <v>139</v>
      </c>
      <c r="I33" s="19">
        <v>500</v>
      </c>
      <c r="J33" s="19"/>
      <c r="K33" s="19">
        <f t="shared" si="5"/>
        <v>500</v>
      </c>
      <c r="M33" s="19"/>
      <c r="N33" s="19"/>
      <c r="O33" s="87">
        <f t="shared" si="6"/>
        <v>0</v>
      </c>
      <c r="Q33" s="279">
        <f t="shared" si="2"/>
        <v>500</v>
      </c>
      <c r="R33" s="19">
        <f t="shared" si="13"/>
        <v>0</v>
      </c>
      <c r="S33" s="286">
        <f t="shared" si="13"/>
        <v>500</v>
      </c>
    </row>
    <row r="34" spans="2:43" x14ac:dyDescent="0.2">
      <c r="B34" s="83">
        <f t="shared" si="8"/>
        <v>26</v>
      </c>
      <c r="C34" s="3"/>
      <c r="D34" s="3"/>
      <c r="E34" s="3"/>
      <c r="F34" s="26" t="s">
        <v>218</v>
      </c>
      <c r="G34" s="3">
        <v>633</v>
      </c>
      <c r="H34" s="3" t="s">
        <v>137</v>
      </c>
      <c r="I34" s="19">
        <v>3500</v>
      </c>
      <c r="J34" s="19"/>
      <c r="K34" s="19">
        <f t="shared" si="5"/>
        <v>3500</v>
      </c>
      <c r="M34" s="19"/>
      <c r="N34" s="19"/>
      <c r="O34" s="87">
        <f t="shared" si="6"/>
        <v>0</v>
      </c>
      <c r="Q34" s="279">
        <f t="shared" si="2"/>
        <v>3500</v>
      </c>
      <c r="R34" s="19">
        <f t="shared" si="13"/>
        <v>0</v>
      </c>
      <c r="S34" s="286">
        <f t="shared" si="13"/>
        <v>3500</v>
      </c>
    </row>
    <row r="35" spans="2:43" x14ac:dyDescent="0.2">
      <c r="B35" s="83">
        <f t="shared" si="8"/>
        <v>27</v>
      </c>
      <c r="C35" s="3"/>
      <c r="D35" s="3"/>
      <c r="E35" s="3"/>
      <c r="F35" s="26" t="s">
        <v>218</v>
      </c>
      <c r="G35" s="3">
        <v>635</v>
      </c>
      <c r="H35" s="3" t="s">
        <v>145</v>
      </c>
      <c r="I35" s="19">
        <v>3000</v>
      </c>
      <c r="J35" s="19"/>
      <c r="K35" s="19">
        <f t="shared" si="5"/>
        <v>3000</v>
      </c>
      <c r="M35" s="19"/>
      <c r="N35" s="19"/>
      <c r="O35" s="87">
        <f t="shared" si="6"/>
        <v>0</v>
      </c>
      <c r="Q35" s="279">
        <f t="shared" si="2"/>
        <v>3000</v>
      </c>
      <c r="R35" s="19">
        <f t="shared" si="13"/>
        <v>0</v>
      </c>
      <c r="S35" s="286">
        <f t="shared" si="13"/>
        <v>3000</v>
      </c>
    </row>
    <row r="36" spans="2:43" x14ac:dyDescent="0.2">
      <c r="B36" s="83">
        <f t="shared" si="8"/>
        <v>28</v>
      </c>
      <c r="C36" s="3"/>
      <c r="D36" s="3"/>
      <c r="E36" s="3"/>
      <c r="F36" s="26" t="s">
        <v>218</v>
      </c>
      <c r="G36" s="3">
        <v>637</v>
      </c>
      <c r="H36" s="3" t="s">
        <v>134</v>
      </c>
      <c r="I36" s="19">
        <f>153800</f>
        <v>153800</v>
      </c>
      <c r="J36" s="19"/>
      <c r="K36" s="19">
        <f t="shared" si="5"/>
        <v>153800</v>
      </c>
      <c r="M36" s="19"/>
      <c r="N36" s="19"/>
      <c r="O36" s="87">
        <f t="shared" si="6"/>
        <v>0</v>
      </c>
      <c r="Q36" s="279">
        <f t="shared" si="2"/>
        <v>153800</v>
      </c>
      <c r="R36" s="19">
        <f t="shared" si="13"/>
        <v>0</v>
      </c>
      <c r="S36" s="286">
        <f t="shared" si="13"/>
        <v>153800</v>
      </c>
    </row>
    <row r="37" spans="2:43" x14ac:dyDescent="0.2">
      <c r="B37" s="83">
        <f t="shared" si="8"/>
        <v>29</v>
      </c>
      <c r="C37" s="7"/>
      <c r="D37" s="7"/>
      <c r="E37" s="7"/>
      <c r="F37" s="25" t="s">
        <v>218</v>
      </c>
      <c r="G37" s="7">
        <v>710</v>
      </c>
      <c r="H37" s="7" t="s">
        <v>188</v>
      </c>
      <c r="I37" s="23"/>
      <c r="J37" s="23"/>
      <c r="K37" s="23">
        <f t="shared" si="5"/>
        <v>0</v>
      </c>
      <c r="M37" s="23">
        <f>M38+M40</f>
        <v>105000</v>
      </c>
      <c r="N37" s="23">
        <f t="shared" ref="N37" si="18">N38+N40</f>
        <v>0</v>
      </c>
      <c r="O37" s="86">
        <f t="shared" si="6"/>
        <v>105000</v>
      </c>
      <c r="Q37" s="278">
        <f t="shared" si="2"/>
        <v>105000</v>
      </c>
      <c r="R37" s="23">
        <f t="shared" si="13"/>
        <v>0</v>
      </c>
      <c r="S37" s="285">
        <f t="shared" si="13"/>
        <v>105000</v>
      </c>
    </row>
    <row r="38" spans="2:43" x14ac:dyDescent="0.2">
      <c r="B38" s="83">
        <f t="shared" si="8"/>
        <v>30</v>
      </c>
      <c r="C38" s="3"/>
      <c r="D38" s="3"/>
      <c r="E38" s="3"/>
      <c r="F38" s="26" t="s">
        <v>218</v>
      </c>
      <c r="G38" s="3">
        <v>711</v>
      </c>
      <c r="H38" s="3" t="s">
        <v>225</v>
      </c>
      <c r="I38" s="19"/>
      <c r="J38" s="19"/>
      <c r="K38" s="19">
        <f t="shared" si="5"/>
        <v>0</v>
      </c>
      <c r="M38" s="19">
        <f>M39</f>
        <v>30000</v>
      </c>
      <c r="N38" s="19">
        <f t="shared" ref="N38" si="19">N39</f>
        <v>0</v>
      </c>
      <c r="O38" s="87">
        <f t="shared" si="6"/>
        <v>30000</v>
      </c>
      <c r="Q38" s="279">
        <f t="shared" si="2"/>
        <v>30000</v>
      </c>
      <c r="R38" s="19">
        <f t="shared" si="13"/>
        <v>0</v>
      </c>
      <c r="S38" s="286">
        <f t="shared" si="13"/>
        <v>30000</v>
      </c>
    </row>
    <row r="39" spans="2:43" s="33" customFormat="1" ht="12" x14ac:dyDescent="0.2">
      <c r="B39" s="83">
        <f t="shared" si="8"/>
        <v>31</v>
      </c>
      <c r="C39" s="4"/>
      <c r="D39" s="4"/>
      <c r="E39" s="4"/>
      <c r="F39" s="31"/>
      <c r="G39" s="4"/>
      <c r="H39" s="4" t="s">
        <v>367</v>
      </c>
      <c r="I39" s="21"/>
      <c r="J39" s="21"/>
      <c r="K39" s="21">
        <f t="shared" si="5"/>
        <v>0</v>
      </c>
      <c r="L39" s="55"/>
      <c r="M39" s="21">
        <v>30000</v>
      </c>
      <c r="N39" s="21"/>
      <c r="O39" s="88">
        <f t="shared" si="6"/>
        <v>30000</v>
      </c>
      <c r="P39" s="298"/>
      <c r="Q39" s="280">
        <f t="shared" si="2"/>
        <v>30000</v>
      </c>
      <c r="R39" s="21">
        <f t="shared" si="13"/>
        <v>0</v>
      </c>
      <c r="S39" s="287">
        <f t="shared" si="13"/>
        <v>30000</v>
      </c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</row>
    <row r="40" spans="2:43" x14ac:dyDescent="0.2">
      <c r="B40" s="83">
        <f t="shared" si="8"/>
        <v>32</v>
      </c>
      <c r="C40" s="3"/>
      <c r="D40" s="3"/>
      <c r="E40" s="3"/>
      <c r="F40" s="26" t="s">
        <v>218</v>
      </c>
      <c r="G40" s="3">
        <v>716</v>
      </c>
      <c r="H40" s="3" t="s">
        <v>232</v>
      </c>
      <c r="I40" s="19"/>
      <c r="J40" s="19"/>
      <c r="K40" s="19">
        <f t="shared" si="5"/>
        <v>0</v>
      </c>
      <c r="M40" s="19">
        <f>M41</f>
        <v>75000</v>
      </c>
      <c r="N40" s="19">
        <f t="shared" ref="N40" si="20">N41</f>
        <v>0</v>
      </c>
      <c r="O40" s="87">
        <f t="shared" si="6"/>
        <v>75000</v>
      </c>
      <c r="Q40" s="279">
        <f t="shared" si="2"/>
        <v>75000</v>
      </c>
      <c r="R40" s="19">
        <f t="shared" si="13"/>
        <v>0</v>
      </c>
      <c r="S40" s="286">
        <f t="shared" si="13"/>
        <v>75000</v>
      </c>
    </row>
    <row r="41" spans="2:43" s="33" customFormat="1" ht="12" x14ac:dyDescent="0.2">
      <c r="B41" s="83">
        <f t="shared" si="8"/>
        <v>33</v>
      </c>
      <c r="C41" s="4"/>
      <c r="D41" s="12"/>
      <c r="E41" s="4"/>
      <c r="F41" s="31"/>
      <c r="G41" s="4"/>
      <c r="H41" s="13" t="s">
        <v>368</v>
      </c>
      <c r="I41" s="21"/>
      <c r="J41" s="21"/>
      <c r="K41" s="21">
        <f t="shared" si="5"/>
        <v>0</v>
      </c>
      <c r="L41" s="55"/>
      <c r="M41" s="21">
        <v>75000</v>
      </c>
      <c r="N41" s="21"/>
      <c r="O41" s="88">
        <f t="shared" si="6"/>
        <v>75000</v>
      </c>
      <c r="P41" s="298"/>
      <c r="Q41" s="280">
        <f t="shared" ref="Q41:Q64" si="21">I41+M41</f>
        <v>75000</v>
      </c>
      <c r="R41" s="21">
        <f t="shared" ref="R41:S56" si="22">J41+N41</f>
        <v>0</v>
      </c>
      <c r="S41" s="287">
        <f t="shared" si="22"/>
        <v>75000</v>
      </c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</row>
    <row r="42" spans="2:43" ht="15" x14ac:dyDescent="0.2">
      <c r="B42" s="83">
        <f t="shared" si="8"/>
        <v>34</v>
      </c>
      <c r="C42" s="268">
        <v>3</v>
      </c>
      <c r="D42" s="360" t="s">
        <v>148</v>
      </c>
      <c r="E42" s="361"/>
      <c r="F42" s="361"/>
      <c r="G42" s="361"/>
      <c r="H42" s="362"/>
      <c r="I42" s="36">
        <f>I43</f>
        <v>60550</v>
      </c>
      <c r="J42" s="36">
        <f t="shared" ref="J42:J43" si="23">J43</f>
        <v>0</v>
      </c>
      <c r="K42" s="36">
        <f t="shared" si="5"/>
        <v>60550</v>
      </c>
      <c r="M42" s="36">
        <f>M45</f>
        <v>386060</v>
      </c>
      <c r="N42" s="36">
        <f t="shared" ref="N42" si="24">N45</f>
        <v>0</v>
      </c>
      <c r="O42" s="84">
        <f t="shared" si="6"/>
        <v>386060</v>
      </c>
      <c r="Q42" s="276">
        <f t="shared" si="21"/>
        <v>446610</v>
      </c>
      <c r="R42" s="36">
        <f t="shared" si="22"/>
        <v>0</v>
      </c>
      <c r="S42" s="283">
        <f t="shared" si="22"/>
        <v>446610</v>
      </c>
    </row>
    <row r="43" spans="2:43" x14ac:dyDescent="0.2">
      <c r="B43" s="83">
        <f t="shared" si="8"/>
        <v>35</v>
      </c>
      <c r="C43" s="7"/>
      <c r="D43" s="7"/>
      <c r="E43" s="7"/>
      <c r="F43" s="25" t="s">
        <v>81</v>
      </c>
      <c r="G43" s="7">
        <v>630</v>
      </c>
      <c r="H43" s="7" t="s">
        <v>133</v>
      </c>
      <c r="I43" s="23">
        <f>I44</f>
        <v>60550</v>
      </c>
      <c r="J43" s="23">
        <f t="shared" si="23"/>
        <v>0</v>
      </c>
      <c r="K43" s="23">
        <f t="shared" si="5"/>
        <v>60550</v>
      </c>
      <c r="M43" s="23"/>
      <c r="N43" s="23"/>
      <c r="O43" s="86">
        <f t="shared" si="6"/>
        <v>0</v>
      </c>
      <c r="Q43" s="278">
        <f t="shared" si="21"/>
        <v>60550</v>
      </c>
      <c r="R43" s="23">
        <f t="shared" si="22"/>
        <v>0</v>
      </c>
      <c r="S43" s="285">
        <f t="shared" si="22"/>
        <v>60550</v>
      </c>
    </row>
    <row r="44" spans="2:43" x14ac:dyDescent="0.2">
      <c r="B44" s="83">
        <f t="shared" si="8"/>
        <v>36</v>
      </c>
      <c r="C44" s="3"/>
      <c r="D44" s="3"/>
      <c r="E44" s="3"/>
      <c r="F44" s="26" t="s">
        <v>81</v>
      </c>
      <c r="G44" s="3">
        <v>637</v>
      </c>
      <c r="H44" s="3" t="s">
        <v>134</v>
      </c>
      <c r="I44" s="19">
        <f>90500-29950</f>
        <v>60550</v>
      </c>
      <c r="J44" s="19"/>
      <c r="K44" s="19">
        <f t="shared" si="5"/>
        <v>60550</v>
      </c>
      <c r="M44" s="19"/>
      <c r="N44" s="19"/>
      <c r="O44" s="87">
        <f t="shared" si="6"/>
        <v>0</v>
      </c>
      <c r="Q44" s="279">
        <f t="shared" si="21"/>
        <v>60550</v>
      </c>
      <c r="R44" s="19">
        <f t="shared" si="22"/>
        <v>0</v>
      </c>
      <c r="S44" s="286">
        <f t="shared" si="22"/>
        <v>60550</v>
      </c>
    </row>
    <row r="45" spans="2:43" x14ac:dyDescent="0.2">
      <c r="B45" s="83">
        <f t="shared" si="8"/>
        <v>37</v>
      </c>
      <c r="C45" s="7"/>
      <c r="D45" s="7"/>
      <c r="E45" s="7"/>
      <c r="F45" s="25" t="s">
        <v>81</v>
      </c>
      <c r="G45" s="7">
        <v>710</v>
      </c>
      <c r="H45" s="7" t="s">
        <v>188</v>
      </c>
      <c r="I45" s="23"/>
      <c r="J45" s="23"/>
      <c r="K45" s="23">
        <f t="shared" si="5"/>
        <v>0</v>
      </c>
      <c r="M45" s="23">
        <f>M46+M48</f>
        <v>386060</v>
      </c>
      <c r="N45" s="23">
        <f t="shared" ref="N45" si="25">N46+N48</f>
        <v>0</v>
      </c>
      <c r="O45" s="86">
        <f t="shared" si="6"/>
        <v>386060</v>
      </c>
      <c r="Q45" s="278">
        <f t="shared" si="21"/>
        <v>386060</v>
      </c>
      <c r="R45" s="23">
        <f t="shared" si="22"/>
        <v>0</v>
      </c>
      <c r="S45" s="285">
        <f t="shared" si="22"/>
        <v>386060</v>
      </c>
    </row>
    <row r="46" spans="2:43" x14ac:dyDescent="0.2">
      <c r="B46" s="83">
        <f t="shared" si="8"/>
        <v>38</v>
      </c>
      <c r="C46" s="3"/>
      <c r="D46" s="3"/>
      <c r="E46" s="3"/>
      <c r="F46" s="26" t="s">
        <v>81</v>
      </c>
      <c r="G46" s="3">
        <v>716</v>
      </c>
      <c r="H46" s="3" t="s">
        <v>232</v>
      </c>
      <c r="I46" s="19"/>
      <c r="J46" s="19"/>
      <c r="K46" s="19">
        <f t="shared" si="5"/>
        <v>0</v>
      </c>
      <c r="M46" s="19">
        <f>M47</f>
        <v>150000</v>
      </c>
      <c r="N46" s="19">
        <f t="shared" ref="N46" si="26">N47</f>
        <v>0</v>
      </c>
      <c r="O46" s="87">
        <f t="shared" si="6"/>
        <v>150000</v>
      </c>
      <c r="Q46" s="279">
        <f t="shared" si="21"/>
        <v>150000</v>
      </c>
      <c r="R46" s="19">
        <f t="shared" si="22"/>
        <v>0</v>
      </c>
      <c r="S46" s="286">
        <f t="shared" si="22"/>
        <v>150000</v>
      </c>
    </row>
    <row r="47" spans="2:43" s="33" customFormat="1" ht="12" x14ac:dyDescent="0.2">
      <c r="B47" s="83">
        <f t="shared" si="8"/>
        <v>39</v>
      </c>
      <c r="C47" s="4"/>
      <c r="D47" s="4"/>
      <c r="E47" s="4"/>
      <c r="F47" s="31"/>
      <c r="G47" s="4"/>
      <c r="H47" s="4" t="s">
        <v>369</v>
      </c>
      <c r="I47" s="21"/>
      <c r="J47" s="21"/>
      <c r="K47" s="21">
        <f t="shared" si="5"/>
        <v>0</v>
      </c>
      <c r="L47" s="55"/>
      <c r="M47" s="21">
        <v>150000</v>
      </c>
      <c r="N47" s="21"/>
      <c r="O47" s="88">
        <f t="shared" si="6"/>
        <v>150000</v>
      </c>
      <c r="P47" s="298"/>
      <c r="Q47" s="280">
        <f t="shared" si="21"/>
        <v>150000</v>
      </c>
      <c r="R47" s="21">
        <f t="shared" si="22"/>
        <v>0</v>
      </c>
      <c r="S47" s="287">
        <f t="shared" si="22"/>
        <v>150000</v>
      </c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</row>
    <row r="48" spans="2:43" x14ac:dyDescent="0.2">
      <c r="B48" s="83">
        <f t="shared" si="8"/>
        <v>40</v>
      </c>
      <c r="C48" s="3"/>
      <c r="D48" s="3"/>
      <c r="E48" s="3"/>
      <c r="F48" s="26" t="s">
        <v>81</v>
      </c>
      <c r="G48" s="3">
        <v>717</v>
      </c>
      <c r="H48" s="3" t="s">
        <v>198</v>
      </c>
      <c r="I48" s="19"/>
      <c r="J48" s="19"/>
      <c r="K48" s="19">
        <f t="shared" si="5"/>
        <v>0</v>
      </c>
      <c r="M48" s="19">
        <f>SUM(M49:M49)</f>
        <v>236060</v>
      </c>
      <c r="N48" s="19">
        <f t="shared" ref="N48" si="27">SUM(N49:N49)</f>
        <v>0</v>
      </c>
      <c r="O48" s="87">
        <f t="shared" si="6"/>
        <v>236060</v>
      </c>
      <c r="Q48" s="279">
        <f t="shared" si="21"/>
        <v>236060</v>
      </c>
      <c r="R48" s="19">
        <f t="shared" si="22"/>
        <v>0</v>
      </c>
      <c r="S48" s="286">
        <f t="shared" si="22"/>
        <v>236060</v>
      </c>
    </row>
    <row r="49" spans="2:19" x14ac:dyDescent="0.2">
      <c r="B49" s="83">
        <f t="shared" si="8"/>
        <v>41</v>
      </c>
      <c r="C49" s="4"/>
      <c r="D49" s="4"/>
      <c r="E49" s="4"/>
      <c r="F49" s="27"/>
      <c r="G49" s="4"/>
      <c r="H49" s="4" t="s">
        <v>86</v>
      </c>
      <c r="I49" s="21"/>
      <c r="J49" s="21"/>
      <c r="K49" s="21">
        <f t="shared" si="5"/>
        <v>0</v>
      </c>
      <c r="M49" s="21">
        <f>248910-12850</f>
        <v>236060</v>
      </c>
      <c r="N49" s="21"/>
      <c r="O49" s="88">
        <f t="shared" si="6"/>
        <v>236060</v>
      </c>
      <c r="Q49" s="280">
        <f t="shared" si="21"/>
        <v>236060</v>
      </c>
      <c r="R49" s="21">
        <f t="shared" si="22"/>
        <v>0</v>
      </c>
      <c r="S49" s="287">
        <f t="shared" si="22"/>
        <v>236060</v>
      </c>
    </row>
    <row r="50" spans="2:19" ht="15" x14ac:dyDescent="0.2">
      <c r="B50" s="83">
        <f t="shared" si="8"/>
        <v>42</v>
      </c>
      <c r="C50" s="268">
        <v>4</v>
      </c>
      <c r="D50" s="360" t="s">
        <v>357</v>
      </c>
      <c r="E50" s="361"/>
      <c r="F50" s="361"/>
      <c r="G50" s="361"/>
      <c r="H50" s="362"/>
      <c r="I50" s="36">
        <v>0</v>
      </c>
      <c r="J50" s="36">
        <v>0</v>
      </c>
      <c r="K50" s="36">
        <f t="shared" si="5"/>
        <v>0</v>
      </c>
      <c r="M50" s="36">
        <v>0</v>
      </c>
      <c r="N50" s="36">
        <v>0</v>
      </c>
      <c r="O50" s="84">
        <f t="shared" si="6"/>
        <v>0</v>
      </c>
      <c r="Q50" s="276">
        <f t="shared" si="21"/>
        <v>0</v>
      </c>
      <c r="R50" s="36">
        <f t="shared" si="22"/>
        <v>0</v>
      </c>
      <c r="S50" s="283">
        <f t="shared" si="22"/>
        <v>0</v>
      </c>
    </row>
    <row r="51" spans="2:19" ht="15" x14ac:dyDescent="0.2">
      <c r="B51" s="83">
        <f t="shared" si="8"/>
        <v>43</v>
      </c>
      <c r="C51" s="268">
        <v>5</v>
      </c>
      <c r="D51" s="360" t="s">
        <v>358</v>
      </c>
      <c r="E51" s="361"/>
      <c r="F51" s="361"/>
      <c r="G51" s="361"/>
      <c r="H51" s="362"/>
      <c r="I51" s="36">
        <v>0</v>
      </c>
      <c r="J51" s="36">
        <v>0</v>
      </c>
      <c r="K51" s="36">
        <f t="shared" si="5"/>
        <v>0</v>
      </c>
      <c r="M51" s="36">
        <v>0</v>
      </c>
      <c r="N51" s="36">
        <v>0</v>
      </c>
      <c r="O51" s="84">
        <f t="shared" si="6"/>
        <v>0</v>
      </c>
      <c r="Q51" s="276">
        <f t="shared" si="21"/>
        <v>0</v>
      </c>
      <c r="R51" s="36">
        <f t="shared" si="22"/>
        <v>0</v>
      </c>
      <c r="S51" s="283">
        <f t="shared" si="22"/>
        <v>0</v>
      </c>
    </row>
    <row r="52" spans="2:19" ht="15" x14ac:dyDescent="0.2">
      <c r="B52" s="83">
        <f t="shared" si="8"/>
        <v>44</v>
      </c>
      <c r="C52" s="268">
        <v>6</v>
      </c>
      <c r="D52" s="360" t="s">
        <v>359</v>
      </c>
      <c r="E52" s="361"/>
      <c r="F52" s="361"/>
      <c r="G52" s="361"/>
      <c r="H52" s="362"/>
      <c r="I52" s="36">
        <v>0</v>
      </c>
      <c r="J52" s="36">
        <v>0</v>
      </c>
      <c r="K52" s="36">
        <f t="shared" si="5"/>
        <v>0</v>
      </c>
      <c r="M52" s="36">
        <v>0</v>
      </c>
      <c r="N52" s="36">
        <v>0</v>
      </c>
      <c r="O52" s="84">
        <f t="shared" si="6"/>
        <v>0</v>
      </c>
      <c r="Q52" s="276">
        <f t="shared" si="21"/>
        <v>0</v>
      </c>
      <c r="R52" s="36">
        <f t="shared" si="22"/>
        <v>0</v>
      </c>
      <c r="S52" s="283">
        <f t="shared" si="22"/>
        <v>0</v>
      </c>
    </row>
    <row r="53" spans="2:19" ht="15" x14ac:dyDescent="0.2">
      <c r="B53" s="83">
        <f t="shared" si="8"/>
        <v>45</v>
      </c>
      <c r="C53" s="268">
        <v>7</v>
      </c>
      <c r="D53" s="360" t="s">
        <v>264</v>
      </c>
      <c r="E53" s="361"/>
      <c r="F53" s="361"/>
      <c r="G53" s="361"/>
      <c r="H53" s="362"/>
      <c r="I53" s="36">
        <f>I54+I55+I59</f>
        <v>85600</v>
      </c>
      <c r="J53" s="36">
        <f t="shared" ref="J53" si="28">J54+J55+J59</f>
        <v>0</v>
      </c>
      <c r="K53" s="36">
        <f t="shared" si="5"/>
        <v>85600</v>
      </c>
      <c r="M53" s="36">
        <v>0</v>
      </c>
      <c r="N53" s="36">
        <v>0</v>
      </c>
      <c r="O53" s="84">
        <f t="shared" si="6"/>
        <v>0</v>
      </c>
      <c r="Q53" s="276">
        <f t="shared" si="21"/>
        <v>85600</v>
      </c>
      <c r="R53" s="36">
        <f t="shared" si="22"/>
        <v>0</v>
      </c>
      <c r="S53" s="283">
        <f t="shared" si="22"/>
        <v>85600</v>
      </c>
    </row>
    <row r="54" spans="2:19" x14ac:dyDescent="0.2">
      <c r="B54" s="83">
        <f t="shared" si="8"/>
        <v>46</v>
      </c>
      <c r="C54" s="7"/>
      <c r="D54" s="7"/>
      <c r="E54" s="7"/>
      <c r="F54" s="25" t="s">
        <v>81</v>
      </c>
      <c r="G54" s="7">
        <v>620</v>
      </c>
      <c r="H54" s="7" t="s">
        <v>136</v>
      </c>
      <c r="I54" s="23">
        <v>10200</v>
      </c>
      <c r="J54" s="23"/>
      <c r="K54" s="23">
        <f t="shared" si="5"/>
        <v>10200</v>
      </c>
      <c r="M54" s="23"/>
      <c r="N54" s="23"/>
      <c r="O54" s="86">
        <f t="shared" si="6"/>
        <v>0</v>
      </c>
      <c r="Q54" s="278">
        <f t="shared" si="21"/>
        <v>10200</v>
      </c>
      <c r="R54" s="23">
        <f t="shared" si="22"/>
        <v>0</v>
      </c>
      <c r="S54" s="285">
        <f t="shared" si="22"/>
        <v>10200</v>
      </c>
    </row>
    <row r="55" spans="2:19" x14ac:dyDescent="0.2">
      <c r="B55" s="83">
        <f t="shared" si="8"/>
        <v>47</v>
      </c>
      <c r="C55" s="7"/>
      <c r="D55" s="7"/>
      <c r="E55" s="7"/>
      <c r="F55" s="25" t="s">
        <v>81</v>
      </c>
      <c r="G55" s="7">
        <v>630</v>
      </c>
      <c r="H55" s="7" t="s">
        <v>133</v>
      </c>
      <c r="I55" s="23">
        <f>SUM(I56:I58)</f>
        <v>65500</v>
      </c>
      <c r="J55" s="23">
        <f t="shared" ref="J55" si="29">SUM(J56:J58)</f>
        <v>0</v>
      </c>
      <c r="K55" s="23">
        <f t="shared" si="5"/>
        <v>65500</v>
      </c>
      <c r="M55" s="23"/>
      <c r="N55" s="23"/>
      <c r="O55" s="86">
        <f t="shared" si="6"/>
        <v>0</v>
      </c>
      <c r="Q55" s="278">
        <f t="shared" si="21"/>
        <v>65500</v>
      </c>
      <c r="R55" s="23">
        <f t="shared" si="22"/>
        <v>0</v>
      </c>
      <c r="S55" s="285">
        <f t="shared" si="22"/>
        <v>65500</v>
      </c>
    </row>
    <row r="56" spans="2:19" x14ac:dyDescent="0.2">
      <c r="B56" s="83">
        <f t="shared" si="8"/>
        <v>48</v>
      </c>
      <c r="C56" s="3"/>
      <c r="D56" s="3"/>
      <c r="E56" s="3"/>
      <c r="F56" s="26" t="s">
        <v>81</v>
      </c>
      <c r="G56" s="3">
        <v>632</v>
      </c>
      <c r="H56" s="3" t="s">
        <v>146</v>
      </c>
      <c r="I56" s="19">
        <v>20000</v>
      </c>
      <c r="J56" s="19"/>
      <c r="K56" s="19">
        <f t="shared" si="5"/>
        <v>20000</v>
      </c>
      <c r="M56" s="19"/>
      <c r="N56" s="19"/>
      <c r="O56" s="87">
        <f t="shared" si="6"/>
        <v>0</v>
      </c>
      <c r="Q56" s="279">
        <f t="shared" si="21"/>
        <v>20000</v>
      </c>
      <c r="R56" s="19">
        <f t="shared" si="22"/>
        <v>0</v>
      </c>
      <c r="S56" s="286">
        <f t="shared" si="22"/>
        <v>20000</v>
      </c>
    </row>
    <row r="57" spans="2:19" x14ac:dyDescent="0.2">
      <c r="B57" s="83">
        <f t="shared" si="8"/>
        <v>49</v>
      </c>
      <c r="C57" s="3"/>
      <c r="D57" s="3"/>
      <c r="E57" s="3"/>
      <c r="F57" s="26" t="s">
        <v>81</v>
      </c>
      <c r="G57" s="3">
        <v>633</v>
      </c>
      <c r="H57" s="3" t="s">
        <v>137</v>
      </c>
      <c r="I57" s="19">
        <v>5500</v>
      </c>
      <c r="J57" s="19"/>
      <c r="K57" s="19">
        <f t="shared" si="5"/>
        <v>5500</v>
      </c>
      <c r="M57" s="19"/>
      <c r="N57" s="19"/>
      <c r="O57" s="87">
        <f t="shared" si="6"/>
        <v>0</v>
      </c>
      <c r="Q57" s="279">
        <f t="shared" si="21"/>
        <v>5500</v>
      </c>
      <c r="R57" s="19">
        <f t="shared" ref="R57:S64" si="30">J57+N57</f>
        <v>0</v>
      </c>
      <c r="S57" s="286">
        <f t="shared" si="30"/>
        <v>5500</v>
      </c>
    </row>
    <row r="58" spans="2:19" x14ac:dyDescent="0.2">
      <c r="B58" s="83">
        <f t="shared" si="8"/>
        <v>50</v>
      </c>
      <c r="C58" s="3"/>
      <c r="D58" s="3"/>
      <c r="E58" s="3"/>
      <c r="F58" s="26" t="s">
        <v>81</v>
      </c>
      <c r="G58" s="3">
        <v>637</v>
      </c>
      <c r="H58" s="3" t="s">
        <v>134</v>
      </c>
      <c r="I58" s="19">
        <v>40000</v>
      </c>
      <c r="J58" s="19"/>
      <c r="K58" s="19">
        <f t="shared" si="5"/>
        <v>40000</v>
      </c>
      <c r="M58" s="19"/>
      <c r="N58" s="19"/>
      <c r="O58" s="87">
        <f t="shared" si="6"/>
        <v>0</v>
      </c>
      <c r="Q58" s="279">
        <f t="shared" si="21"/>
        <v>40000</v>
      </c>
      <c r="R58" s="19">
        <f t="shared" si="30"/>
        <v>0</v>
      </c>
      <c r="S58" s="286">
        <f t="shared" si="30"/>
        <v>40000</v>
      </c>
    </row>
    <row r="59" spans="2:19" x14ac:dyDescent="0.2">
      <c r="B59" s="83">
        <f t="shared" si="8"/>
        <v>51</v>
      </c>
      <c r="C59" s="7"/>
      <c r="D59" s="7"/>
      <c r="E59" s="7"/>
      <c r="F59" s="25" t="s">
        <v>263</v>
      </c>
      <c r="G59" s="7">
        <v>630</v>
      </c>
      <c r="H59" s="7" t="s">
        <v>133</v>
      </c>
      <c r="I59" s="23">
        <f>I60</f>
        <v>9900</v>
      </c>
      <c r="J59" s="23">
        <f t="shared" ref="J59" si="31">J60</f>
        <v>0</v>
      </c>
      <c r="K59" s="23">
        <f t="shared" si="5"/>
        <v>9900</v>
      </c>
      <c r="M59" s="23"/>
      <c r="N59" s="23"/>
      <c r="O59" s="86">
        <f t="shared" si="6"/>
        <v>0</v>
      </c>
      <c r="Q59" s="278">
        <f t="shared" si="21"/>
        <v>9900</v>
      </c>
      <c r="R59" s="23">
        <f t="shared" si="30"/>
        <v>0</v>
      </c>
      <c r="S59" s="285">
        <f t="shared" si="30"/>
        <v>9900</v>
      </c>
    </row>
    <row r="60" spans="2:19" x14ac:dyDescent="0.2">
      <c r="B60" s="83">
        <f t="shared" si="8"/>
        <v>52</v>
      </c>
      <c r="C60" s="3"/>
      <c r="D60" s="3"/>
      <c r="E60" s="3"/>
      <c r="F60" s="26" t="s">
        <v>263</v>
      </c>
      <c r="G60" s="3">
        <v>637</v>
      </c>
      <c r="H60" s="3" t="s">
        <v>134</v>
      </c>
      <c r="I60" s="19">
        <v>9900</v>
      </c>
      <c r="J60" s="19"/>
      <c r="K60" s="19">
        <f t="shared" si="5"/>
        <v>9900</v>
      </c>
      <c r="M60" s="19"/>
      <c r="N60" s="19"/>
      <c r="O60" s="87">
        <f t="shared" si="6"/>
        <v>0</v>
      </c>
      <c r="Q60" s="279">
        <f t="shared" si="21"/>
        <v>9900</v>
      </c>
      <c r="R60" s="19">
        <f t="shared" si="30"/>
        <v>0</v>
      </c>
      <c r="S60" s="286">
        <f t="shared" si="30"/>
        <v>9900</v>
      </c>
    </row>
    <row r="61" spans="2:19" ht="15" x14ac:dyDescent="0.2">
      <c r="B61" s="83">
        <f t="shared" si="8"/>
        <v>53</v>
      </c>
      <c r="C61" s="268">
        <v>8</v>
      </c>
      <c r="D61" s="360" t="s">
        <v>296</v>
      </c>
      <c r="E61" s="361"/>
      <c r="F61" s="361"/>
      <c r="G61" s="361"/>
      <c r="H61" s="362"/>
      <c r="I61" s="36">
        <f>I62</f>
        <v>15500</v>
      </c>
      <c r="J61" s="36">
        <f t="shared" ref="J61:J62" si="32">J62</f>
        <v>0</v>
      </c>
      <c r="K61" s="36">
        <f t="shared" si="5"/>
        <v>15500</v>
      </c>
      <c r="M61" s="36">
        <v>0</v>
      </c>
      <c r="N61" s="36">
        <v>0</v>
      </c>
      <c r="O61" s="84">
        <f t="shared" si="6"/>
        <v>0</v>
      </c>
      <c r="Q61" s="276">
        <f t="shared" si="21"/>
        <v>15500</v>
      </c>
      <c r="R61" s="36">
        <f t="shared" si="30"/>
        <v>0</v>
      </c>
      <c r="S61" s="283">
        <f t="shared" si="30"/>
        <v>15500</v>
      </c>
    </row>
    <row r="62" spans="2:19" x14ac:dyDescent="0.2">
      <c r="B62" s="83">
        <f t="shared" si="8"/>
        <v>54</v>
      </c>
      <c r="C62" s="7"/>
      <c r="D62" s="7"/>
      <c r="E62" s="7"/>
      <c r="F62" s="25" t="s">
        <v>156</v>
      </c>
      <c r="G62" s="7">
        <v>640</v>
      </c>
      <c r="H62" s="7" t="s">
        <v>141</v>
      </c>
      <c r="I62" s="23">
        <f>I63</f>
        <v>15500</v>
      </c>
      <c r="J62" s="23">
        <f t="shared" si="32"/>
        <v>0</v>
      </c>
      <c r="K62" s="23">
        <f t="shared" si="5"/>
        <v>15500</v>
      </c>
      <c r="M62" s="23"/>
      <c r="N62" s="23"/>
      <c r="O62" s="86">
        <f t="shared" si="6"/>
        <v>0</v>
      </c>
      <c r="Q62" s="278">
        <f t="shared" si="21"/>
        <v>15500</v>
      </c>
      <c r="R62" s="23">
        <f t="shared" si="30"/>
        <v>0</v>
      </c>
      <c r="S62" s="285">
        <f t="shared" si="30"/>
        <v>15500</v>
      </c>
    </row>
    <row r="63" spans="2:19" x14ac:dyDescent="0.2">
      <c r="B63" s="83">
        <f t="shared" si="8"/>
        <v>55</v>
      </c>
      <c r="C63" s="3"/>
      <c r="D63" s="3"/>
      <c r="E63" s="3"/>
      <c r="F63" s="26" t="s">
        <v>156</v>
      </c>
      <c r="G63" s="3">
        <v>642</v>
      </c>
      <c r="H63" s="3" t="s">
        <v>142</v>
      </c>
      <c r="I63" s="19">
        <v>15500</v>
      </c>
      <c r="J63" s="19"/>
      <c r="K63" s="19">
        <f t="shared" si="5"/>
        <v>15500</v>
      </c>
      <c r="M63" s="19"/>
      <c r="N63" s="19"/>
      <c r="O63" s="87">
        <f t="shared" si="6"/>
        <v>0</v>
      </c>
      <c r="Q63" s="279">
        <f t="shared" si="21"/>
        <v>15500</v>
      </c>
      <c r="R63" s="19">
        <f t="shared" si="30"/>
        <v>0</v>
      </c>
      <c r="S63" s="286">
        <f t="shared" si="30"/>
        <v>15500</v>
      </c>
    </row>
    <row r="64" spans="2:19" ht="15.75" thickBot="1" x14ac:dyDescent="0.25">
      <c r="B64" s="89">
        <f t="shared" si="8"/>
        <v>56</v>
      </c>
      <c r="C64" s="168">
        <v>9</v>
      </c>
      <c r="D64" s="381" t="s">
        <v>192</v>
      </c>
      <c r="E64" s="382"/>
      <c r="F64" s="382"/>
      <c r="G64" s="382"/>
      <c r="H64" s="383"/>
      <c r="I64" s="169">
        <v>0</v>
      </c>
      <c r="J64" s="169">
        <v>0</v>
      </c>
      <c r="K64" s="169">
        <f t="shared" si="5"/>
        <v>0</v>
      </c>
      <c r="L64" s="270"/>
      <c r="M64" s="169">
        <v>0</v>
      </c>
      <c r="N64" s="169">
        <v>0</v>
      </c>
      <c r="O64" s="170">
        <f t="shared" si="6"/>
        <v>0</v>
      </c>
      <c r="Q64" s="281">
        <f t="shared" si="21"/>
        <v>0</v>
      </c>
      <c r="R64" s="169">
        <f t="shared" si="30"/>
        <v>0</v>
      </c>
      <c r="S64" s="288">
        <f t="shared" si="30"/>
        <v>0</v>
      </c>
    </row>
    <row r="68" spans="2:19" ht="27.75" thickBot="1" x14ac:dyDescent="0.4">
      <c r="B68" s="352" t="s">
        <v>23</v>
      </c>
      <c r="C68" s="353"/>
      <c r="D68" s="353"/>
      <c r="E68" s="353"/>
      <c r="F68" s="353"/>
      <c r="G68" s="353"/>
      <c r="H68" s="353"/>
      <c r="I68" s="353"/>
      <c r="J68" s="353"/>
      <c r="K68" s="353"/>
      <c r="L68" s="353"/>
      <c r="M68" s="353"/>
      <c r="N68" s="353"/>
      <c r="O68" s="353"/>
      <c r="P68" s="353"/>
      <c r="Q68" s="353"/>
    </row>
    <row r="69" spans="2:19" ht="13.5" customHeight="1" thickBot="1" x14ac:dyDescent="0.25">
      <c r="B69" s="378" t="s">
        <v>364</v>
      </c>
      <c r="C69" s="379"/>
      <c r="D69" s="379"/>
      <c r="E69" s="379"/>
      <c r="F69" s="379"/>
      <c r="G69" s="379"/>
      <c r="H69" s="379"/>
      <c r="I69" s="379"/>
      <c r="J69" s="379"/>
      <c r="K69" s="379"/>
      <c r="L69" s="379"/>
      <c r="M69" s="379"/>
      <c r="N69" s="379"/>
      <c r="O69" s="380"/>
      <c r="P69" s="271"/>
      <c r="Q69" s="354" t="s">
        <v>571</v>
      </c>
      <c r="R69" s="392" t="s">
        <v>565</v>
      </c>
      <c r="S69" s="395" t="s">
        <v>569</v>
      </c>
    </row>
    <row r="70" spans="2:19" ht="12.75" customHeight="1" thickBot="1" x14ac:dyDescent="0.25">
      <c r="B70" s="366"/>
      <c r="C70" s="357" t="s">
        <v>126</v>
      </c>
      <c r="D70" s="357" t="s">
        <v>127</v>
      </c>
      <c r="E70" s="357"/>
      <c r="F70" s="357" t="s">
        <v>128</v>
      </c>
      <c r="G70" s="371" t="s">
        <v>129</v>
      </c>
      <c r="H70" s="374" t="s">
        <v>130</v>
      </c>
      <c r="I70" s="363" t="s">
        <v>566</v>
      </c>
      <c r="J70" s="377" t="s">
        <v>565</v>
      </c>
      <c r="K70" s="376" t="s">
        <v>567</v>
      </c>
      <c r="M70" s="363" t="s">
        <v>568</v>
      </c>
      <c r="N70" s="377" t="s">
        <v>565</v>
      </c>
      <c r="O70" s="376" t="s">
        <v>570</v>
      </c>
      <c r="Q70" s="355"/>
      <c r="R70" s="393"/>
      <c r="S70" s="396"/>
    </row>
    <row r="71" spans="2:19" ht="13.5" thickBot="1" x14ac:dyDescent="0.25">
      <c r="B71" s="367"/>
      <c r="C71" s="358"/>
      <c r="D71" s="358"/>
      <c r="E71" s="358"/>
      <c r="F71" s="358"/>
      <c r="G71" s="372"/>
      <c r="H71" s="375"/>
      <c r="I71" s="363"/>
      <c r="J71" s="377"/>
      <c r="K71" s="376"/>
      <c r="M71" s="363"/>
      <c r="N71" s="377"/>
      <c r="O71" s="376"/>
      <c r="Q71" s="355"/>
      <c r="R71" s="393"/>
      <c r="S71" s="396"/>
    </row>
    <row r="72" spans="2:19" ht="13.5" thickBot="1" x14ac:dyDescent="0.25">
      <c r="B72" s="367"/>
      <c r="C72" s="358"/>
      <c r="D72" s="358"/>
      <c r="E72" s="358"/>
      <c r="F72" s="358"/>
      <c r="G72" s="372"/>
      <c r="H72" s="375"/>
      <c r="I72" s="363"/>
      <c r="J72" s="377"/>
      <c r="K72" s="376"/>
      <c r="M72" s="363"/>
      <c r="N72" s="377"/>
      <c r="O72" s="376"/>
      <c r="Q72" s="355"/>
      <c r="R72" s="393"/>
      <c r="S72" s="396"/>
    </row>
    <row r="73" spans="2:19" ht="13.5" thickBot="1" x14ac:dyDescent="0.25">
      <c r="B73" s="367"/>
      <c r="C73" s="359"/>
      <c r="D73" s="359"/>
      <c r="E73" s="359"/>
      <c r="F73" s="359"/>
      <c r="G73" s="373"/>
      <c r="H73" s="375"/>
      <c r="I73" s="363"/>
      <c r="J73" s="377"/>
      <c r="K73" s="376"/>
      <c r="M73" s="363"/>
      <c r="N73" s="377"/>
      <c r="O73" s="376"/>
      <c r="Q73" s="356"/>
      <c r="R73" s="394"/>
      <c r="S73" s="397"/>
    </row>
    <row r="74" spans="2:19" ht="16.5" thickTop="1" x14ac:dyDescent="0.2">
      <c r="B74" s="83">
        <v>1</v>
      </c>
      <c r="C74" s="385" t="s">
        <v>23</v>
      </c>
      <c r="D74" s="386"/>
      <c r="E74" s="386"/>
      <c r="F74" s="386"/>
      <c r="G74" s="386"/>
      <c r="H74" s="387"/>
      <c r="I74" s="35">
        <f>I85+I75</f>
        <v>120120</v>
      </c>
      <c r="J74" s="35">
        <f t="shared" ref="J74" si="33">J85+J75</f>
        <v>0</v>
      </c>
      <c r="K74" s="35">
        <f>I74+J74</f>
        <v>120120</v>
      </c>
      <c r="M74" s="35">
        <f>M85+M75</f>
        <v>0</v>
      </c>
      <c r="N74" s="35">
        <f t="shared" ref="N74:O74" si="34">N85+N75</f>
        <v>0</v>
      </c>
      <c r="O74" s="93">
        <f t="shared" si="34"/>
        <v>0</v>
      </c>
      <c r="Q74" s="290">
        <f t="shared" ref="Q74:Q90" si="35">I74+M74</f>
        <v>120120</v>
      </c>
      <c r="R74" s="35">
        <f t="shared" ref="R74:S89" si="36">J74+N74</f>
        <v>0</v>
      </c>
      <c r="S74" s="93">
        <f t="shared" si="36"/>
        <v>120120</v>
      </c>
    </row>
    <row r="75" spans="2:19" ht="15" x14ac:dyDescent="0.2">
      <c r="B75" s="83">
        <f>B74+1</f>
        <v>2</v>
      </c>
      <c r="C75" s="268">
        <v>1</v>
      </c>
      <c r="D75" s="360" t="s">
        <v>211</v>
      </c>
      <c r="E75" s="388"/>
      <c r="F75" s="388"/>
      <c r="G75" s="388"/>
      <c r="H75" s="389"/>
      <c r="I75" s="36">
        <f>I76+I78+I82+I84+I80</f>
        <v>88600</v>
      </c>
      <c r="J75" s="36">
        <f t="shared" ref="J75" si="37">J76+J78+J82+J84+J80</f>
        <v>0</v>
      </c>
      <c r="K75" s="36">
        <f t="shared" ref="K75:K90" si="38">I75+J75</f>
        <v>88600</v>
      </c>
      <c r="M75" s="36">
        <v>0</v>
      </c>
      <c r="N75" s="36">
        <v>0</v>
      </c>
      <c r="O75" s="84">
        <v>0</v>
      </c>
      <c r="Q75" s="291">
        <f t="shared" si="35"/>
        <v>88600</v>
      </c>
      <c r="R75" s="36">
        <f t="shared" si="36"/>
        <v>0</v>
      </c>
      <c r="S75" s="84">
        <f t="shared" si="36"/>
        <v>88600</v>
      </c>
    </row>
    <row r="76" spans="2:19" x14ac:dyDescent="0.2">
      <c r="B76" s="83">
        <f>B75+1</f>
        <v>3</v>
      </c>
      <c r="C76" s="7"/>
      <c r="D76" s="7"/>
      <c r="E76" s="7"/>
      <c r="F76" s="25" t="s">
        <v>81</v>
      </c>
      <c r="G76" s="7">
        <v>630</v>
      </c>
      <c r="H76" s="7" t="s">
        <v>133</v>
      </c>
      <c r="I76" s="23">
        <f>I77</f>
        <v>22000</v>
      </c>
      <c r="J76" s="23">
        <f t="shared" ref="J76" si="39">J77</f>
        <v>0</v>
      </c>
      <c r="K76" s="23">
        <f t="shared" si="38"/>
        <v>22000</v>
      </c>
      <c r="M76" s="23"/>
      <c r="N76" s="23"/>
      <c r="O76" s="86"/>
      <c r="Q76" s="293">
        <f t="shared" si="35"/>
        <v>22000</v>
      </c>
      <c r="R76" s="23">
        <f t="shared" si="36"/>
        <v>0</v>
      </c>
      <c r="S76" s="86">
        <f t="shared" si="36"/>
        <v>22000</v>
      </c>
    </row>
    <row r="77" spans="2:19" x14ac:dyDescent="0.2">
      <c r="B77" s="83">
        <f t="shared" ref="B77:B90" si="40">B76+1</f>
        <v>4</v>
      </c>
      <c r="C77" s="3"/>
      <c r="D77" s="3"/>
      <c r="E77" s="3"/>
      <c r="F77" s="26" t="s">
        <v>81</v>
      </c>
      <c r="G77" s="3">
        <v>637</v>
      </c>
      <c r="H77" s="3" t="s">
        <v>134</v>
      </c>
      <c r="I77" s="19">
        <v>22000</v>
      </c>
      <c r="J77" s="19"/>
      <c r="K77" s="19">
        <f t="shared" si="38"/>
        <v>22000</v>
      </c>
      <c r="M77" s="19"/>
      <c r="N77" s="19"/>
      <c r="O77" s="87"/>
      <c r="Q77" s="294">
        <f t="shared" si="35"/>
        <v>22000</v>
      </c>
      <c r="R77" s="19">
        <f t="shared" si="36"/>
        <v>0</v>
      </c>
      <c r="S77" s="87">
        <f t="shared" si="36"/>
        <v>22000</v>
      </c>
    </row>
    <row r="78" spans="2:19" x14ac:dyDescent="0.2">
      <c r="B78" s="83">
        <f t="shared" si="40"/>
        <v>5</v>
      </c>
      <c r="C78" s="7"/>
      <c r="D78" s="7"/>
      <c r="E78" s="7"/>
      <c r="F78" s="25" t="s">
        <v>260</v>
      </c>
      <c r="G78" s="7">
        <v>630</v>
      </c>
      <c r="H78" s="7" t="s">
        <v>133</v>
      </c>
      <c r="I78" s="23">
        <f>I79</f>
        <v>10000</v>
      </c>
      <c r="J78" s="23">
        <f t="shared" ref="J78" si="41">J79</f>
        <v>0</v>
      </c>
      <c r="K78" s="23">
        <f t="shared" si="38"/>
        <v>10000</v>
      </c>
      <c r="M78" s="23"/>
      <c r="N78" s="23"/>
      <c r="O78" s="86"/>
      <c r="Q78" s="293">
        <f t="shared" si="35"/>
        <v>10000</v>
      </c>
      <c r="R78" s="23">
        <f t="shared" si="36"/>
        <v>0</v>
      </c>
      <c r="S78" s="86">
        <f t="shared" si="36"/>
        <v>10000</v>
      </c>
    </row>
    <row r="79" spans="2:19" x14ac:dyDescent="0.2">
      <c r="B79" s="83">
        <f t="shared" si="40"/>
        <v>6</v>
      </c>
      <c r="C79" s="3"/>
      <c r="D79" s="3"/>
      <c r="E79" s="3"/>
      <c r="F79" s="26" t="s">
        <v>260</v>
      </c>
      <c r="G79" s="3">
        <v>637</v>
      </c>
      <c r="H79" s="3" t="s">
        <v>134</v>
      </c>
      <c r="I79" s="19">
        <f>8500+1500</f>
        <v>10000</v>
      </c>
      <c r="J79" s="19"/>
      <c r="K79" s="19">
        <f t="shared" si="38"/>
        <v>10000</v>
      </c>
      <c r="M79" s="19"/>
      <c r="N79" s="19"/>
      <c r="O79" s="87"/>
      <c r="Q79" s="294">
        <f t="shared" si="35"/>
        <v>10000</v>
      </c>
      <c r="R79" s="19">
        <f t="shared" si="36"/>
        <v>0</v>
      </c>
      <c r="S79" s="87">
        <f t="shared" si="36"/>
        <v>10000</v>
      </c>
    </row>
    <row r="80" spans="2:19" x14ac:dyDescent="0.2">
      <c r="B80" s="83">
        <f t="shared" si="40"/>
        <v>7</v>
      </c>
      <c r="C80" s="7"/>
      <c r="D80" s="7"/>
      <c r="E80" s="7"/>
      <c r="F80" s="25" t="s">
        <v>447</v>
      </c>
      <c r="G80" s="7">
        <v>630</v>
      </c>
      <c r="H80" s="7" t="s">
        <v>133</v>
      </c>
      <c r="I80" s="23">
        <f>I81</f>
        <v>6000</v>
      </c>
      <c r="J80" s="23">
        <f t="shared" ref="J80" si="42">J81</f>
        <v>0</v>
      </c>
      <c r="K80" s="23">
        <f t="shared" si="38"/>
        <v>6000</v>
      </c>
      <c r="M80" s="23"/>
      <c r="N80" s="23"/>
      <c r="O80" s="86"/>
      <c r="Q80" s="293">
        <f t="shared" si="35"/>
        <v>6000</v>
      </c>
      <c r="R80" s="23">
        <f t="shared" si="36"/>
        <v>0</v>
      </c>
      <c r="S80" s="86">
        <f t="shared" si="36"/>
        <v>6000</v>
      </c>
    </row>
    <row r="81" spans="2:19" x14ac:dyDescent="0.2">
      <c r="B81" s="83">
        <f t="shared" si="40"/>
        <v>8</v>
      </c>
      <c r="C81" s="3"/>
      <c r="D81" s="3"/>
      <c r="E81" s="3"/>
      <c r="F81" s="26" t="s">
        <v>447</v>
      </c>
      <c r="G81" s="3">
        <v>637</v>
      </c>
      <c r="H81" s="3" t="s">
        <v>448</v>
      </c>
      <c r="I81" s="19">
        <v>6000</v>
      </c>
      <c r="J81" s="19"/>
      <c r="K81" s="19">
        <f t="shared" si="38"/>
        <v>6000</v>
      </c>
      <c r="M81" s="19"/>
      <c r="N81" s="19"/>
      <c r="O81" s="87"/>
      <c r="Q81" s="294">
        <f t="shared" si="35"/>
        <v>6000</v>
      </c>
      <c r="R81" s="19">
        <f t="shared" si="36"/>
        <v>0</v>
      </c>
      <c r="S81" s="87">
        <f t="shared" si="36"/>
        <v>6000</v>
      </c>
    </row>
    <row r="82" spans="2:19" x14ac:dyDescent="0.2">
      <c r="B82" s="83">
        <f t="shared" si="40"/>
        <v>9</v>
      </c>
      <c r="C82" s="7"/>
      <c r="D82" s="7"/>
      <c r="E82" s="7"/>
      <c r="F82" s="25" t="s">
        <v>234</v>
      </c>
      <c r="G82" s="7">
        <v>630</v>
      </c>
      <c r="H82" s="7" t="s">
        <v>133</v>
      </c>
      <c r="I82" s="23">
        <f>I83</f>
        <v>25000</v>
      </c>
      <c r="J82" s="23">
        <f t="shared" ref="J82" si="43">J83</f>
        <v>0</v>
      </c>
      <c r="K82" s="23">
        <f t="shared" si="38"/>
        <v>25000</v>
      </c>
      <c r="M82" s="23"/>
      <c r="N82" s="23"/>
      <c r="O82" s="86"/>
      <c r="Q82" s="293">
        <f t="shared" si="35"/>
        <v>25000</v>
      </c>
      <c r="R82" s="23">
        <f t="shared" si="36"/>
        <v>0</v>
      </c>
      <c r="S82" s="86">
        <f t="shared" si="36"/>
        <v>25000</v>
      </c>
    </row>
    <row r="83" spans="2:19" x14ac:dyDescent="0.2">
      <c r="B83" s="83">
        <f t="shared" si="40"/>
        <v>10</v>
      </c>
      <c r="C83" s="3"/>
      <c r="D83" s="3"/>
      <c r="E83" s="3"/>
      <c r="F83" s="26" t="s">
        <v>234</v>
      </c>
      <c r="G83" s="3">
        <v>637</v>
      </c>
      <c r="H83" s="3" t="s">
        <v>134</v>
      </c>
      <c r="I83" s="19">
        <v>25000</v>
      </c>
      <c r="J83" s="19"/>
      <c r="K83" s="19">
        <f t="shared" si="38"/>
        <v>25000</v>
      </c>
      <c r="M83" s="19"/>
      <c r="N83" s="19"/>
      <c r="O83" s="87"/>
      <c r="Q83" s="294">
        <f t="shared" si="35"/>
        <v>25000</v>
      </c>
      <c r="R83" s="19">
        <f t="shared" si="36"/>
        <v>0</v>
      </c>
      <c r="S83" s="87">
        <f t="shared" si="36"/>
        <v>25000</v>
      </c>
    </row>
    <row r="84" spans="2:19" x14ac:dyDescent="0.2">
      <c r="B84" s="83">
        <f t="shared" si="40"/>
        <v>11</v>
      </c>
      <c r="C84" s="3"/>
      <c r="D84" s="136"/>
      <c r="E84" s="3"/>
      <c r="F84" s="30" t="s">
        <v>82</v>
      </c>
      <c r="G84" s="2"/>
      <c r="H84" s="137" t="s">
        <v>441</v>
      </c>
      <c r="I84" s="18">
        <v>25600</v>
      </c>
      <c r="J84" s="18"/>
      <c r="K84" s="18">
        <f t="shared" si="38"/>
        <v>25600</v>
      </c>
      <c r="M84" s="18"/>
      <c r="N84" s="18"/>
      <c r="O84" s="115"/>
      <c r="Q84" s="324">
        <f t="shared" si="35"/>
        <v>25600</v>
      </c>
      <c r="R84" s="18">
        <f t="shared" si="36"/>
        <v>0</v>
      </c>
      <c r="S84" s="115">
        <f t="shared" si="36"/>
        <v>25600</v>
      </c>
    </row>
    <row r="85" spans="2:19" ht="15" x14ac:dyDescent="0.2">
      <c r="B85" s="83">
        <f t="shared" si="40"/>
        <v>12</v>
      </c>
      <c r="C85" s="268">
        <v>2</v>
      </c>
      <c r="D85" s="360" t="s">
        <v>261</v>
      </c>
      <c r="E85" s="388"/>
      <c r="F85" s="388"/>
      <c r="G85" s="388"/>
      <c r="H85" s="389"/>
      <c r="I85" s="36">
        <f>I86+I88</f>
        <v>31520</v>
      </c>
      <c r="J85" s="36">
        <f t="shared" ref="J85" si="44">J86+J88</f>
        <v>0</v>
      </c>
      <c r="K85" s="36">
        <f t="shared" si="38"/>
        <v>31520</v>
      </c>
      <c r="M85" s="36">
        <v>0</v>
      </c>
      <c r="N85" s="36">
        <v>0</v>
      </c>
      <c r="O85" s="84">
        <v>0</v>
      </c>
      <c r="Q85" s="291">
        <f t="shared" si="35"/>
        <v>31520</v>
      </c>
      <c r="R85" s="36">
        <f t="shared" si="36"/>
        <v>0</v>
      </c>
      <c r="S85" s="84">
        <f t="shared" si="36"/>
        <v>31520</v>
      </c>
    </row>
    <row r="86" spans="2:19" x14ac:dyDescent="0.2">
      <c r="B86" s="83">
        <f t="shared" si="40"/>
        <v>13</v>
      </c>
      <c r="C86" s="7"/>
      <c r="D86" s="7"/>
      <c r="E86" s="7"/>
      <c r="F86" s="25" t="s">
        <v>260</v>
      </c>
      <c r="G86" s="7">
        <v>630</v>
      </c>
      <c r="H86" s="7" t="s">
        <v>133</v>
      </c>
      <c r="I86" s="23">
        <f>I87</f>
        <v>8000</v>
      </c>
      <c r="J86" s="23">
        <f t="shared" ref="J86" si="45">J87</f>
        <v>0</v>
      </c>
      <c r="K86" s="23">
        <f t="shared" si="38"/>
        <v>8000</v>
      </c>
      <c r="M86" s="23"/>
      <c r="N86" s="23"/>
      <c r="O86" s="86"/>
      <c r="Q86" s="293">
        <f t="shared" si="35"/>
        <v>8000</v>
      </c>
      <c r="R86" s="23">
        <f t="shared" si="36"/>
        <v>0</v>
      </c>
      <c r="S86" s="86">
        <f t="shared" si="36"/>
        <v>8000</v>
      </c>
    </row>
    <row r="87" spans="2:19" x14ac:dyDescent="0.2">
      <c r="B87" s="83">
        <f t="shared" si="40"/>
        <v>14</v>
      </c>
      <c r="C87" s="3"/>
      <c r="D87" s="3"/>
      <c r="E87" s="3"/>
      <c r="F87" s="26" t="s">
        <v>260</v>
      </c>
      <c r="G87" s="3">
        <v>637</v>
      </c>
      <c r="H87" s="3" t="s">
        <v>134</v>
      </c>
      <c r="I87" s="19">
        <v>8000</v>
      </c>
      <c r="J87" s="19"/>
      <c r="K87" s="19">
        <f t="shared" si="38"/>
        <v>8000</v>
      </c>
      <c r="M87" s="19"/>
      <c r="N87" s="19"/>
      <c r="O87" s="87"/>
      <c r="Q87" s="294">
        <f t="shared" si="35"/>
        <v>8000</v>
      </c>
      <c r="R87" s="19">
        <f t="shared" si="36"/>
        <v>0</v>
      </c>
      <c r="S87" s="87">
        <f t="shared" si="36"/>
        <v>8000</v>
      </c>
    </row>
    <row r="88" spans="2:19" x14ac:dyDescent="0.2">
      <c r="B88" s="83">
        <f t="shared" si="40"/>
        <v>15</v>
      </c>
      <c r="C88" s="7"/>
      <c r="D88" s="7"/>
      <c r="E88" s="7"/>
      <c r="F88" s="25" t="s">
        <v>260</v>
      </c>
      <c r="G88" s="7">
        <v>640</v>
      </c>
      <c r="H88" s="7" t="s">
        <v>141</v>
      </c>
      <c r="I88" s="23">
        <f>I89</f>
        <v>23520</v>
      </c>
      <c r="J88" s="23">
        <f t="shared" ref="J88:J89" si="46">J89</f>
        <v>0</v>
      </c>
      <c r="K88" s="23">
        <f t="shared" si="38"/>
        <v>23520</v>
      </c>
      <c r="M88" s="23"/>
      <c r="N88" s="23"/>
      <c r="O88" s="86"/>
      <c r="Q88" s="293">
        <f t="shared" si="35"/>
        <v>23520</v>
      </c>
      <c r="R88" s="23">
        <f t="shared" si="36"/>
        <v>0</v>
      </c>
      <c r="S88" s="86">
        <f t="shared" si="36"/>
        <v>23520</v>
      </c>
    </row>
    <row r="89" spans="2:19" x14ac:dyDescent="0.2">
      <c r="B89" s="83">
        <f t="shared" si="40"/>
        <v>16</v>
      </c>
      <c r="C89" s="3"/>
      <c r="D89" s="3"/>
      <c r="E89" s="3"/>
      <c r="F89" s="26" t="s">
        <v>260</v>
      </c>
      <c r="G89" s="3">
        <v>642</v>
      </c>
      <c r="H89" s="3" t="s">
        <v>142</v>
      </c>
      <c r="I89" s="19">
        <f>I90</f>
        <v>23520</v>
      </c>
      <c r="J89" s="19">
        <f t="shared" si="46"/>
        <v>0</v>
      </c>
      <c r="K89" s="19">
        <f t="shared" si="38"/>
        <v>23520</v>
      </c>
      <c r="M89" s="19"/>
      <c r="N89" s="19"/>
      <c r="O89" s="87"/>
      <c r="Q89" s="294">
        <f t="shared" si="35"/>
        <v>23520</v>
      </c>
      <c r="R89" s="19">
        <f t="shared" si="36"/>
        <v>0</v>
      </c>
      <c r="S89" s="87">
        <f t="shared" si="36"/>
        <v>23520</v>
      </c>
    </row>
    <row r="90" spans="2:19" ht="13.5" thickBot="1" x14ac:dyDescent="0.25">
      <c r="B90" s="89">
        <f t="shared" si="40"/>
        <v>17</v>
      </c>
      <c r="C90" s="95"/>
      <c r="D90" s="95"/>
      <c r="E90" s="95"/>
      <c r="F90" s="96"/>
      <c r="G90" s="95"/>
      <c r="H90" s="95" t="s">
        <v>326</v>
      </c>
      <c r="I90" s="98">
        <v>23520</v>
      </c>
      <c r="J90" s="98"/>
      <c r="K90" s="98">
        <f t="shared" si="38"/>
        <v>23520</v>
      </c>
      <c r="L90" s="270"/>
      <c r="M90" s="98"/>
      <c r="N90" s="98"/>
      <c r="O90" s="99"/>
      <c r="Q90" s="296">
        <f t="shared" si="35"/>
        <v>23520</v>
      </c>
      <c r="R90" s="98">
        <f t="shared" ref="R90:S90" si="47">J90+N90</f>
        <v>0</v>
      </c>
      <c r="S90" s="99">
        <f t="shared" si="47"/>
        <v>23520</v>
      </c>
    </row>
    <row r="108" spans="2:19" ht="27.75" thickBot="1" x14ac:dyDescent="0.4">
      <c r="B108" s="352" t="s">
        <v>24</v>
      </c>
      <c r="C108" s="353"/>
      <c r="D108" s="353"/>
      <c r="E108" s="353"/>
      <c r="F108" s="353"/>
      <c r="G108" s="353"/>
      <c r="H108" s="353"/>
      <c r="I108" s="353"/>
      <c r="J108" s="353"/>
      <c r="K108" s="353"/>
      <c r="L108" s="353"/>
      <c r="M108" s="353"/>
      <c r="N108" s="353"/>
      <c r="O108" s="353"/>
      <c r="P108" s="353"/>
      <c r="Q108" s="353"/>
    </row>
    <row r="109" spans="2:19" ht="13.5" customHeight="1" thickBot="1" x14ac:dyDescent="0.25">
      <c r="B109" s="378" t="s">
        <v>364</v>
      </c>
      <c r="C109" s="379"/>
      <c r="D109" s="379"/>
      <c r="E109" s="379"/>
      <c r="F109" s="379"/>
      <c r="G109" s="379"/>
      <c r="H109" s="379"/>
      <c r="I109" s="379"/>
      <c r="J109" s="379"/>
      <c r="K109" s="379"/>
      <c r="L109" s="379"/>
      <c r="M109" s="379"/>
      <c r="N109" s="379"/>
      <c r="O109" s="380"/>
      <c r="P109" s="271"/>
      <c r="Q109" s="354" t="s">
        <v>571</v>
      </c>
      <c r="R109" s="392" t="s">
        <v>565</v>
      </c>
      <c r="S109" s="395" t="s">
        <v>569</v>
      </c>
    </row>
    <row r="110" spans="2:19" ht="13.5" customHeight="1" thickBot="1" x14ac:dyDescent="0.25">
      <c r="B110" s="366"/>
      <c r="C110" s="357" t="s">
        <v>126</v>
      </c>
      <c r="D110" s="357" t="s">
        <v>127</v>
      </c>
      <c r="E110" s="357"/>
      <c r="F110" s="357" t="s">
        <v>128</v>
      </c>
      <c r="G110" s="371" t="s">
        <v>129</v>
      </c>
      <c r="H110" s="374" t="s">
        <v>130</v>
      </c>
      <c r="I110" s="363" t="s">
        <v>566</v>
      </c>
      <c r="J110" s="377" t="s">
        <v>565</v>
      </c>
      <c r="K110" s="376" t="s">
        <v>567</v>
      </c>
      <c r="M110" s="363" t="s">
        <v>568</v>
      </c>
      <c r="N110" s="377" t="s">
        <v>565</v>
      </c>
      <c r="O110" s="376" t="s">
        <v>570</v>
      </c>
      <c r="Q110" s="355"/>
      <c r="R110" s="393"/>
      <c r="S110" s="396"/>
    </row>
    <row r="111" spans="2:19" ht="13.5" thickBot="1" x14ac:dyDescent="0.25">
      <c r="B111" s="367"/>
      <c r="C111" s="358"/>
      <c r="D111" s="358"/>
      <c r="E111" s="358"/>
      <c r="F111" s="358"/>
      <c r="G111" s="372"/>
      <c r="H111" s="375"/>
      <c r="I111" s="363"/>
      <c r="J111" s="377"/>
      <c r="K111" s="376"/>
      <c r="M111" s="363"/>
      <c r="N111" s="377"/>
      <c r="O111" s="376"/>
      <c r="Q111" s="355"/>
      <c r="R111" s="393"/>
      <c r="S111" s="396"/>
    </row>
    <row r="112" spans="2:19" ht="13.5" thickBot="1" x14ac:dyDescent="0.25">
      <c r="B112" s="367"/>
      <c r="C112" s="358"/>
      <c r="D112" s="358"/>
      <c r="E112" s="358"/>
      <c r="F112" s="358"/>
      <c r="G112" s="372"/>
      <c r="H112" s="375"/>
      <c r="I112" s="363"/>
      <c r="J112" s="377"/>
      <c r="K112" s="376"/>
      <c r="M112" s="363"/>
      <c r="N112" s="377"/>
      <c r="O112" s="376"/>
      <c r="Q112" s="355"/>
      <c r="R112" s="393"/>
      <c r="S112" s="396"/>
    </row>
    <row r="113" spans="2:19" ht="13.5" thickBot="1" x14ac:dyDescent="0.25">
      <c r="B113" s="367"/>
      <c r="C113" s="359"/>
      <c r="D113" s="359"/>
      <c r="E113" s="359"/>
      <c r="F113" s="359"/>
      <c r="G113" s="373"/>
      <c r="H113" s="375"/>
      <c r="I113" s="363"/>
      <c r="J113" s="377"/>
      <c r="K113" s="376"/>
      <c r="M113" s="363"/>
      <c r="N113" s="377"/>
      <c r="O113" s="376"/>
      <c r="Q113" s="356"/>
      <c r="R113" s="394"/>
      <c r="S113" s="397"/>
    </row>
    <row r="114" spans="2:19" ht="16.5" thickTop="1" x14ac:dyDescent="0.2">
      <c r="B114" s="83">
        <v>1</v>
      </c>
      <c r="C114" s="385" t="s">
        <v>24</v>
      </c>
      <c r="D114" s="390"/>
      <c r="E114" s="390"/>
      <c r="F114" s="390"/>
      <c r="G114" s="390"/>
      <c r="H114" s="391"/>
      <c r="I114" s="35">
        <f>I192+I179+I174+I158+I139+I135+I118+I115</f>
        <v>4180908</v>
      </c>
      <c r="J114" s="35">
        <f>J192+J179+J174+J158+J139+J135+J118+J115</f>
        <v>0</v>
      </c>
      <c r="K114" s="35">
        <f>I114+J114</f>
        <v>4180908</v>
      </c>
      <c r="M114" s="35">
        <f>M115+M118+M135+M139+M158+M174+M179+M192</f>
        <v>1611767</v>
      </c>
      <c r="N114" s="35">
        <f>N115+N118+N135+N139+N158+N174+N179+N192</f>
        <v>0</v>
      </c>
      <c r="O114" s="93">
        <f>M114+N114</f>
        <v>1611767</v>
      </c>
      <c r="Q114" s="290">
        <f t="shared" ref="Q114:Q145" si="48">I114+M114</f>
        <v>5792675</v>
      </c>
      <c r="R114" s="35">
        <f t="shared" ref="R114:S129" si="49">J114+N114</f>
        <v>0</v>
      </c>
      <c r="S114" s="93">
        <f t="shared" si="49"/>
        <v>5792675</v>
      </c>
    </row>
    <row r="115" spans="2:19" ht="15" x14ac:dyDescent="0.2">
      <c r="B115" s="83">
        <f>B114+1</f>
        <v>2</v>
      </c>
      <c r="C115" s="268">
        <v>1</v>
      </c>
      <c r="D115" s="360" t="s">
        <v>155</v>
      </c>
      <c r="E115" s="361"/>
      <c r="F115" s="361"/>
      <c r="G115" s="361"/>
      <c r="H115" s="362"/>
      <c r="I115" s="36">
        <f>I116</f>
        <v>131400</v>
      </c>
      <c r="J115" s="36">
        <f t="shared" ref="J115:J116" si="50">J116</f>
        <v>0</v>
      </c>
      <c r="K115" s="36">
        <f t="shared" ref="K115:K178" si="51">I115+J115</f>
        <v>131400</v>
      </c>
      <c r="M115" s="36">
        <f>M116</f>
        <v>0</v>
      </c>
      <c r="N115" s="36">
        <f t="shared" ref="N115" si="52">N116</f>
        <v>0</v>
      </c>
      <c r="O115" s="84">
        <f t="shared" ref="O115:O178" si="53">M115+N115</f>
        <v>0</v>
      </c>
      <c r="Q115" s="291">
        <f t="shared" si="48"/>
        <v>131400</v>
      </c>
      <c r="R115" s="36">
        <f t="shared" si="49"/>
        <v>0</v>
      </c>
      <c r="S115" s="84">
        <f t="shared" si="49"/>
        <v>131400</v>
      </c>
    </row>
    <row r="116" spans="2:19" x14ac:dyDescent="0.2">
      <c r="B116" s="83">
        <f>B115+1</f>
        <v>3</v>
      </c>
      <c r="C116" s="7"/>
      <c r="D116" s="7"/>
      <c r="E116" s="7"/>
      <c r="F116" s="25" t="s">
        <v>81</v>
      </c>
      <c r="G116" s="7">
        <v>630</v>
      </c>
      <c r="H116" s="7" t="s">
        <v>133</v>
      </c>
      <c r="I116" s="23">
        <f>I117</f>
        <v>131400</v>
      </c>
      <c r="J116" s="23">
        <f t="shared" si="50"/>
        <v>0</v>
      </c>
      <c r="K116" s="23">
        <f t="shared" si="51"/>
        <v>131400</v>
      </c>
      <c r="M116" s="23"/>
      <c r="N116" s="23"/>
      <c r="O116" s="86">
        <f t="shared" si="53"/>
        <v>0</v>
      </c>
      <c r="Q116" s="293">
        <f t="shared" si="48"/>
        <v>131400</v>
      </c>
      <c r="R116" s="23">
        <f t="shared" si="49"/>
        <v>0</v>
      </c>
      <c r="S116" s="86">
        <f t="shared" si="49"/>
        <v>131400</v>
      </c>
    </row>
    <row r="117" spans="2:19" x14ac:dyDescent="0.2">
      <c r="B117" s="83">
        <f t="shared" ref="B117:B180" si="54">B116+1</f>
        <v>4</v>
      </c>
      <c r="C117" s="3"/>
      <c r="D117" s="3"/>
      <c r="E117" s="3"/>
      <c r="F117" s="26" t="s">
        <v>81</v>
      </c>
      <c r="G117" s="3">
        <v>637</v>
      </c>
      <c r="H117" s="3" t="s">
        <v>134</v>
      </c>
      <c r="I117" s="19">
        <v>131400</v>
      </c>
      <c r="J117" s="19"/>
      <c r="K117" s="19">
        <f t="shared" si="51"/>
        <v>131400</v>
      </c>
      <c r="M117" s="19"/>
      <c r="N117" s="19"/>
      <c r="O117" s="87">
        <f t="shared" si="53"/>
        <v>0</v>
      </c>
      <c r="Q117" s="294">
        <f t="shared" si="48"/>
        <v>131400</v>
      </c>
      <c r="R117" s="19">
        <f t="shared" si="49"/>
        <v>0</v>
      </c>
      <c r="S117" s="87">
        <f t="shared" si="49"/>
        <v>131400</v>
      </c>
    </row>
    <row r="118" spans="2:19" ht="15" x14ac:dyDescent="0.2">
      <c r="B118" s="83">
        <f t="shared" si="54"/>
        <v>5</v>
      </c>
      <c r="C118" s="268">
        <v>2</v>
      </c>
      <c r="D118" s="360" t="s">
        <v>154</v>
      </c>
      <c r="E118" s="361"/>
      <c r="F118" s="361"/>
      <c r="G118" s="361"/>
      <c r="H118" s="362"/>
      <c r="I118" s="36">
        <f>I119+I122+I128</f>
        <v>82250</v>
      </c>
      <c r="J118" s="36">
        <f t="shared" ref="J118" si="55">J119+J122+J128</f>
        <v>0</v>
      </c>
      <c r="K118" s="36">
        <f t="shared" si="51"/>
        <v>82250</v>
      </c>
      <c r="M118" s="36">
        <f>M119+M122+M128</f>
        <v>1269355</v>
      </c>
      <c r="N118" s="36">
        <f t="shared" ref="N118" si="56">N119+N122+N128</f>
        <v>0</v>
      </c>
      <c r="O118" s="84">
        <f t="shared" si="53"/>
        <v>1269355</v>
      </c>
      <c r="Q118" s="291">
        <f t="shared" si="48"/>
        <v>1351605</v>
      </c>
      <c r="R118" s="36">
        <f t="shared" si="49"/>
        <v>0</v>
      </c>
      <c r="S118" s="84">
        <f t="shared" si="49"/>
        <v>1351605</v>
      </c>
    </row>
    <row r="119" spans="2:19" ht="15" x14ac:dyDescent="0.25">
      <c r="B119" s="83">
        <f t="shared" si="54"/>
        <v>6</v>
      </c>
      <c r="C119" s="267"/>
      <c r="D119" s="267">
        <v>1</v>
      </c>
      <c r="E119" s="368" t="s">
        <v>160</v>
      </c>
      <c r="F119" s="361"/>
      <c r="G119" s="361"/>
      <c r="H119" s="362"/>
      <c r="I119" s="37">
        <f>I120</f>
        <v>2500</v>
      </c>
      <c r="J119" s="37">
        <f t="shared" ref="J119:J120" si="57">J120</f>
        <v>0</v>
      </c>
      <c r="K119" s="37">
        <f t="shared" si="51"/>
        <v>2500</v>
      </c>
      <c r="M119" s="37">
        <v>0</v>
      </c>
      <c r="N119" s="37"/>
      <c r="O119" s="85">
        <f t="shared" si="53"/>
        <v>0</v>
      </c>
      <c r="Q119" s="292">
        <f t="shared" si="48"/>
        <v>2500</v>
      </c>
      <c r="R119" s="37">
        <f t="shared" si="49"/>
        <v>0</v>
      </c>
      <c r="S119" s="85">
        <f t="shared" si="49"/>
        <v>2500</v>
      </c>
    </row>
    <row r="120" spans="2:19" x14ac:dyDescent="0.2">
      <c r="B120" s="83">
        <f t="shared" si="54"/>
        <v>7</v>
      </c>
      <c r="C120" s="7"/>
      <c r="D120" s="7"/>
      <c r="E120" s="7"/>
      <c r="F120" s="25" t="s">
        <v>81</v>
      </c>
      <c r="G120" s="7">
        <v>630</v>
      </c>
      <c r="H120" s="7" t="s">
        <v>133</v>
      </c>
      <c r="I120" s="23">
        <f>I121</f>
        <v>2500</v>
      </c>
      <c r="J120" s="23">
        <f t="shared" si="57"/>
        <v>0</v>
      </c>
      <c r="K120" s="23">
        <f t="shared" si="51"/>
        <v>2500</v>
      </c>
      <c r="M120" s="23"/>
      <c r="N120" s="23"/>
      <c r="O120" s="86">
        <f t="shared" si="53"/>
        <v>0</v>
      </c>
      <c r="Q120" s="293">
        <f t="shared" si="48"/>
        <v>2500</v>
      </c>
      <c r="R120" s="23">
        <f t="shared" si="49"/>
        <v>0</v>
      </c>
      <c r="S120" s="86">
        <f t="shared" si="49"/>
        <v>2500</v>
      </c>
    </row>
    <row r="121" spans="2:19" x14ac:dyDescent="0.2">
      <c r="B121" s="83">
        <f t="shared" si="54"/>
        <v>8</v>
      </c>
      <c r="C121" s="3"/>
      <c r="D121" s="3"/>
      <c r="E121" s="3"/>
      <c r="F121" s="26" t="s">
        <v>81</v>
      </c>
      <c r="G121" s="3">
        <v>637</v>
      </c>
      <c r="H121" s="3" t="s">
        <v>134</v>
      </c>
      <c r="I121" s="19">
        <v>2500</v>
      </c>
      <c r="J121" s="19"/>
      <c r="K121" s="19">
        <f t="shared" si="51"/>
        <v>2500</v>
      </c>
      <c r="M121" s="19"/>
      <c r="N121" s="19"/>
      <c r="O121" s="87">
        <f t="shared" si="53"/>
        <v>0</v>
      </c>
      <c r="Q121" s="294">
        <f t="shared" si="48"/>
        <v>2500</v>
      </c>
      <c r="R121" s="19">
        <f t="shared" si="49"/>
        <v>0</v>
      </c>
      <c r="S121" s="87">
        <f t="shared" si="49"/>
        <v>2500</v>
      </c>
    </row>
    <row r="122" spans="2:19" ht="15" x14ac:dyDescent="0.25">
      <c r="B122" s="83">
        <f t="shared" si="54"/>
        <v>9</v>
      </c>
      <c r="C122" s="267"/>
      <c r="D122" s="267">
        <v>2</v>
      </c>
      <c r="E122" s="368" t="s">
        <v>153</v>
      </c>
      <c r="F122" s="361"/>
      <c r="G122" s="361"/>
      <c r="H122" s="362"/>
      <c r="I122" s="37">
        <f>I123</f>
        <v>19750</v>
      </c>
      <c r="J122" s="37">
        <f t="shared" ref="J122" si="58">J123</f>
        <v>0</v>
      </c>
      <c r="K122" s="37">
        <f t="shared" si="51"/>
        <v>19750</v>
      </c>
      <c r="M122" s="37">
        <f>M126</f>
        <v>100</v>
      </c>
      <c r="N122" s="37">
        <f t="shared" ref="N122" si="59">N126</f>
        <v>0</v>
      </c>
      <c r="O122" s="85">
        <f t="shared" si="53"/>
        <v>100</v>
      </c>
      <c r="Q122" s="292">
        <f t="shared" si="48"/>
        <v>19850</v>
      </c>
      <c r="R122" s="37">
        <f t="shared" si="49"/>
        <v>0</v>
      </c>
      <c r="S122" s="85">
        <f t="shared" si="49"/>
        <v>19850</v>
      </c>
    </row>
    <row r="123" spans="2:19" x14ac:dyDescent="0.2">
      <c r="B123" s="83">
        <f t="shared" si="54"/>
        <v>10</v>
      </c>
      <c r="C123" s="7"/>
      <c r="D123" s="7"/>
      <c r="E123" s="7"/>
      <c r="F123" s="25" t="s">
        <v>81</v>
      </c>
      <c r="G123" s="7">
        <v>630</v>
      </c>
      <c r="H123" s="7" t="s">
        <v>133</v>
      </c>
      <c r="I123" s="23">
        <f>I124+I125</f>
        <v>19750</v>
      </c>
      <c r="J123" s="23">
        <f t="shared" ref="J123" si="60">J124+J125</f>
        <v>0</v>
      </c>
      <c r="K123" s="23">
        <f t="shared" si="51"/>
        <v>19750</v>
      </c>
      <c r="M123" s="23"/>
      <c r="N123" s="23"/>
      <c r="O123" s="86">
        <f t="shared" si="53"/>
        <v>0</v>
      </c>
      <c r="Q123" s="293">
        <f t="shared" si="48"/>
        <v>19750</v>
      </c>
      <c r="R123" s="23">
        <f t="shared" si="49"/>
        <v>0</v>
      </c>
      <c r="S123" s="86">
        <f t="shared" si="49"/>
        <v>19750</v>
      </c>
    </row>
    <row r="124" spans="2:19" x14ac:dyDescent="0.2">
      <c r="B124" s="83">
        <f t="shared" si="54"/>
        <v>11</v>
      </c>
      <c r="C124" s="3"/>
      <c r="D124" s="3"/>
      <c r="E124" s="3"/>
      <c r="F124" s="26" t="s">
        <v>81</v>
      </c>
      <c r="G124" s="3">
        <v>636</v>
      </c>
      <c r="H124" s="3" t="s">
        <v>138</v>
      </c>
      <c r="I124" s="19">
        <v>9410</v>
      </c>
      <c r="J124" s="19"/>
      <c r="K124" s="19">
        <f t="shared" si="51"/>
        <v>9410</v>
      </c>
      <c r="M124" s="19"/>
      <c r="N124" s="19"/>
      <c r="O124" s="87">
        <f t="shared" si="53"/>
        <v>0</v>
      </c>
      <c r="Q124" s="294">
        <f t="shared" si="48"/>
        <v>9410</v>
      </c>
      <c r="R124" s="19">
        <f t="shared" si="49"/>
        <v>0</v>
      </c>
      <c r="S124" s="87">
        <f t="shared" si="49"/>
        <v>9410</v>
      </c>
    </row>
    <row r="125" spans="2:19" x14ac:dyDescent="0.2">
      <c r="B125" s="83">
        <f t="shared" si="54"/>
        <v>12</v>
      </c>
      <c r="C125" s="3"/>
      <c r="D125" s="3"/>
      <c r="E125" s="3"/>
      <c r="F125" s="26" t="s">
        <v>81</v>
      </c>
      <c r="G125" s="3">
        <v>637</v>
      </c>
      <c r="H125" s="3" t="s">
        <v>134</v>
      </c>
      <c r="I125" s="19">
        <f>10000+340</f>
        <v>10340</v>
      </c>
      <c r="J125" s="19"/>
      <c r="K125" s="19">
        <f t="shared" si="51"/>
        <v>10340</v>
      </c>
      <c r="M125" s="19"/>
      <c r="N125" s="19"/>
      <c r="O125" s="87">
        <f t="shared" si="53"/>
        <v>0</v>
      </c>
      <c r="Q125" s="294">
        <f t="shared" si="48"/>
        <v>10340</v>
      </c>
      <c r="R125" s="19">
        <f t="shared" si="49"/>
        <v>0</v>
      </c>
      <c r="S125" s="87">
        <f t="shared" si="49"/>
        <v>10340</v>
      </c>
    </row>
    <row r="126" spans="2:19" x14ac:dyDescent="0.2">
      <c r="B126" s="83">
        <f t="shared" si="54"/>
        <v>13</v>
      </c>
      <c r="C126" s="7"/>
      <c r="D126" s="7"/>
      <c r="E126" s="7"/>
      <c r="F126" s="25" t="s">
        <v>81</v>
      </c>
      <c r="G126" s="7">
        <v>710</v>
      </c>
      <c r="H126" s="7" t="s">
        <v>188</v>
      </c>
      <c r="I126" s="23"/>
      <c r="J126" s="23"/>
      <c r="K126" s="23">
        <f t="shared" si="51"/>
        <v>0</v>
      </c>
      <c r="M126" s="23">
        <f>M127</f>
        <v>100</v>
      </c>
      <c r="N126" s="23">
        <f t="shared" ref="N126" si="61">N127</f>
        <v>0</v>
      </c>
      <c r="O126" s="86">
        <f t="shared" si="53"/>
        <v>100</v>
      </c>
      <c r="Q126" s="293">
        <f t="shared" si="48"/>
        <v>100</v>
      </c>
      <c r="R126" s="23">
        <f t="shared" si="49"/>
        <v>0</v>
      </c>
      <c r="S126" s="86">
        <f t="shared" si="49"/>
        <v>100</v>
      </c>
    </row>
    <row r="127" spans="2:19" x14ac:dyDescent="0.2">
      <c r="B127" s="83">
        <f t="shared" si="54"/>
        <v>14</v>
      </c>
      <c r="C127" s="3"/>
      <c r="D127" s="3"/>
      <c r="E127" s="3"/>
      <c r="F127" s="26" t="s">
        <v>81</v>
      </c>
      <c r="G127" s="3">
        <v>712</v>
      </c>
      <c r="H127" s="3" t="s">
        <v>65</v>
      </c>
      <c r="I127" s="19"/>
      <c r="J127" s="19"/>
      <c r="K127" s="19">
        <f t="shared" si="51"/>
        <v>0</v>
      </c>
      <c r="M127" s="19">
        <v>100</v>
      </c>
      <c r="N127" s="19"/>
      <c r="O127" s="87">
        <f t="shared" si="53"/>
        <v>100</v>
      </c>
      <c r="Q127" s="294">
        <f t="shared" si="48"/>
        <v>100</v>
      </c>
      <c r="R127" s="19">
        <f t="shared" si="49"/>
        <v>0</v>
      </c>
      <c r="S127" s="87">
        <f t="shared" si="49"/>
        <v>100</v>
      </c>
    </row>
    <row r="128" spans="2:19" ht="15" x14ac:dyDescent="0.25">
      <c r="B128" s="83">
        <f t="shared" si="54"/>
        <v>15</v>
      </c>
      <c r="C128" s="267"/>
      <c r="D128" s="267">
        <v>3</v>
      </c>
      <c r="E128" s="368" t="s">
        <v>223</v>
      </c>
      <c r="F128" s="361"/>
      <c r="G128" s="361"/>
      <c r="H128" s="362"/>
      <c r="I128" s="37">
        <f>I129</f>
        <v>60000</v>
      </c>
      <c r="J128" s="37">
        <f t="shared" ref="J128" si="62">J129</f>
        <v>0</v>
      </c>
      <c r="K128" s="37">
        <f t="shared" si="51"/>
        <v>60000</v>
      </c>
      <c r="M128" s="37">
        <f>M132</f>
        <v>1269255</v>
      </c>
      <c r="N128" s="37">
        <f t="shared" ref="N128" si="63">N132</f>
        <v>0</v>
      </c>
      <c r="O128" s="85">
        <f t="shared" si="53"/>
        <v>1269255</v>
      </c>
      <c r="Q128" s="292">
        <f t="shared" si="48"/>
        <v>1329255</v>
      </c>
      <c r="R128" s="37">
        <f t="shared" si="49"/>
        <v>0</v>
      </c>
      <c r="S128" s="85">
        <f t="shared" si="49"/>
        <v>1329255</v>
      </c>
    </row>
    <row r="129" spans="2:19" x14ac:dyDescent="0.2">
      <c r="B129" s="83">
        <f t="shared" si="54"/>
        <v>16</v>
      </c>
      <c r="C129" s="7"/>
      <c r="D129" s="7"/>
      <c r="E129" s="7"/>
      <c r="F129" s="25" t="s">
        <v>81</v>
      </c>
      <c r="G129" s="7">
        <v>630</v>
      </c>
      <c r="H129" s="7" t="s">
        <v>133</v>
      </c>
      <c r="I129" s="23">
        <f>I130+I131</f>
        <v>60000</v>
      </c>
      <c r="J129" s="23">
        <f t="shared" ref="J129" si="64">J130+J131</f>
        <v>0</v>
      </c>
      <c r="K129" s="23">
        <f t="shared" si="51"/>
        <v>60000</v>
      </c>
      <c r="M129" s="23"/>
      <c r="N129" s="23"/>
      <c r="O129" s="86">
        <f t="shared" si="53"/>
        <v>0</v>
      </c>
      <c r="Q129" s="293">
        <f t="shared" si="48"/>
        <v>60000</v>
      </c>
      <c r="R129" s="23">
        <f t="shared" si="49"/>
        <v>0</v>
      </c>
      <c r="S129" s="86">
        <f t="shared" si="49"/>
        <v>60000</v>
      </c>
    </row>
    <row r="130" spans="2:19" x14ac:dyDescent="0.2">
      <c r="B130" s="83">
        <f t="shared" si="54"/>
        <v>17</v>
      </c>
      <c r="C130" s="3"/>
      <c r="D130" s="3"/>
      <c r="E130" s="3"/>
      <c r="F130" s="26" t="s">
        <v>81</v>
      </c>
      <c r="G130" s="3">
        <v>636</v>
      </c>
      <c r="H130" s="3" t="s">
        <v>138</v>
      </c>
      <c r="I130" s="19">
        <v>49000</v>
      </c>
      <c r="J130" s="19"/>
      <c r="K130" s="19">
        <f t="shared" si="51"/>
        <v>49000</v>
      </c>
      <c r="M130" s="19"/>
      <c r="N130" s="19"/>
      <c r="O130" s="87">
        <f t="shared" si="53"/>
        <v>0</v>
      </c>
      <c r="Q130" s="294">
        <f t="shared" si="48"/>
        <v>49000</v>
      </c>
      <c r="R130" s="19">
        <f t="shared" ref="R130:S145" si="65">J130+N130</f>
        <v>0</v>
      </c>
      <c r="S130" s="87">
        <f t="shared" si="65"/>
        <v>49000</v>
      </c>
    </row>
    <row r="131" spans="2:19" x14ac:dyDescent="0.2">
      <c r="B131" s="83">
        <f t="shared" si="54"/>
        <v>18</v>
      </c>
      <c r="C131" s="3"/>
      <c r="D131" s="3"/>
      <c r="E131" s="3"/>
      <c r="F131" s="26" t="s">
        <v>81</v>
      </c>
      <c r="G131" s="3">
        <v>637</v>
      </c>
      <c r="H131" s="3" t="s">
        <v>134</v>
      </c>
      <c r="I131" s="19">
        <v>11000</v>
      </c>
      <c r="J131" s="19"/>
      <c r="K131" s="19">
        <f t="shared" si="51"/>
        <v>11000</v>
      </c>
      <c r="M131" s="19"/>
      <c r="N131" s="19"/>
      <c r="O131" s="87">
        <f t="shared" si="53"/>
        <v>0</v>
      </c>
      <c r="Q131" s="294">
        <f t="shared" si="48"/>
        <v>11000</v>
      </c>
      <c r="R131" s="19">
        <f t="shared" si="65"/>
        <v>0</v>
      </c>
      <c r="S131" s="87">
        <f t="shared" si="65"/>
        <v>11000</v>
      </c>
    </row>
    <row r="132" spans="2:19" x14ac:dyDescent="0.2">
      <c r="B132" s="83">
        <f t="shared" si="54"/>
        <v>19</v>
      </c>
      <c r="C132" s="7"/>
      <c r="D132" s="7"/>
      <c r="E132" s="7"/>
      <c r="F132" s="25" t="s">
        <v>81</v>
      </c>
      <c r="G132" s="7">
        <v>710</v>
      </c>
      <c r="H132" s="7" t="s">
        <v>188</v>
      </c>
      <c r="I132" s="23"/>
      <c r="J132" s="23"/>
      <c r="K132" s="23">
        <f t="shared" si="51"/>
        <v>0</v>
      </c>
      <c r="M132" s="23">
        <f>M133+M134</f>
        <v>1269255</v>
      </c>
      <c r="N132" s="23">
        <f t="shared" ref="N132" si="66">N133+N134</f>
        <v>0</v>
      </c>
      <c r="O132" s="86">
        <f t="shared" si="53"/>
        <v>1269255</v>
      </c>
      <c r="Q132" s="293">
        <f t="shared" si="48"/>
        <v>1269255</v>
      </c>
      <c r="R132" s="23">
        <f t="shared" si="65"/>
        <v>0</v>
      </c>
      <c r="S132" s="86">
        <f t="shared" si="65"/>
        <v>1269255</v>
      </c>
    </row>
    <row r="133" spans="2:19" x14ac:dyDescent="0.2">
      <c r="B133" s="83">
        <f t="shared" si="54"/>
        <v>20</v>
      </c>
      <c r="C133" s="3"/>
      <c r="D133" s="3"/>
      <c r="E133" s="3"/>
      <c r="F133" s="26" t="s">
        <v>81</v>
      </c>
      <c r="G133" s="3">
        <v>711</v>
      </c>
      <c r="H133" s="3" t="s">
        <v>225</v>
      </c>
      <c r="I133" s="19"/>
      <c r="J133" s="19"/>
      <c r="K133" s="19">
        <f t="shared" si="51"/>
        <v>0</v>
      </c>
      <c r="M133" s="64">
        <v>307000</v>
      </c>
      <c r="N133" s="64"/>
      <c r="O133" s="181">
        <f t="shared" si="53"/>
        <v>307000</v>
      </c>
      <c r="Q133" s="294">
        <f t="shared" si="48"/>
        <v>307000</v>
      </c>
      <c r="R133" s="19">
        <f t="shared" si="65"/>
        <v>0</v>
      </c>
      <c r="S133" s="87">
        <f t="shared" si="65"/>
        <v>307000</v>
      </c>
    </row>
    <row r="134" spans="2:19" x14ac:dyDescent="0.2">
      <c r="B134" s="83">
        <f t="shared" si="54"/>
        <v>21</v>
      </c>
      <c r="C134" s="3"/>
      <c r="D134" s="136"/>
      <c r="E134" s="3"/>
      <c r="F134" s="26" t="s">
        <v>81</v>
      </c>
      <c r="G134" s="3">
        <v>719</v>
      </c>
      <c r="H134" s="3" t="s">
        <v>532</v>
      </c>
      <c r="I134" s="19"/>
      <c r="J134" s="19"/>
      <c r="K134" s="19">
        <f t="shared" si="51"/>
        <v>0</v>
      </c>
      <c r="M134" s="64">
        <v>962255</v>
      </c>
      <c r="N134" s="64"/>
      <c r="O134" s="181">
        <f t="shared" si="53"/>
        <v>962255</v>
      </c>
      <c r="Q134" s="294">
        <f t="shared" si="48"/>
        <v>962255</v>
      </c>
      <c r="R134" s="19">
        <f t="shared" si="65"/>
        <v>0</v>
      </c>
      <c r="S134" s="87">
        <f t="shared" si="65"/>
        <v>962255</v>
      </c>
    </row>
    <row r="135" spans="2:19" ht="15" x14ac:dyDescent="0.2">
      <c r="B135" s="83">
        <f t="shared" si="54"/>
        <v>22</v>
      </c>
      <c r="C135" s="268">
        <v>3</v>
      </c>
      <c r="D135" s="360" t="s">
        <v>161</v>
      </c>
      <c r="E135" s="361"/>
      <c r="F135" s="361"/>
      <c r="G135" s="361"/>
      <c r="H135" s="362"/>
      <c r="I135" s="36">
        <f>I136</f>
        <v>8000</v>
      </c>
      <c r="J135" s="36">
        <f t="shared" ref="J135" si="67">J136</f>
        <v>0</v>
      </c>
      <c r="K135" s="36">
        <f t="shared" si="51"/>
        <v>8000</v>
      </c>
      <c r="M135" s="36">
        <v>0</v>
      </c>
      <c r="N135" s="36">
        <v>0</v>
      </c>
      <c r="O135" s="84">
        <f t="shared" si="53"/>
        <v>0</v>
      </c>
      <c r="Q135" s="291">
        <f t="shared" si="48"/>
        <v>8000</v>
      </c>
      <c r="R135" s="36">
        <f t="shared" si="65"/>
        <v>0</v>
      </c>
      <c r="S135" s="84">
        <f t="shared" si="65"/>
        <v>8000</v>
      </c>
    </row>
    <row r="136" spans="2:19" x14ac:dyDescent="0.2">
      <c r="B136" s="83">
        <f t="shared" si="54"/>
        <v>23</v>
      </c>
      <c r="C136" s="7"/>
      <c r="D136" s="7"/>
      <c r="E136" s="7"/>
      <c r="F136" s="25" t="s">
        <v>81</v>
      </c>
      <c r="G136" s="7">
        <v>630</v>
      </c>
      <c r="H136" s="7" t="s">
        <v>133</v>
      </c>
      <c r="I136" s="23">
        <f>I137+I138</f>
        <v>8000</v>
      </c>
      <c r="J136" s="23">
        <f t="shared" ref="J136" si="68">J137+J138</f>
        <v>0</v>
      </c>
      <c r="K136" s="23">
        <f t="shared" si="51"/>
        <v>8000</v>
      </c>
      <c r="M136" s="23"/>
      <c r="N136" s="23"/>
      <c r="O136" s="86">
        <f t="shared" si="53"/>
        <v>0</v>
      </c>
      <c r="Q136" s="293">
        <f t="shared" si="48"/>
        <v>8000</v>
      </c>
      <c r="R136" s="23">
        <f t="shared" si="65"/>
        <v>0</v>
      </c>
      <c r="S136" s="86">
        <f t="shared" si="65"/>
        <v>8000</v>
      </c>
    </row>
    <row r="137" spans="2:19" x14ac:dyDescent="0.2">
      <c r="B137" s="83">
        <f t="shared" si="54"/>
        <v>24</v>
      </c>
      <c r="C137" s="3"/>
      <c r="D137" s="3"/>
      <c r="E137" s="3"/>
      <c r="F137" s="26" t="s">
        <v>81</v>
      </c>
      <c r="G137" s="3">
        <v>633</v>
      </c>
      <c r="H137" s="3" t="s">
        <v>137</v>
      </c>
      <c r="I137" s="19">
        <v>1000</v>
      </c>
      <c r="J137" s="19"/>
      <c r="K137" s="19">
        <f t="shared" si="51"/>
        <v>1000</v>
      </c>
      <c r="M137" s="19"/>
      <c r="N137" s="19"/>
      <c r="O137" s="87">
        <f t="shared" si="53"/>
        <v>0</v>
      </c>
      <c r="Q137" s="294">
        <f t="shared" si="48"/>
        <v>1000</v>
      </c>
      <c r="R137" s="19">
        <f t="shared" si="65"/>
        <v>0</v>
      </c>
      <c r="S137" s="87">
        <f t="shared" si="65"/>
        <v>1000</v>
      </c>
    </row>
    <row r="138" spans="2:19" x14ac:dyDescent="0.2">
      <c r="B138" s="83">
        <f t="shared" si="54"/>
        <v>25</v>
      </c>
      <c r="C138" s="3"/>
      <c r="D138" s="3"/>
      <c r="E138" s="3"/>
      <c r="F138" s="26" t="s">
        <v>81</v>
      </c>
      <c r="G138" s="3">
        <v>637</v>
      </c>
      <c r="H138" s="3" t="s">
        <v>134</v>
      </c>
      <c r="I138" s="19">
        <v>7000</v>
      </c>
      <c r="J138" s="19"/>
      <c r="K138" s="19">
        <f t="shared" si="51"/>
        <v>7000</v>
      </c>
      <c r="M138" s="19"/>
      <c r="N138" s="19"/>
      <c r="O138" s="87">
        <f t="shared" si="53"/>
        <v>0</v>
      </c>
      <c r="Q138" s="294">
        <f t="shared" si="48"/>
        <v>7000</v>
      </c>
      <c r="R138" s="19">
        <f t="shared" si="65"/>
        <v>0</v>
      </c>
      <c r="S138" s="87">
        <f t="shared" si="65"/>
        <v>7000</v>
      </c>
    </row>
    <row r="139" spans="2:19" ht="15" x14ac:dyDescent="0.2">
      <c r="B139" s="83">
        <f t="shared" si="54"/>
        <v>26</v>
      </c>
      <c r="C139" s="268">
        <v>4</v>
      </c>
      <c r="D139" s="360" t="s">
        <v>207</v>
      </c>
      <c r="E139" s="361"/>
      <c r="F139" s="361"/>
      <c r="G139" s="361"/>
      <c r="H139" s="362"/>
      <c r="I139" s="36">
        <f>I140+I154</f>
        <v>252460</v>
      </c>
      <c r="J139" s="36">
        <f t="shared" ref="J139" si="69">J140+J154</f>
        <v>0</v>
      </c>
      <c r="K139" s="36">
        <f t="shared" si="51"/>
        <v>252460</v>
      </c>
      <c r="M139" s="36">
        <f>M147+M154</f>
        <v>211410</v>
      </c>
      <c r="N139" s="36">
        <f t="shared" ref="N139" si="70">N147+N154</f>
        <v>0</v>
      </c>
      <c r="O139" s="84">
        <f t="shared" si="53"/>
        <v>211410</v>
      </c>
      <c r="Q139" s="291">
        <f t="shared" si="48"/>
        <v>463870</v>
      </c>
      <c r="R139" s="36">
        <f t="shared" si="65"/>
        <v>0</v>
      </c>
      <c r="S139" s="84">
        <f t="shared" si="65"/>
        <v>463870</v>
      </c>
    </row>
    <row r="140" spans="2:19" x14ac:dyDescent="0.2">
      <c r="B140" s="83">
        <f t="shared" si="54"/>
        <v>27</v>
      </c>
      <c r="C140" s="7"/>
      <c r="D140" s="7"/>
      <c r="E140" s="7"/>
      <c r="F140" s="26" t="s">
        <v>165</v>
      </c>
      <c r="G140" s="7">
        <v>630</v>
      </c>
      <c r="H140" s="7" t="s">
        <v>133</v>
      </c>
      <c r="I140" s="23">
        <f>SUM(I141:I146)</f>
        <v>240960</v>
      </c>
      <c r="J140" s="23">
        <f t="shared" ref="J140" si="71">SUM(J141:J146)</f>
        <v>0</v>
      </c>
      <c r="K140" s="23">
        <f t="shared" si="51"/>
        <v>240960</v>
      </c>
      <c r="M140" s="23"/>
      <c r="N140" s="23"/>
      <c r="O140" s="86">
        <f t="shared" si="53"/>
        <v>0</v>
      </c>
      <c r="Q140" s="293">
        <f t="shared" si="48"/>
        <v>240960</v>
      </c>
      <c r="R140" s="23">
        <f t="shared" si="65"/>
        <v>0</v>
      </c>
      <c r="S140" s="86">
        <f t="shared" si="65"/>
        <v>240960</v>
      </c>
    </row>
    <row r="141" spans="2:19" x14ac:dyDescent="0.2">
      <c r="B141" s="83">
        <f t="shared" si="54"/>
        <v>28</v>
      </c>
      <c r="C141" s="7"/>
      <c r="D141" s="7"/>
      <c r="E141" s="7"/>
      <c r="F141" s="26" t="s">
        <v>165</v>
      </c>
      <c r="G141" s="52">
        <v>632</v>
      </c>
      <c r="H141" s="3" t="s">
        <v>146</v>
      </c>
      <c r="I141" s="20">
        <f>96000+1800</f>
        <v>97800</v>
      </c>
      <c r="J141" s="20"/>
      <c r="K141" s="20">
        <f t="shared" si="51"/>
        <v>97800</v>
      </c>
      <c r="M141" s="23"/>
      <c r="N141" s="23"/>
      <c r="O141" s="86">
        <f t="shared" si="53"/>
        <v>0</v>
      </c>
      <c r="Q141" s="293">
        <f t="shared" si="48"/>
        <v>97800</v>
      </c>
      <c r="R141" s="23">
        <f t="shared" si="65"/>
        <v>0</v>
      </c>
      <c r="S141" s="86">
        <f t="shared" si="65"/>
        <v>97800</v>
      </c>
    </row>
    <row r="142" spans="2:19" x14ac:dyDescent="0.2">
      <c r="B142" s="83">
        <f t="shared" si="54"/>
        <v>29</v>
      </c>
      <c r="C142" s="7"/>
      <c r="D142" s="7"/>
      <c r="E142" s="7"/>
      <c r="F142" s="26" t="s">
        <v>165</v>
      </c>
      <c r="G142" s="3">
        <v>633</v>
      </c>
      <c r="H142" s="3" t="s">
        <v>137</v>
      </c>
      <c r="I142" s="20">
        <v>5000</v>
      </c>
      <c r="J142" s="20"/>
      <c r="K142" s="20">
        <f t="shared" si="51"/>
        <v>5000</v>
      </c>
      <c r="M142" s="23"/>
      <c r="N142" s="23"/>
      <c r="O142" s="86">
        <f t="shared" si="53"/>
        <v>0</v>
      </c>
      <c r="Q142" s="293">
        <f t="shared" si="48"/>
        <v>5000</v>
      </c>
      <c r="R142" s="23">
        <f t="shared" si="65"/>
        <v>0</v>
      </c>
      <c r="S142" s="86">
        <f t="shared" si="65"/>
        <v>5000</v>
      </c>
    </row>
    <row r="143" spans="2:19" x14ac:dyDescent="0.2">
      <c r="B143" s="83">
        <f t="shared" si="54"/>
        <v>30</v>
      </c>
      <c r="C143" s="3"/>
      <c r="D143" s="3"/>
      <c r="E143" s="3"/>
      <c r="F143" s="26" t="s">
        <v>165</v>
      </c>
      <c r="G143" s="3">
        <v>635</v>
      </c>
      <c r="H143" s="3" t="s">
        <v>145</v>
      </c>
      <c r="I143" s="20">
        <f>57000+2500+3700-19500</f>
        <v>43700</v>
      </c>
      <c r="J143" s="20"/>
      <c r="K143" s="20">
        <f t="shared" si="51"/>
        <v>43700</v>
      </c>
      <c r="M143" s="19"/>
      <c r="N143" s="19"/>
      <c r="O143" s="87">
        <f t="shared" si="53"/>
        <v>0</v>
      </c>
      <c r="Q143" s="294">
        <f t="shared" si="48"/>
        <v>43700</v>
      </c>
      <c r="R143" s="19">
        <f t="shared" si="65"/>
        <v>0</v>
      </c>
      <c r="S143" s="87">
        <f t="shared" si="65"/>
        <v>43700</v>
      </c>
    </row>
    <row r="144" spans="2:19" x14ac:dyDescent="0.2">
      <c r="B144" s="83">
        <f t="shared" si="54"/>
        <v>31</v>
      </c>
      <c r="C144" s="3"/>
      <c r="D144" s="3"/>
      <c r="E144" s="3"/>
      <c r="F144" s="26" t="s">
        <v>165</v>
      </c>
      <c r="G144" s="3">
        <v>635</v>
      </c>
      <c r="H144" s="3" t="s">
        <v>517</v>
      </c>
      <c r="I144" s="20">
        <v>9000</v>
      </c>
      <c r="J144" s="20"/>
      <c r="K144" s="20">
        <f t="shared" si="51"/>
        <v>9000</v>
      </c>
      <c r="M144" s="19"/>
      <c r="N144" s="19"/>
      <c r="O144" s="87">
        <f t="shared" si="53"/>
        <v>0</v>
      </c>
      <c r="Q144" s="294">
        <f t="shared" si="48"/>
        <v>9000</v>
      </c>
      <c r="R144" s="19">
        <f t="shared" si="65"/>
        <v>0</v>
      </c>
      <c r="S144" s="87">
        <f t="shared" si="65"/>
        <v>9000</v>
      </c>
    </row>
    <row r="145" spans="2:19" x14ac:dyDescent="0.2">
      <c r="B145" s="83">
        <f t="shared" si="54"/>
        <v>32</v>
      </c>
      <c r="C145" s="3"/>
      <c r="D145" s="3"/>
      <c r="E145" s="3"/>
      <c r="F145" s="26" t="s">
        <v>165</v>
      </c>
      <c r="G145" s="3">
        <v>635</v>
      </c>
      <c r="H145" s="3" t="s">
        <v>509</v>
      </c>
      <c r="I145" s="20">
        <v>81000</v>
      </c>
      <c r="J145" s="20"/>
      <c r="K145" s="20">
        <f t="shared" si="51"/>
        <v>81000</v>
      </c>
      <c r="M145" s="19"/>
      <c r="N145" s="19"/>
      <c r="O145" s="87">
        <f t="shared" si="53"/>
        <v>0</v>
      </c>
      <c r="Q145" s="294">
        <f t="shared" si="48"/>
        <v>81000</v>
      </c>
      <c r="R145" s="19">
        <f t="shared" si="65"/>
        <v>0</v>
      </c>
      <c r="S145" s="87">
        <f t="shared" si="65"/>
        <v>81000</v>
      </c>
    </row>
    <row r="146" spans="2:19" x14ac:dyDescent="0.2">
      <c r="B146" s="83">
        <f t="shared" si="54"/>
        <v>33</v>
      </c>
      <c r="C146" s="3"/>
      <c r="D146" s="3"/>
      <c r="E146" s="3"/>
      <c r="F146" s="26" t="s">
        <v>165</v>
      </c>
      <c r="G146" s="3">
        <v>637</v>
      </c>
      <c r="H146" s="3" t="s">
        <v>134</v>
      </c>
      <c r="I146" s="19">
        <f>7250+50-340-2500</f>
        <v>4460</v>
      </c>
      <c r="J146" s="19"/>
      <c r="K146" s="19">
        <f t="shared" si="51"/>
        <v>4460</v>
      </c>
      <c r="M146" s="19"/>
      <c r="N146" s="19"/>
      <c r="O146" s="87">
        <f t="shared" si="53"/>
        <v>0</v>
      </c>
      <c r="Q146" s="294">
        <f t="shared" ref="Q146:Q177" si="72">I146+M146</f>
        <v>4460</v>
      </c>
      <c r="R146" s="19">
        <f t="shared" ref="R146:S161" si="73">J146+N146</f>
        <v>0</v>
      </c>
      <c r="S146" s="87">
        <f t="shared" si="73"/>
        <v>4460</v>
      </c>
    </row>
    <row r="147" spans="2:19" x14ac:dyDescent="0.2">
      <c r="B147" s="83">
        <f t="shared" si="54"/>
        <v>34</v>
      </c>
      <c r="C147" s="7"/>
      <c r="D147" s="7"/>
      <c r="E147" s="7"/>
      <c r="F147" s="25" t="s">
        <v>208</v>
      </c>
      <c r="G147" s="7">
        <v>710</v>
      </c>
      <c r="H147" s="7" t="s">
        <v>188</v>
      </c>
      <c r="I147" s="23"/>
      <c r="J147" s="23"/>
      <c r="K147" s="23">
        <f t="shared" si="51"/>
        <v>0</v>
      </c>
      <c r="M147" s="23">
        <f>M148+M150</f>
        <v>211410</v>
      </c>
      <c r="N147" s="23">
        <f t="shared" ref="N147" si="74">N148+N150</f>
        <v>0</v>
      </c>
      <c r="O147" s="86">
        <f t="shared" si="53"/>
        <v>211410</v>
      </c>
      <c r="Q147" s="293">
        <f t="shared" si="72"/>
        <v>211410</v>
      </c>
      <c r="R147" s="23">
        <f t="shared" si="73"/>
        <v>0</v>
      </c>
      <c r="S147" s="86">
        <f t="shared" si="73"/>
        <v>211410</v>
      </c>
    </row>
    <row r="148" spans="2:19" x14ac:dyDescent="0.2">
      <c r="B148" s="83">
        <f t="shared" si="54"/>
        <v>35</v>
      </c>
      <c r="C148" s="3"/>
      <c r="D148" s="3"/>
      <c r="E148" s="3"/>
      <c r="F148" s="26" t="s">
        <v>208</v>
      </c>
      <c r="G148" s="3">
        <v>716</v>
      </c>
      <c r="H148" s="3" t="s">
        <v>232</v>
      </c>
      <c r="I148" s="19"/>
      <c r="J148" s="19"/>
      <c r="K148" s="19">
        <f t="shared" si="51"/>
        <v>0</v>
      </c>
      <c r="M148" s="19">
        <f>SUM(M149:M149)</f>
        <v>9600</v>
      </c>
      <c r="N148" s="19">
        <f t="shared" ref="N148" si="75">SUM(N149:N149)</f>
        <v>0</v>
      </c>
      <c r="O148" s="87">
        <f t="shared" si="53"/>
        <v>9600</v>
      </c>
      <c r="Q148" s="294">
        <f t="shared" si="72"/>
        <v>9600</v>
      </c>
      <c r="R148" s="19">
        <f t="shared" si="73"/>
        <v>0</v>
      </c>
      <c r="S148" s="87">
        <f t="shared" si="73"/>
        <v>9600</v>
      </c>
    </row>
    <row r="149" spans="2:19" x14ac:dyDescent="0.2">
      <c r="B149" s="83">
        <f t="shared" si="54"/>
        <v>36</v>
      </c>
      <c r="C149" s="4"/>
      <c r="D149" s="4"/>
      <c r="E149" s="4"/>
      <c r="F149" s="27"/>
      <c r="G149" s="4"/>
      <c r="H149" s="4" t="s">
        <v>328</v>
      </c>
      <c r="I149" s="21"/>
      <c r="J149" s="21"/>
      <c r="K149" s="21">
        <f t="shared" si="51"/>
        <v>0</v>
      </c>
      <c r="M149" s="21">
        <v>9600</v>
      </c>
      <c r="N149" s="21"/>
      <c r="O149" s="88">
        <f t="shared" si="53"/>
        <v>9600</v>
      </c>
      <c r="Q149" s="308">
        <f t="shared" si="72"/>
        <v>9600</v>
      </c>
      <c r="R149" s="21">
        <f t="shared" si="73"/>
        <v>0</v>
      </c>
      <c r="S149" s="88">
        <f t="shared" si="73"/>
        <v>9600</v>
      </c>
    </row>
    <row r="150" spans="2:19" x14ac:dyDescent="0.2">
      <c r="B150" s="83">
        <f t="shared" si="54"/>
        <v>37</v>
      </c>
      <c r="C150" s="3"/>
      <c r="D150" s="3"/>
      <c r="E150" s="3"/>
      <c r="F150" s="26" t="s">
        <v>208</v>
      </c>
      <c r="G150" s="3">
        <v>717</v>
      </c>
      <c r="H150" s="3" t="s">
        <v>198</v>
      </c>
      <c r="I150" s="19"/>
      <c r="J150" s="19"/>
      <c r="K150" s="19">
        <f t="shared" si="51"/>
        <v>0</v>
      </c>
      <c r="M150" s="19">
        <f>SUM(M151:M153)</f>
        <v>201810</v>
      </c>
      <c r="N150" s="19">
        <f t="shared" ref="N150" si="76">SUM(N151:N153)</f>
        <v>0</v>
      </c>
      <c r="O150" s="87">
        <f t="shared" si="53"/>
        <v>201810</v>
      </c>
      <c r="Q150" s="294">
        <f t="shared" si="72"/>
        <v>201810</v>
      </c>
      <c r="R150" s="19">
        <f t="shared" si="73"/>
        <v>0</v>
      </c>
      <c r="S150" s="87">
        <f t="shared" si="73"/>
        <v>201810</v>
      </c>
    </row>
    <row r="151" spans="2:19" x14ac:dyDescent="0.2">
      <c r="B151" s="83">
        <f t="shared" si="54"/>
        <v>38</v>
      </c>
      <c r="C151" s="4"/>
      <c r="D151" s="4"/>
      <c r="E151" s="4"/>
      <c r="F151" s="27"/>
      <c r="G151" s="4"/>
      <c r="H151" s="4" t="s">
        <v>327</v>
      </c>
      <c r="I151" s="21"/>
      <c r="J151" s="21"/>
      <c r="K151" s="21">
        <f t="shared" si="51"/>
        <v>0</v>
      </c>
      <c r="M151" s="21">
        <v>151810</v>
      </c>
      <c r="N151" s="21"/>
      <c r="O151" s="88">
        <f t="shared" si="53"/>
        <v>151810</v>
      </c>
      <c r="Q151" s="308">
        <f t="shared" si="72"/>
        <v>151810</v>
      </c>
      <c r="R151" s="21">
        <f t="shared" si="73"/>
        <v>0</v>
      </c>
      <c r="S151" s="88">
        <f t="shared" si="73"/>
        <v>151810</v>
      </c>
    </row>
    <row r="152" spans="2:19" x14ac:dyDescent="0.2">
      <c r="B152" s="83">
        <f t="shared" si="54"/>
        <v>39</v>
      </c>
      <c r="C152" s="4"/>
      <c r="D152" s="4"/>
      <c r="E152" s="4"/>
      <c r="F152" s="27"/>
      <c r="G152" s="4"/>
      <c r="H152" s="4" t="s">
        <v>329</v>
      </c>
      <c r="I152" s="21"/>
      <c r="J152" s="21"/>
      <c r="K152" s="21">
        <f t="shared" si="51"/>
        <v>0</v>
      </c>
      <c r="M152" s="22">
        <v>40000</v>
      </c>
      <c r="N152" s="22"/>
      <c r="O152" s="114">
        <f t="shared" si="53"/>
        <v>40000</v>
      </c>
      <c r="Q152" s="308">
        <f t="shared" si="72"/>
        <v>40000</v>
      </c>
      <c r="R152" s="21">
        <f t="shared" si="73"/>
        <v>0</v>
      </c>
      <c r="S152" s="88">
        <f t="shared" si="73"/>
        <v>40000</v>
      </c>
    </row>
    <row r="153" spans="2:19" x14ac:dyDescent="0.2">
      <c r="B153" s="83">
        <f t="shared" si="54"/>
        <v>40</v>
      </c>
      <c r="C153" s="4"/>
      <c r="D153" s="12"/>
      <c r="E153" s="4"/>
      <c r="F153" s="31"/>
      <c r="G153" s="4"/>
      <c r="H153" s="13" t="s">
        <v>512</v>
      </c>
      <c r="I153" s="21"/>
      <c r="J153" s="21"/>
      <c r="K153" s="21">
        <f t="shared" si="51"/>
        <v>0</v>
      </c>
      <c r="M153" s="21">
        <v>10000</v>
      </c>
      <c r="N153" s="21"/>
      <c r="O153" s="88">
        <f t="shared" si="53"/>
        <v>10000</v>
      </c>
      <c r="Q153" s="308">
        <f t="shared" si="72"/>
        <v>10000</v>
      </c>
      <c r="R153" s="21">
        <f t="shared" si="73"/>
        <v>0</v>
      </c>
      <c r="S153" s="88">
        <f t="shared" si="73"/>
        <v>10000</v>
      </c>
    </row>
    <row r="154" spans="2:19" ht="15" x14ac:dyDescent="0.25">
      <c r="B154" s="83">
        <f t="shared" si="54"/>
        <v>41</v>
      </c>
      <c r="C154" s="10"/>
      <c r="D154" s="10"/>
      <c r="E154" s="10">
        <v>2</v>
      </c>
      <c r="F154" s="28"/>
      <c r="G154" s="10"/>
      <c r="H154" s="10" t="s">
        <v>415</v>
      </c>
      <c r="I154" s="38">
        <f>I155</f>
        <v>11500</v>
      </c>
      <c r="J154" s="38">
        <f t="shared" ref="J154" si="77">J155</f>
        <v>0</v>
      </c>
      <c r="K154" s="38">
        <f t="shared" si="51"/>
        <v>11500</v>
      </c>
      <c r="M154" s="38">
        <v>0</v>
      </c>
      <c r="N154" s="38">
        <v>0</v>
      </c>
      <c r="O154" s="94">
        <f t="shared" si="53"/>
        <v>0</v>
      </c>
      <c r="Q154" s="307">
        <f t="shared" si="72"/>
        <v>11500</v>
      </c>
      <c r="R154" s="38">
        <f t="shared" si="73"/>
        <v>0</v>
      </c>
      <c r="S154" s="94">
        <f t="shared" si="73"/>
        <v>11500</v>
      </c>
    </row>
    <row r="155" spans="2:19" x14ac:dyDescent="0.2">
      <c r="B155" s="83">
        <f t="shared" si="54"/>
        <v>42</v>
      </c>
      <c r="C155" s="7"/>
      <c r="D155" s="7"/>
      <c r="E155" s="7"/>
      <c r="F155" s="25" t="s">
        <v>165</v>
      </c>
      <c r="G155" s="7">
        <v>630</v>
      </c>
      <c r="H155" s="7" t="s">
        <v>133</v>
      </c>
      <c r="I155" s="23">
        <f>SUM(I156:I157)</f>
        <v>11500</v>
      </c>
      <c r="J155" s="23">
        <f t="shared" ref="J155" si="78">SUM(J156:J157)</f>
        <v>0</v>
      </c>
      <c r="K155" s="23">
        <f t="shared" si="51"/>
        <v>11500</v>
      </c>
      <c r="M155" s="23"/>
      <c r="N155" s="23"/>
      <c r="O155" s="86">
        <f t="shared" si="53"/>
        <v>0</v>
      </c>
      <c r="Q155" s="293">
        <f t="shared" si="72"/>
        <v>11500</v>
      </c>
      <c r="R155" s="23">
        <f t="shared" si="73"/>
        <v>0</v>
      </c>
      <c r="S155" s="86">
        <f t="shared" si="73"/>
        <v>11500</v>
      </c>
    </row>
    <row r="156" spans="2:19" x14ac:dyDescent="0.2">
      <c r="B156" s="83">
        <f t="shared" si="54"/>
        <v>43</v>
      </c>
      <c r="C156" s="3"/>
      <c r="D156" s="3"/>
      <c r="E156" s="3"/>
      <c r="F156" s="26" t="s">
        <v>165</v>
      </c>
      <c r="G156" s="3">
        <v>632</v>
      </c>
      <c r="H156" s="3" t="s">
        <v>146</v>
      </c>
      <c r="I156" s="19">
        <f>12000-1500</f>
        <v>10500</v>
      </c>
      <c r="J156" s="19"/>
      <c r="K156" s="19">
        <f t="shared" si="51"/>
        <v>10500</v>
      </c>
      <c r="M156" s="19"/>
      <c r="N156" s="19"/>
      <c r="O156" s="87">
        <f t="shared" si="53"/>
        <v>0</v>
      </c>
      <c r="Q156" s="294">
        <f t="shared" si="72"/>
        <v>10500</v>
      </c>
      <c r="R156" s="19">
        <f t="shared" si="73"/>
        <v>0</v>
      </c>
      <c r="S156" s="87">
        <f t="shared" si="73"/>
        <v>10500</v>
      </c>
    </row>
    <row r="157" spans="2:19" x14ac:dyDescent="0.2">
      <c r="B157" s="83">
        <f t="shared" si="54"/>
        <v>44</v>
      </c>
      <c r="C157" s="3"/>
      <c r="D157" s="3"/>
      <c r="E157" s="3"/>
      <c r="F157" s="26" t="s">
        <v>165</v>
      </c>
      <c r="G157" s="3">
        <v>635</v>
      </c>
      <c r="H157" s="3" t="s">
        <v>145</v>
      </c>
      <c r="I157" s="19">
        <v>1000</v>
      </c>
      <c r="J157" s="19"/>
      <c r="K157" s="19">
        <f t="shared" si="51"/>
        <v>1000</v>
      </c>
      <c r="M157" s="19"/>
      <c r="N157" s="19"/>
      <c r="O157" s="87">
        <f t="shared" si="53"/>
        <v>0</v>
      </c>
      <c r="Q157" s="294">
        <f t="shared" si="72"/>
        <v>1000</v>
      </c>
      <c r="R157" s="19">
        <f t="shared" si="73"/>
        <v>0</v>
      </c>
      <c r="S157" s="87">
        <f t="shared" si="73"/>
        <v>1000</v>
      </c>
    </row>
    <row r="158" spans="2:19" ht="15" x14ac:dyDescent="0.2">
      <c r="B158" s="83">
        <f t="shared" si="54"/>
        <v>45</v>
      </c>
      <c r="C158" s="268">
        <v>5</v>
      </c>
      <c r="D158" s="360" t="s">
        <v>164</v>
      </c>
      <c r="E158" s="361"/>
      <c r="F158" s="361"/>
      <c r="G158" s="361"/>
      <c r="H158" s="362"/>
      <c r="I158" s="36">
        <f>I159+I160+I161+I166+I168+I169+I171</f>
        <v>3491398</v>
      </c>
      <c r="J158" s="36">
        <f t="shared" ref="J158" si="79">J159+J160+J161+J166+J168+J169+J171</f>
        <v>0</v>
      </c>
      <c r="K158" s="36">
        <f t="shared" si="51"/>
        <v>3491398</v>
      </c>
      <c r="M158" s="36">
        <f>M171</f>
        <v>12500</v>
      </c>
      <c r="N158" s="36">
        <f t="shared" ref="N158" si="80">N171</f>
        <v>0</v>
      </c>
      <c r="O158" s="84">
        <f t="shared" si="53"/>
        <v>12500</v>
      </c>
      <c r="Q158" s="291">
        <f t="shared" si="72"/>
        <v>3503898</v>
      </c>
      <c r="R158" s="36">
        <f t="shared" si="73"/>
        <v>0</v>
      </c>
      <c r="S158" s="84">
        <f t="shared" si="73"/>
        <v>3503898</v>
      </c>
    </row>
    <row r="159" spans="2:19" x14ac:dyDescent="0.2">
      <c r="B159" s="83">
        <f t="shared" si="54"/>
        <v>46</v>
      </c>
      <c r="C159" s="7"/>
      <c r="D159" s="7"/>
      <c r="E159" s="7"/>
      <c r="F159" s="25" t="s">
        <v>81</v>
      </c>
      <c r="G159" s="7">
        <v>610</v>
      </c>
      <c r="H159" s="7" t="s">
        <v>143</v>
      </c>
      <c r="I159" s="23">
        <f>1980000+8650-34300+650</f>
        <v>1955000</v>
      </c>
      <c r="J159" s="23"/>
      <c r="K159" s="23">
        <f t="shared" si="51"/>
        <v>1955000</v>
      </c>
      <c r="M159" s="23"/>
      <c r="N159" s="23"/>
      <c r="O159" s="86">
        <f t="shared" si="53"/>
        <v>0</v>
      </c>
      <c r="Q159" s="293">
        <f t="shared" si="72"/>
        <v>1955000</v>
      </c>
      <c r="R159" s="23">
        <f t="shared" si="73"/>
        <v>0</v>
      </c>
      <c r="S159" s="86">
        <f t="shared" si="73"/>
        <v>1955000</v>
      </c>
    </row>
    <row r="160" spans="2:19" x14ac:dyDescent="0.2">
      <c r="B160" s="83">
        <f t="shared" si="54"/>
        <v>47</v>
      </c>
      <c r="C160" s="7"/>
      <c r="D160" s="7"/>
      <c r="E160" s="7"/>
      <c r="F160" s="25" t="s">
        <v>81</v>
      </c>
      <c r="G160" s="7">
        <v>620</v>
      </c>
      <c r="H160" s="7" t="s">
        <v>136</v>
      </c>
      <c r="I160" s="23">
        <f>790000+3055-13000+45-100</f>
        <v>780000</v>
      </c>
      <c r="J160" s="23"/>
      <c r="K160" s="23">
        <f t="shared" si="51"/>
        <v>780000</v>
      </c>
      <c r="M160" s="23"/>
      <c r="N160" s="23"/>
      <c r="O160" s="86">
        <f t="shared" si="53"/>
        <v>0</v>
      </c>
      <c r="Q160" s="293">
        <f t="shared" si="72"/>
        <v>780000</v>
      </c>
      <c r="R160" s="23">
        <f t="shared" si="73"/>
        <v>0</v>
      </c>
      <c r="S160" s="86">
        <f t="shared" si="73"/>
        <v>780000</v>
      </c>
    </row>
    <row r="161" spans="2:19" x14ac:dyDescent="0.2">
      <c r="B161" s="83">
        <f t="shared" si="54"/>
        <v>48</v>
      </c>
      <c r="C161" s="7"/>
      <c r="D161" s="7"/>
      <c r="E161" s="7"/>
      <c r="F161" s="25" t="s">
        <v>81</v>
      </c>
      <c r="G161" s="7">
        <v>630</v>
      </c>
      <c r="H161" s="7" t="s">
        <v>133</v>
      </c>
      <c r="I161" s="23">
        <f>SUM(I162:I165)</f>
        <v>490063</v>
      </c>
      <c r="J161" s="23">
        <f t="shared" ref="J161" si="81">SUM(J162:J165)</f>
        <v>0</v>
      </c>
      <c r="K161" s="23">
        <f t="shared" si="51"/>
        <v>490063</v>
      </c>
      <c r="M161" s="23"/>
      <c r="N161" s="23"/>
      <c r="O161" s="86">
        <f t="shared" si="53"/>
        <v>0</v>
      </c>
      <c r="Q161" s="293">
        <f t="shared" si="72"/>
        <v>490063</v>
      </c>
      <c r="R161" s="23">
        <f t="shared" si="73"/>
        <v>0</v>
      </c>
      <c r="S161" s="86">
        <f t="shared" si="73"/>
        <v>490063</v>
      </c>
    </row>
    <row r="162" spans="2:19" x14ac:dyDescent="0.2">
      <c r="B162" s="83">
        <f t="shared" si="54"/>
        <v>49</v>
      </c>
      <c r="C162" s="3"/>
      <c r="D162" s="3"/>
      <c r="E162" s="3"/>
      <c r="F162" s="26" t="s">
        <v>81</v>
      </c>
      <c r="G162" s="3">
        <v>632</v>
      </c>
      <c r="H162" s="3" t="s">
        <v>146</v>
      </c>
      <c r="I162" s="19">
        <v>177350</v>
      </c>
      <c r="J162" s="19"/>
      <c r="K162" s="19">
        <f t="shared" si="51"/>
        <v>177350</v>
      </c>
      <c r="M162" s="19"/>
      <c r="N162" s="19"/>
      <c r="O162" s="87">
        <f t="shared" si="53"/>
        <v>0</v>
      </c>
      <c r="Q162" s="294">
        <f t="shared" si="72"/>
        <v>177350</v>
      </c>
      <c r="R162" s="19">
        <f t="shared" ref="R162:S177" si="82">J162+N162</f>
        <v>0</v>
      </c>
      <c r="S162" s="87">
        <f t="shared" si="82"/>
        <v>177350</v>
      </c>
    </row>
    <row r="163" spans="2:19" x14ac:dyDescent="0.2">
      <c r="B163" s="83">
        <f t="shared" si="54"/>
        <v>50</v>
      </c>
      <c r="C163" s="3"/>
      <c r="D163" s="3"/>
      <c r="E163" s="3"/>
      <c r="F163" s="26" t="s">
        <v>81</v>
      </c>
      <c r="G163" s="3">
        <v>633</v>
      </c>
      <c r="H163" s="3" t="s">
        <v>137</v>
      </c>
      <c r="I163" s="19">
        <f>18000+7000-3000+728-15</f>
        <v>22713</v>
      </c>
      <c r="J163" s="19"/>
      <c r="K163" s="19">
        <f t="shared" si="51"/>
        <v>22713</v>
      </c>
      <c r="M163" s="19"/>
      <c r="N163" s="19"/>
      <c r="O163" s="87">
        <f t="shared" si="53"/>
        <v>0</v>
      </c>
      <c r="Q163" s="294">
        <f t="shared" si="72"/>
        <v>22713</v>
      </c>
      <c r="R163" s="19">
        <f t="shared" si="82"/>
        <v>0</v>
      </c>
      <c r="S163" s="87">
        <f t="shared" si="82"/>
        <v>22713</v>
      </c>
    </row>
    <row r="164" spans="2:19" x14ac:dyDescent="0.2">
      <c r="B164" s="83">
        <f t="shared" si="54"/>
        <v>51</v>
      </c>
      <c r="C164" s="3"/>
      <c r="D164" s="3"/>
      <c r="E164" s="3"/>
      <c r="F164" s="26" t="s">
        <v>81</v>
      </c>
      <c r="G164" s="3">
        <v>635</v>
      </c>
      <c r="H164" s="3" t="s">
        <v>145</v>
      </c>
      <c r="I164" s="19">
        <v>50000</v>
      </c>
      <c r="J164" s="19"/>
      <c r="K164" s="19">
        <f t="shared" si="51"/>
        <v>50000</v>
      </c>
      <c r="M164" s="19"/>
      <c r="N164" s="19"/>
      <c r="O164" s="87">
        <f t="shared" si="53"/>
        <v>0</v>
      </c>
      <c r="Q164" s="294">
        <f t="shared" si="72"/>
        <v>50000</v>
      </c>
      <c r="R164" s="19">
        <f t="shared" si="82"/>
        <v>0</v>
      </c>
      <c r="S164" s="87">
        <f t="shared" si="82"/>
        <v>50000</v>
      </c>
    </row>
    <row r="165" spans="2:19" x14ac:dyDescent="0.2">
      <c r="B165" s="83">
        <f t="shared" si="54"/>
        <v>52</v>
      </c>
      <c r="C165" s="3"/>
      <c r="D165" s="3"/>
      <c r="E165" s="3"/>
      <c r="F165" s="26" t="s">
        <v>81</v>
      </c>
      <c r="G165" s="3">
        <v>637</v>
      </c>
      <c r="H165" s="3" t="s">
        <v>134</v>
      </c>
      <c r="I165" s="19">
        <v>240000</v>
      </c>
      <c r="J165" s="19"/>
      <c r="K165" s="19">
        <f t="shared" si="51"/>
        <v>240000</v>
      </c>
      <c r="M165" s="19"/>
      <c r="N165" s="19"/>
      <c r="O165" s="87">
        <f t="shared" si="53"/>
        <v>0</v>
      </c>
      <c r="Q165" s="294">
        <f t="shared" si="72"/>
        <v>240000</v>
      </c>
      <c r="R165" s="19">
        <f t="shared" si="82"/>
        <v>0</v>
      </c>
      <c r="S165" s="87">
        <f t="shared" si="82"/>
        <v>240000</v>
      </c>
    </row>
    <row r="166" spans="2:19" x14ac:dyDescent="0.2">
      <c r="B166" s="83">
        <f t="shared" si="54"/>
        <v>53</v>
      </c>
      <c r="C166" s="7"/>
      <c r="D166" s="7"/>
      <c r="E166" s="7"/>
      <c r="F166" s="25" t="s">
        <v>263</v>
      </c>
      <c r="G166" s="7">
        <v>630</v>
      </c>
      <c r="H166" s="7" t="s">
        <v>133</v>
      </c>
      <c r="I166" s="23">
        <f>I167</f>
        <v>15000</v>
      </c>
      <c r="J166" s="23">
        <f t="shared" ref="J166" si="83">J167</f>
        <v>0</v>
      </c>
      <c r="K166" s="23">
        <f t="shared" si="51"/>
        <v>15000</v>
      </c>
      <c r="M166" s="23"/>
      <c r="N166" s="23"/>
      <c r="O166" s="86">
        <f t="shared" si="53"/>
        <v>0</v>
      </c>
      <c r="Q166" s="293">
        <f t="shared" si="72"/>
        <v>15000</v>
      </c>
      <c r="R166" s="23">
        <f t="shared" si="82"/>
        <v>0</v>
      </c>
      <c r="S166" s="86">
        <f t="shared" si="82"/>
        <v>15000</v>
      </c>
    </row>
    <row r="167" spans="2:19" x14ac:dyDescent="0.2">
      <c r="B167" s="83">
        <f t="shared" si="54"/>
        <v>54</v>
      </c>
      <c r="C167" s="3"/>
      <c r="D167" s="3"/>
      <c r="E167" s="3"/>
      <c r="F167" s="26" t="s">
        <v>263</v>
      </c>
      <c r="G167" s="3">
        <v>637</v>
      </c>
      <c r="H167" s="3" t="s">
        <v>134</v>
      </c>
      <c r="I167" s="19">
        <v>15000</v>
      </c>
      <c r="J167" s="19"/>
      <c r="K167" s="19">
        <f t="shared" si="51"/>
        <v>15000</v>
      </c>
      <c r="M167" s="19"/>
      <c r="N167" s="19"/>
      <c r="O167" s="87">
        <f t="shared" si="53"/>
        <v>0</v>
      </c>
      <c r="Q167" s="294">
        <f t="shared" si="72"/>
        <v>15000</v>
      </c>
      <c r="R167" s="19">
        <f t="shared" si="82"/>
        <v>0</v>
      </c>
      <c r="S167" s="87">
        <f t="shared" si="82"/>
        <v>15000</v>
      </c>
    </row>
    <row r="168" spans="2:19" x14ac:dyDescent="0.2">
      <c r="B168" s="83">
        <f t="shared" si="54"/>
        <v>55</v>
      </c>
      <c r="C168" s="7"/>
      <c r="D168" s="7"/>
      <c r="E168" s="7"/>
      <c r="F168" s="25" t="s">
        <v>224</v>
      </c>
      <c r="G168" s="7">
        <v>650</v>
      </c>
      <c r="H168" s="7" t="s">
        <v>365</v>
      </c>
      <c r="I168" s="23">
        <v>230000</v>
      </c>
      <c r="J168" s="23"/>
      <c r="K168" s="23">
        <f t="shared" si="51"/>
        <v>230000</v>
      </c>
      <c r="M168" s="23"/>
      <c r="N168" s="23"/>
      <c r="O168" s="86">
        <f t="shared" si="53"/>
        <v>0</v>
      </c>
      <c r="Q168" s="293">
        <f t="shared" si="72"/>
        <v>230000</v>
      </c>
      <c r="R168" s="23">
        <f t="shared" si="82"/>
        <v>0</v>
      </c>
      <c r="S168" s="86">
        <f t="shared" si="82"/>
        <v>230000</v>
      </c>
    </row>
    <row r="169" spans="2:19" x14ac:dyDescent="0.2">
      <c r="B169" s="83">
        <f t="shared" si="54"/>
        <v>56</v>
      </c>
      <c r="C169" s="7"/>
      <c r="D169" s="7"/>
      <c r="E169" s="7"/>
      <c r="F169" s="25" t="s">
        <v>81</v>
      </c>
      <c r="G169" s="7">
        <v>640</v>
      </c>
      <c r="H169" s="7" t="s">
        <v>141</v>
      </c>
      <c r="I169" s="23">
        <f>I170</f>
        <v>21335</v>
      </c>
      <c r="J169" s="23">
        <f t="shared" ref="J169" si="84">J170</f>
        <v>0</v>
      </c>
      <c r="K169" s="23">
        <f t="shared" si="51"/>
        <v>21335</v>
      </c>
      <c r="M169" s="23"/>
      <c r="N169" s="23"/>
      <c r="O169" s="86">
        <f t="shared" si="53"/>
        <v>0</v>
      </c>
      <c r="Q169" s="293">
        <f t="shared" si="72"/>
        <v>21335</v>
      </c>
      <c r="R169" s="23">
        <f t="shared" si="82"/>
        <v>0</v>
      </c>
      <c r="S169" s="86">
        <f t="shared" si="82"/>
        <v>21335</v>
      </c>
    </row>
    <row r="170" spans="2:19" x14ac:dyDescent="0.2">
      <c r="B170" s="83">
        <f t="shared" si="54"/>
        <v>57</v>
      </c>
      <c r="C170" s="3"/>
      <c r="D170" s="3"/>
      <c r="E170" s="3"/>
      <c r="F170" s="26" t="s">
        <v>81</v>
      </c>
      <c r="G170" s="3">
        <v>642</v>
      </c>
      <c r="H170" s="3" t="s">
        <v>142</v>
      </c>
      <c r="I170" s="19">
        <f>20000+1335</f>
        <v>21335</v>
      </c>
      <c r="J170" s="19"/>
      <c r="K170" s="19">
        <f t="shared" si="51"/>
        <v>21335</v>
      </c>
      <c r="M170" s="19"/>
      <c r="N170" s="19"/>
      <c r="O170" s="87">
        <f t="shared" si="53"/>
        <v>0</v>
      </c>
      <c r="Q170" s="294">
        <f t="shared" si="72"/>
        <v>21335</v>
      </c>
      <c r="R170" s="19">
        <f t="shared" si="82"/>
        <v>0</v>
      </c>
      <c r="S170" s="87">
        <f t="shared" si="82"/>
        <v>21335</v>
      </c>
    </row>
    <row r="171" spans="2:19" x14ac:dyDescent="0.2">
      <c r="B171" s="83">
        <f t="shared" si="54"/>
        <v>58</v>
      </c>
      <c r="C171" s="7"/>
      <c r="D171" s="7"/>
      <c r="E171" s="7"/>
      <c r="F171" s="25" t="s">
        <v>81</v>
      </c>
      <c r="G171" s="7">
        <v>710</v>
      </c>
      <c r="H171" s="7" t="s">
        <v>188</v>
      </c>
      <c r="I171" s="23"/>
      <c r="J171" s="23"/>
      <c r="K171" s="23">
        <f t="shared" si="51"/>
        <v>0</v>
      </c>
      <c r="M171" s="23">
        <f>M172</f>
        <v>12500</v>
      </c>
      <c r="N171" s="23">
        <f t="shared" ref="N171" si="85">N172</f>
        <v>0</v>
      </c>
      <c r="O171" s="86">
        <f t="shared" si="53"/>
        <v>12500</v>
      </c>
      <c r="Q171" s="293">
        <f t="shared" si="72"/>
        <v>12500</v>
      </c>
      <c r="R171" s="23">
        <f t="shared" si="82"/>
        <v>0</v>
      </c>
      <c r="S171" s="86">
        <f t="shared" si="82"/>
        <v>12500</v>
      </c>
    </row>
    <row r="172" spans="2:19" x14ac:dyDescent="0.2">
      <c r="B172" s="83">
        <f t="shared" si="54"/>
        <v>59</v>
      </c>
      <c r="C172" s="4"/>
      <c r="D172" s="12"/>
      <c r="E172" s="4"/>
      <c r="F172" s="26" t="s">
        <v>81</v>
      </c>
      <c r="G172" s="3">
        <v>717</v>
      </c>
      <c r="H172" s="32" t="s">
        <v>198</v>
      </c>
      <c r="I172" s="21"/>
      <c r="J172" s="21"/>
      <c r="K172" s="21">
        <f t="shared" si="51"/>
        <v>0</v>
      </c>
      <c r="M172" s="39">
        <f>SUM(M173:M173)</f>
        <v>12500</v>
      </c>
      <c r="N172" s="39">
        <f t="shared" ref="N172" si="86">SUM(N173:N173)</f>
        <v>0</v>
      </c>
      <c r="O172" s="323">
        <f t="shared" si="53"/>
        <v>12500</v>
      </c>
      <c r="Q172" s="308">
        <f t="shared" si="72"/>
        <v>12500</v>
      </c>
      <c r="R172" s="21">
        <f t="shared" si="82"/>
        <v>0</v>
      </c>
      <c r="S172" s="88">
        <f t="shared" si="82"/>
        <v>12500</v>
      </c>
    </row>
    <row r="173" spans="2:19" x14ac:dyDescent="0.2">
      <c r="B173" s="83">
        <f t="shared" si="54"/>
        <v>60</v>
      </c>
      <c r="C173" s="4"/>
      <c r="D173" s="12"/>
      <c r="E173" s="4"/>
      <c r="F173" s="27"/>
      <c r="G173" s="4"/>
      <c r="H173" s="13" t="s">
        <v>382</v>
      </c>
      <c r="I173" s="21"/>
      <c r="J173" s="21"/>
      <c r="K173" s="21">
        <f t="shared" si="51"/>
        <v>0</v>
      </c>
      <c r="M173" s="21">
        <v>12500</v>
      </c>
      <c r="N173" s="21"/>
      <c r="O173" s="88">
        <f t="shared" si="53"/>
        <v>12500</v>
      </c>
      <c r="Q173" s="308">
        <f t="shared" si="72"/>
        <v>12500</v>
      </c>
      <c r="R173" s="21">
        <f t="shared" si="82"/>
        <v>0</v>
      </c>
      <c r="S173" s="88">
        <f t="shared" si="82"/>
        <v>12500</v>
      </c>
    </row>
    <row r="174" spans="2:19" ht="15" x14ac:dyDescent="0.2">
      <c r="B174" s="83">
        <f t="shared" si="54"/>
        <v>61</v>
      </c>
      <c r="C174" s="268">
        <v>6</v>
      </c>
      <c r="D174" s="360" t="s">
        <v>286</v>
      </c>
      <c r="E174" s="361"/>
      <c r="F174" s="361"/>
      <c r="G174" s="361"/>
      <c r="H174" s="362"/>
      <c r="I174" s="36">
        <f>I175+I177</f>
        <v>10500</v>
      </c>
      <c r="J174" s="36">
        <f t="shared" ref="J174" si="87">J175+J177</f>
        <v>0</v>
      </c>
      <c r="K174" s="36">
        <f t="shared" si="51"/>
        <v>10500</v>
      </c>
      <c r="M174" s="36">
        <v>0</v>
      </c>
      <c r="N174" s="36">
        <v>0</v>
      </c>
      <c r="O174" s="84">
        <f t="shared" si="53"/>
        <v>0</v>
      </c>
      <c r="Q174" s="291">
        <f t="shared" si="72"/>
        <v>10500</v>
      </c>
      <c r="R174" s="36">
        <f t="shared" si="82"/>
        <v>0</v>
      </c>
      <c r="S174" s="84">
        <f t="shared" si="82"/>
        <v>10500</v>
      </c>
    </row>
    <row r="175" spans="2:19" x14ac:dyDescent="0.2">
      <c r="B175" s="83">
        <f t="shared" si="54"/>
        <v>62</v>
      </c>
      <c r="C175" s="7"/>
      <c r="D175" s="7"/>
      <c r="E175" s="7"/>
      <c r="F175" s="25" t="s">
        <v>81</v>
      </c>
      <c r="G175" s="7">
        <v>630</v>
      </c>
      <c r="H175" s="7" t="s">
        <v>133</v>
      </c>
      <c r="I175" s="23">
        <f>I176</f>
        <v>3000</v>
      </c>
      <c r="J175" s="23">
        <f t="shared" ref="J175" si="88">J176</f>
        <v>0</v>
      </c>
      <c r="K175" s="23">
        <f t="shared" si="51"/>
        <v>3000</v>
      </c>
      <c r="M175" s="23"/>
      <c r="N175" s="23"/>
      <c r="O175" s="86">
        <f t="shared" si="53"/>
        <v>0</v>
      </c>
      <c r="Q175" s="293">
        <f t="shared" si="72"/>
        <v>3000</v>
      </c>
      <c r="R175" s="23">
        <f t="shared" si="82"/>
        <v>0</v>
      </c>
      <c r="S175" s="86">
        <f t="shared" si="82"/>
        <v>3000</v>
      </c>
    </row>
    <row r="176" spans="2:19" x14ac:dyDescent="0.2">
      <c r="B176" s="83">
        <f t="shared" si="54"/>
        <v>63</v>
      </c>
      <c r="C176" s="3"/>
      <c r="D176" s="3"/>
      <c r="E176" s="3"/>
      <c r="F176" s="26" t="s">
        <v>81</v>
      </c>
      <c r="G176" s="3">
        <v>631</v>
      </c>
      <c r="H176" s="3" t="s">
        <v>139</v>
      </c>
      <c r="I176" s="19">
        <v>3000</v>
      </c>
      <c r="J176" s="19"/>
      <c r="K176" s="19">
        <f t="shared" si="51"/>
        <v>3000</v>
      </c>
      <c r="M176" s="19"/>
      <c r="N176" s="19"/>
      <c r="O176" s="87">
        <f t="shared" si="53"/>
        <v>0</v>
      </c>
      <c r="Q176" s="294">
        <f t="shared" si="72"/>
        <v>3000</v>
      </c>
      <c r="R176" s="19">
        <f t="shared" si="82"/>
        <v>0</v>
      </c>
      <c r="S176" s="87">
        <f t="shared" si="82"/>
        <v>3000</v>
      </c>
    </row>
    <row r="177" spans="2:19" x14ac:dyDescent="0.2">
      <c r="B177" s="83">
        <f t="shared" si="54"/>
        <v>64</v>
      </c>
      <c r="C177" s="7"/>
      <c r="D177" s="7"/>
      <c r="E177" s="7"/>
      <c r="F177" s="25" t="s">
        <v>170</v>
      </c>
      <c r="G177" s="7">
        <v>630</v>
      </c>
      <c r="H177" s="7" t="s">
        <v>133</v>
      </c>
      <c r="I177" s="23">
        <f>I178</f>
        <v>7500</v>
      </c>
      <c r="J177" s="23">
        <f t="shared" ref="J177" si="89">J178</f>
        <v>0</v>
      </c>
      <c r="K177" s="23">
        <f t="shared" si="51"/>
        <v>7500</v>
      </c>
      <c r="M177" s="23"/>
      <c r="N177" s="23"/>
      <c r="O177" s="86">
        <f t="shared" si="53"/>
        <v>0</v>
      </c>
      <c r="Q177" s="293">
        <f t="shared" si="72"/>
        <v>7500</v>
      </c>
      <c r="R177" s="23">
        <f t="shared" si="82"/>
        <v>0</v>
      </c>
      <c r="S177" s="86">
        <f t="shared" si="82"/>
        <v>7500</v>
      </c>
    </row>
    <row r="178" spans="2:19" x14ac:dyDescent="0.2">
      <c r="B178" s="83">
        <f t="shared" si="54"/>
        <v>65</v>
      </c>
      <c r="C178" s="3"/>
      <c r="D178" s="3"/>
      <c r="E178" s="3"/>
      <c r="F178" s="26" t="s">
        <v>170</v>
      </c>
      <c r="G178" s="3">
        <v>637</v>
      </c>
      <c r="H178" s="3" t="s">
        <v>134</v>
      </c>
      <c r="I178" s="19">
        <v>7500</v>
      </c>
      <c r="J178" s="19"/>
      <c r="K178" s="19">
        <f t="shared" si="51"/>
        <v>7500</v>
      </c>
      <c r="M178" s="19"/>
      <c r="N178" s="19"/>
      <c r="O178" s="87">
        <f t="shared" si="53"/>
        <v>0</v>
      </c>
      <c r="Q178" s="294">
        <f t="shared" ref="Q178:Q198" si="90">I178+M178</f>
        <v>7500</v>
      </c>
      <c r="R178" s="19">
        <f t="shared" ref="R178:S193" si="91">J178+N178</f>
        <v>0</v>
      </c>
      <c r="S178" s="87">
        <f t="shared" si="91"/>
        <v>7500</v>
      </c>
    </row>
    <row r="179" spans="2:19" ht="15" x14ac:dyDescent="0.2">
      <c r="B179" s="83">
        <f t="shared" si="54"/>
        <v>66</v>
      </c>
      <c r="C179" s="268">
        <v>7</v>
      </c>
      <c r="D179" s="360" t="s">
        <v>147</v>
      </c>
      <c r="E179" s="361"/>
      <c r="F179" s="361"/>
      <c r="G179" s="361"/>
      <c r="H179" s="362"/>
      <c r="I179" s="36">
        <f>I180+I186</f>
        <v>168900</v>
      </c>
      <c r="J179" s="36">
        <f t="shared" ref="J179" si="92">J180+J186</f>
        <v>0</v>
      </c>
      <c r="K179" s="36">
        <f t="shared" ref="K179:K198" si="93">I179+J179</f>
        <v>168900</v>
      </c>
      <c r="M179" s="36">
        <f>M186</f>
        <v>105002</v>
      </c>
      <c r="N179" s="36">
        <f t="shared" ref="N179" si="94">N186</f>
        <v>0</v>
      </c>
      <c r="O179" s="84">
        <f t="shared" ref="O179:O198" si="95">M179+N179</f>
        <v>105002</v>
      </c>
      <c r="Q179" s="291">
        <f t="shared" si="90"/>
        <v>273902</v>
      </c>
      <c r="R179" s="36">
        <f t="shared" si="91"/>
        <v>0</v>
      </c>
      <c r="S179" s="84">
        <f t="shared" si="91"/>
        <v>273902</v>
      </c>
    </row>
    <row r="180" spans="2:19" x14ac:dyDescent="0.2">
      <c r="B180" s="83">
        <f t="shared" si="54"/>
        <v>67</v>
      </c>
      <c r="C180" s="7"/>
      <c r="D180" s="7"/>
      <c r="E180" s="7"/>
      <c r="F180" s="25" t="s">
        <v>81</v>
      </c>
      <c r="G180" s="7">
        <v>630</v>
      </c>
      <c r="H180" s="7" t="s">
        <v>133</v>
      </c>
      <c r="I180" s="23">
        <f>SUM(I181:I185)</f>
        <v>168900</v>
      </c>
      <c r="J180" s="23">
        <f t="shared" ref="J180" si="96">SUM(J181:J185)</f>
        <v>0</v>
      </c>
      <c r="K180" s="23">
        <f t="shared" si="93"/>
        <v>168900</v>
      </c>
      <c r="M180" s="23"/>
      <c r="N180" s="23"/>
      <c r="O180" s="86">
        <f t="shared" si="95"/>
        <v>0</v>
      </c>
      <c r="Q180" s="293">
        <f t="shared" si="90"/>
        <v>168900</v>
      </c>
      <c r="R180" s="23">
        <f t="shared" si="91"/>
        <v>0</v>
      </c>
      <c r="S180" s="86">
        <f t="shared" si="91"/>
        <v>168900</v>
      </c>
    </row>
    <row r="181" spans="2:19" x14ac:dyDescent="0.2">
      <c r="B181" s="83">
        <f t="shared" ref="B181:B198" si="97">B180+1</f>
        <v>68</v>
      </c>
      <c r="C181" s="3"/>
      <c r="D181" s="3"/>
      <c r="E181" s="3"/>
      <c r="F181" s="26" t="s">
        <v>81</v>
      </c>
      <c r="G181" s="3">
        <v>632</v>
      </c>
      <c r="H181" s="3" t="s">
        <v>146</v>
      </c>
      <c r="I181" s="19">
        <v>3700</v>
      </c>
      <c r="J181" s="19"/>
      <c r="K181" s="19">
        <f t="shared" si="93"/>
        <v>3700</v>
      </c>
      <c r="M181" s="19"/>
      <c r="N181" s="19"/>
      <c r="O181" s="87">
        <f t="shared" si="95"/>
        <v>0</v>
      </c>
      <c r="Q181" s="294">
        <f t="shared" si="90"/>
        <v>3700</v>
      </c>
      <c r="R181" s="19">
        <f t="shared" si="91"/>
        <v>0</v>
      </c>
      <c r="S181" s="87">
        <f t="shared" si="91"/>
        <v>3700</v>
      </c>
    </row>
    <row r="182" spans="2:19" x14ac:dyDescent="0.2">
      <c r="B182" s="83">
        <f t="shared" si="97"/>
        <v>69</v>
      </c>
      <c r="C182" s="3"/>
      <c r="D182" s="3"/>
      <c r="E182" s="3"/>
      <c r="F182" s="26" t="s">
        <v>81</v>
      </c>
      <c r="G182" s="3">
        <v>633</v>
      </c>
      <c r="H182" s="3" t="s">
        <v>137</v>
      </c>
      <c r="I182" s="19">
        <v>19000</v>
      </c>
      <c r="J182" s="19"/>
      <c r="K182" s="19">
        <f t="shared" si="93"/>
        <v>19000</v>
      </c>
      <c r="M182" s="19"/>
      <c r="N182" s="19"/>
      <c r="O182" s="87">
        <f t="shared" si="95"/>
        <v>0</v>
      </c>
      <c r="Q182" s="294">
        <f t="shared" si="90"/>
        <v>19000</v>
      </c>
      <c r="R182" s="19">
        <f t="shared" si="91"/>
        <v>0</v>
      </c>
      <c r="S182" s="87">
        <f t="shared" si="91"/>
        <v>19000</v>
      </c>
    </row>
    <row r="183" spans="2:19" x14ac:dyDescent="0.2">
      <c r="B183" s="83">
        <f t="shared" si="97"/>
        <v>70</v>
      </c>
      <c r="C183" s="3"/>
      <c r="D183" s="3"/>
      <c r="E183" s="3"/>
      <c r="F183" s="26" t="s">
        <v>81</v>
      </c>
      <c r="G183" s="3">
        <v>635</v>
      </c>
      <c r="H183" s="3" t="s">
        <v>145</v>
      </c>
      <c r="I183" s="19">
        <f>122200-12000</f>
        <v>110200</v>
      </c>
      <c r="J183" s="19"/>
      <c r="K183" s="19">
        <f t="shared" si="93"/>
        <v>110200</v>
      </c>
      <c r="M183" s="19"/>
      <c r="N183" s="19"/>
      <c r="O183" s="87">
        <f t="shared" si="95"/>
        <v>0</v>
      </c>
      <c r="Q183" s="294">
        <f t="shared" si="90"/>
        <v>110200</v>
      </c>
      <c r="R183" s="19">
        <f t="shared" si="91"/>
        <v>0</v>
      </c>
      <c r="S183" s="87">
        <f t="shared" si="91"/>
        <v>110200</v>
      </c>
    </row>
    <row r="184" spans="2:19" x14ac:dyDescent="0.2">
      <c r="B184" s="83">
        <f t="shared" si="97"/>
        <v>71</v>
      </c>
      <c r="C184" s="3"/>
      <c r="D184" s="3"/>
      <c r="E184" s="3"/>
      <c r="F184" s="26" t="s">
        <v>81</v>
      </c>
      <c r="G184" s="3">
        <v>636</v>
      </c>
      <c r="H184" s="3" t="s">
        <v>138</v>
      </c>
      <c r="I184" s="19">
        <v>18000</v>
      </c>
      <c r="J184" s="19"/>
      <c r="K184" s="19">
        <f t="shared" si="93"/>
        <v>18000</v>
      </c>
      <c r="M184" s="19"/>
      <c r="N184" s="19"/>
      <c r="O184" s="87">
        <f t="shared" si="95"/>
        <v>0</v>
      </c>
      <c r="Q184" s="294">
        <f t="shared" si="90"/>
        <v>18000</v>
      </c>
      <c r="R184" s="19">
        <f t="shared" si="91"/>
        <v>0</v>
      </c>
      <c r="S184" s="87">
        <f t="shared" si="91"/>
        <v>18000</v>
      </c>
    </row>
    <row r="185" spans="2:19" x14ac:dyDescent="0.2">
      <c r="B185" s="83">
        <f t="shared" si="97"/>
        <v>72</v>
      </c>
      <c r="C185" s="3"/>
      <c r="D185" s="3"/>
      <c r="E185" s="3"/>
      <c r="F185" s="26" t="s">
        <v>81</v>
      </c>
      <c r="G185" s="3">
        <v>637</v>
      </c>
      <c r="H185" s="3" t="s">
        <v>134</v>
      </c>
      <c r="I185" s="19">
        <f>6000+12000</f>
        <v>18000</v>
      </c>
      <c r="J185" s="19"/>
      <c r="K185" s="19">
        <f t="shared" si="93"/>
        <v>18000</v>
      </c>
      <c r="M185" s="19"/>
      <c r="N185" s="19"/>
      <c r="O185" s="87">
        <f t="shared" si="95"/>
        <v>0</v>
      </c>
      <c r="Q185" s="294">
        <f t="shared" si="90"/>
        <v>18000</v>
      </c>
      <c r="R185" s="19">
        <f t="shared" si="91"/>
        <v>0</v>
      </c>
      <c r="S185" s="87">
        <f t="shared" si="91"/>
        <v>18000</v>
      </c>
    </row>
    <row r="186" spans="2:19" x14ac:dyDescent="0.2">
      <c r="B186" s="83">
        <f t="shared" si="97"/>
        <v>73</v>
      </c>
      <c r="C186" s="7"/>
      <c r="D186" s="7"/>
      <c r="E186" s="7"/>
      <c r="F186" s="25" t="s">
        <v>81</v>
      </c>
      <c r="G186" s="7">
        <v>710</v>
      </c>
      <c r="H186" s="7" t="s">
        <v>188</v>
      </c>
      <c r="I186" s="23"/>
      <c r="J186" s="23"/>
      <c r="K186" s="23">
        <f t="shared" si="93"/>
        <v>0</v>
      </c>
      <c r="M186" s="23">
        <f>M187+M190</f>
        <v>105002</v>
      </c>
      <c r="N186" s="23">
        <f t="shared" ref="N186" si="98">N187+N190</f>
        <v>0</v>
      </c>
      <c r="O186" s="86">
        <f t="shared" si="95"/>
        <v>105002</v>
      </c>
      <c r="Q186" s="293">
        <f t="shared" si="90"/>
        <v>105002</v>
      </c>
      <c r="R186" s="23">
        <f t="shared" si="91"/>
        <v>0</v>
      </c>
      <c r="S186" s="86">
        <f t="shared" si="91"/>
        <v>105002</v>
      </c>
    </row>
    <row r="187" spans="2:19" x14ac:dyDescent="0.2">
      <c r="B187" s="83">
        <f t="shared" si="97"/>
        <v>74</v>
      </c>
      <c r="C187" s="3"/>
      <c r="D187" s="3"/>
      <c r="E187" s="3"/>
      <c r="F187" s="26" t="s">
        <v>81</v>
      </c>
      <c r="G187" s="3">
        <v>711</v>
      </c>
      <c r="H187" s="3" t="s">
        <v>225</v>
      </c>
      <c r="I187" s="19"/>
      <c r="J187" s="19"/>
      <c r="K187" s="19">
        <f t="shared" si="93"/>
        <v>0</v>
      </c>
      <c r="M187" s="19">
        <f>M188+M189</f>
        <v>55002</v>
      </c>
      <c r="N187" s="19">
        <f t="shared" ref="N187" si="99">N188</f>
        <v>0</v>
      </c>
      <c r="O187" s="87">
        <f t="shared" si="95"/>
        <v>55002</v>
      </c>
      <c r="Q187" s="294">
        <f t="shared" si="90"/>
        <v>55002</v>
      </c>
      <c r="R187" s="19">
        <f t="shared" si="91"/>
        <v>0</v>
      </c>
      <c r="S187" s="87">
        <f t="shared" si="91"/>
        <v>55002</v>
      </c>
    </row>
    <row r="188" spans="2:19" x14ac:dyDescent="0.2">
      <c r="B188" s="83">
        <f t="shared" si="97"/>
        <v>75</v>
      </c>
      <c r="C188" s="4"/>
      <c r="D188" s="4"/>
      <c r="E188" s="4"/>
      <c r="F188" s="31"/>
      <c r="G188" s="4"/>
      <c r="H188" s="4" t="s">
        <v>372</v>
      </c>
      <c r="I188" s="21"/>
      <c r="J188" s="21"/>
      <c r="K188" s="21">
        <f t="shared" si="93"/>
        <v>0</v>
      </c>
      <c r="M188" s="21">
        <f>12500+22502+7000</f>
        <v>42002</v>
      </c>
      <c r="N188" s="21"/>
      <c r="O188" s="88">
        <f t="shared" si="95"/>
        <v>42002</v>
      </c>
      <c r="Q188" s="308">
        <f t="shared" si="90"/>
        <v>42002</v>
      </c>
      <c r="R188" s="21">
        <f t="shared" si="91"/>
        <v>0</v>
      </c>
      <c r="S188" s="88">
        <f t="shared" si="91"/>
        <v>42002</v>
      </c>
    </row>
    <row r="189" spans="2:19" x14ac:dyDescent="0.2">
      <c r="B189" s="83">
        <f t="shared" si="97"/>
        <v>76</v>
      </c>
      <c r="C189" s="4"/>
      <c r="D189" s="4"/>
      <c r="E189" s="4"/>
      <c r="F189" s="31"/>
      <c r="G189" s="4"/>
      <c r="H189" s="4" t="s">
        <v>533</v>
      </c>
      <c r="I189" s="21"/>
      <c r="J189" s="21"/>
      <c r="K189" s="21">
        <f>I189+J189</f>
        <v>0</v>
      </c>
      <c r="M189" s="21">
        <v>13000</v>
      </c>
      <c r="N189" s="21"/>
      <c r="O189" s="88">
        <f>M189+N189</f>
        <v>13000</v>
      </c>
      <c r="Q189" s="308">
        <f>I189+M189</f>
        <v>13000</v>
      </c>
      <c r="R189" s="21">
        <f>J189+N189</f>
        <v>0</v>
      </c>
      <c r="S189" s="88">
        <f>K189+O189</f>
        <v>13000</v>
      </c>
    </row>
    <row r="190" spans="2:19" x14ac:dyDescent="0.2">
      <c r="B190" s="83">
        <f t="shared" si="97"/>
        <v>77</v>
      </c>
      <c r="C190" s="3"/>
      <c r="D190" s="3"/>
      <c r="E190" s="3"/>
      <c r="F190" s="26" t="s">
        <v>81</v>
      </c>
      <c r="G190" s="3">
        <v>713</v>
      </c>
      <c r="H190" s="32" t="s">
        <v>235</v>
      </c>
      <c r="I190" s="19"/>
      <c r="J190" s="19"/>
      <c r="K190" s="19">
        <f t="shared" si="93"/>
        <v>0</v>
      </c>
      <c r="M190" s="19">
        <f>M191</f>
        <v>50000</v>
      </c>
      <c r="N190" s="19">
        <f>N191+N189</f>
        <v>0</v>
      </c>
      <c r="O190" s="87">
        <f t="shared" si="95"/>
        <v>50000</v>
      </c>
      <c r="Q190" s="294">
        <f t="shared" si="90"/>
        <v>50000</v>
      </c>
      <c r="R190" s="19">
        <f t="shared" si="91"/>
        <v>0</v>
      </c>
      <c r="S190" s="87">
        <f t="shared" si="91"/>
        <v>50000</v>
      </c>
    </row>
    <row r="191" spans="2:19" x14ac:dyDescent="0.2">
      <c r="B191" s="83">
        <f t="shared" si="97"/>
        <v>78</v>
      </c>
      <c r="C191" s="4"/>
      <c r="D191" s="4"/>
      <c r="E191" s="4"/>
      <c r="F191" s="31"/>
      <c r="G191" s="4"/>
      <c r="H191" s="13" t="s">
        <v>371</v>
      </c>
      <c r="I191" s="21"/>
      <c r="J191" s="21"/>
      <c r="K191" s="21">
        <f t="shared" si="93"/>
        <v>0</v>
      </c>
      <c r="M191" s="21">
        <v>50000</v>
      </c>
      <c r="N191" s="21"/>
      <c r="O191" s="88">
        <f t="shared" si="95"/>
        <v>50000</v>
      </c>
      <c r="Q191" s="308">
        <f t="shared" si="90"/>
        <v>50000</v>
      </c>
      <c r="R191" s="21">
        <f t="shared" si="91"/>
        <v>0</v>
      </c>
      <c r="S191" s="88">
        <f t="shared" si="91"/>
        <v>50000</v>
      </c>
    </row>
    <row r="192" spans="2:19" ht="15" x14ac:dyDescent="0.2">
      <c r="B192" s="83">
        <f t="shared" si="97"/>
        <v>79</v>
      </c>
      <c r="C192" s="268">
        <v>8</v>
      </c>
      <c r="D192" s="360" t="s">
        <v>265</v>
      </c>
      <c r="E192" s="361"/>
      <c r="F192" s="361"/>
      <c r="G192" s="361"/>
      <c r="H192" s="362"/>
      <c r="I192" s="36">
        <f>I193</f>
        <v>36000</v>
      </c>
      <c r="J192" s="36">
        <f t="shared" ref="J192" si="100">J193</f>
        <v>0</v>
      </c>
      <c r="K192" s="36">
        <f t="shared" si="93"/>
        <v>36000</v>
      </c>
      <c r="M192" s="36">
        <f>M196</f>
        <v>13500</v>
      </c>
      <c r="N192" s="36">
        <f t="shared" ref="N192" si="101">N196</f>
        <v>0</v>
      </c>
      <c r="O192" s="84">
        <f t="shared" si="95"/>
        <v>13500</v>
      </c>
      <c r="Q192" s="291">
        <f t="shared" si="90"/>
        <v>49500</v>
      </c>
      <c r="R192" s="36">
        <f t="shared" si="91"/>
        <v>0</v>
      </c>
      <c r="S192" s="84">
        <f t="shared" si="91"/>
        <v>49500</v>
      </c>
    </row>
    <row r="193" spans="2:19" x14ac:dyDescent="0.2">
      <c r="B193" s="83">
        <f t="shared" si="97"/>
        <v>80</v>
      </c>
      <c r="C193" s="7"/>
      <c r="D193" s="7"/>
      <c r="E193" s="7"/>
      <c r="F193" s="25" t="s">
        <v>81</v>
      </c>
      <c r="G193" s="7">
        <v>630</v>
      </c>
      <c r="H193" s="7" t="s">
        <v>133</v>
      </c>
      <c r="I193" s="23">
        <f>I194+I195</f>
        <v>36000</v>
      </c>
      <c r="J193" s="23">
        <f t="shared" ref="J193" si="102">J194+J195</f>
        <v>0</v>
      </c>
      <c r="K193" s="23">
        <f t="shared" si="93"/>
        <v>36000</v>
      </c>
      <c r="M193" s="23"/>
      <c r="N193" s="23"/>
      <c r="O193" s="86">
        <f t="shared" si="95"/>
        <v>0</v>
      </c>
      <c r="Q193" s="293">
        <f t="shared" si="90"/>
        <v>36000</v>
      </c>
      <c r="R193" s="23">
        <f t="shared" si="91"/>
        <v>0</v>
      </c>
      <c r="S193" s="86">
        <f t="shared" si="91"/>
        <v>36000</v>
      </c>
    </row>
    <row r="194" spans="2:19" x14ac:dyDescent="0.2">
      <c r="B194" s="83">
        <f t="shared" si="97"/>
        <v>81</v>
      </c>
      <c r="C194" s="3"/>
      <c r="D194" s="3"/>
      <c r="E194" s="3"/>
      <c r="F194" s="26" t="s">
        <v>81</v>
      </c>
      <c r="G194" s="3">
        <v>634</v>
      </c>
      <c r="H194" s="3" t="s">
        <v>144</v>
      </c>
      <c r="I194" s="19">
        <v>35160</v>
      </c>
      <c r="J194" s="19"/>
      <c r="K194" s="19">
        <f t="shared" si="93"/>
        <v>35160</v>
      </c>
      <c r="M194" s="19"/>
      <c r="N194" s="19"/>
      <c r="O194" s="87">
        <f t="shared" si="95"/>
        <v>0</v>
      </c>
      <c r="Q194" s="294">
        <f t="shared" si="90"/>
        <v>35160</v>
      </c>
      <c r="R194" s="19">
        <f t="shared" ref="R194:S198" si="103">J194+N194</f>
        <v>0</v>
      </c>
      <c r="S194" s="87">
        <f t="shared" si="103"/>
        <v>35160</v>
      </c>
    </row>
    <row r="195" spans="2:19" x14ac:dyDescent="0.2">
      <c r="B195" s="83">
        <f t="shared" si="97"/>
        <v>82</v>
      </c>
      <c r="C195" s="3"/>
      <c r="D195" s="3"/>
      <c r="E195" s="3"/>
      <c r="F195" s="26" t="s">
        <v>81</v>
      </c>
      <c r="G195" s="3">
        <v>637</v>
      </c>
      <c r="H195" s="3" t="s">
        <v>134</v>
      </c>
      <c r="I195" s="19">
        <v>840</v>
      </c>
      <c r="J195" s="19"/>
      <c r="K195" s="19">
        <f t="shared" si="93"/>
        <v>840</v>
      </c>
      <c r="M195" s="19"/>
      <c r="N195" s="19"/>
      <c r="O195" s="87">
        <f t="shared" si="95"/>
        <v>0</v>
      </c>
      <c r="Q195" s="294">
        <f t="shared" si="90"/>
        <v>840</v>
      </c>
      <c r="R195" s="19">
        <f t="shared" si="103"/>
        <v>0</v>
      </c>
      <c r="S195" s="87">
        <f t="shared" si="103"/>
        <v>840</v>
      </c>
    </row>
    <row r="196" spans="2:19" x14ac:dyDescent="0.2">
      <c r="B196" s="83">
        <f t="shared" si="97"/>
        <v>83</v>
      </c>
      <c r="C196" s="7"/>
      <c r="D196" s="7"/>
      <c r="E196" s="7"/>
      <c r="F196" s="25" t="s">
        <v>81</v>
      </c>
      <c r="G196" s="7">
        <v>710</v>
      </c>
      <c r="H196" s="7" t="s">
        <v>188</v>
      </c>
      <c r="I196" s="23"/>
      <c r="J196" s="23"/>
      <c r="K196" s="23">
        <f t="shared" si="93"/>
        <v>0</v>
      </c>
      <c r="M196" s="23">
        <f>M197</f>
        <v>13500</v>
      </c>
      <c r="N196" s="23">
        <f t="shared" ref="N196:N197" si="104">N197</f>
        <v>0</v>
      </c>
      <c r="O196" s="86">
        <f t="shared" si="95"/>
        <v>13500</v>
      </c>
      <c r="Q196" s="293">
        <f t="shared" si="90"/>
        <v>13500</v>
      </c>
      <c r="R196" s="23">
        <f t="shared" si="103"/>
        <v>0</v>
      </c>
      <c r="S196" s="86">
        <f t="shared" si="103"/>
        <v>13500</v>
      </c>
    </row>
    <row r="197" spans="2:19" x14ac:dyDescent="0.2">
      <c r="B197" s="83">
        <f t="shared" si="97"/>
        <v>84</v>
      </c>
      <c r="C197" s="3"/>
      <c r="D197" s="3"/>
      <c r="E197" s="3"/>
      <c r="F197" s="26" t="s">
        <v>81</v>
      </c>
      <c r="G197" s="3">
        <v>714</v>
      </c>
      <c r="H197" s="3" t="s">
        <v>189</v>
      </c>
      <c r="I197" s="19"/>
      <c r="J197" s="19"/>
      <c r="K197" s="19">
        <f t="shared" si="93"/>
        <v>0</v>
      </c>
      <c r="M197" s="19">
        <f>M198</f>
        <v>13500</v>
      </c>
      <c r="N197" s="19">
        <f t="shared" si="104"/>
        <v>0</v>
      </c>
      <c r="O197" s="87">
        <f t="shared" si="95"/>
        <v>13500</v>
      </c>
      <c r="Q197" s="294">
        <f t="shared" si="90"/>
        <v>13500</v>
      </c>
      <c r="R197" s="19">
        <f t="shared" si="103"/>
        <v>0</v>
      </c>
      <c r="S197" s="87">
        <f t="shared" si="103"/>
        <v>13500</v>
      </c>
    </row>
    <row r="198" spans="2:19" ht="13.5" thickBot="1" x14ac:dyDescent="0.25">
      <c r="B198" s="89">
        <f t="shared" si="97"/>
        <v>85</v>
      </c>
      <c r="C198" s="95"/>
      <c r="D198" s="95"/>
      <c r="E198" s="95"/>
      <c r="F198" s="101"/>
      <c r="G198" s="95"/>
      <c r="H198" s="95" t="s">
        <v>370</v>
      </c>
      <c r="I198" s="98"/>
      <c r="J198" s="98"/>
      <c r="K198" s="98">
        <f t="shared" si="93"/>
        <v>0</v>
      </c>
      <c r="L198" s="270"/>
      <c r="M198" s="98">
        <v>13500</v>
      </c>
      <c r="N198" s="98"/>
      <c r="O198" s="99">
        <f t="shared" si="95"/>
        <v>13500</v>
      </c>
      <c r="Q198" s="296">
        <f t="shared" si="90"/>
        <v>13500</v>
      </c>
      <c r="R198" s="98">
        <f t="shared" si="103"/>
        <v>0</v>
      </c>
      <c r="S198" s="99">
        <f t="shared" si="103"/>
        <v>13500</v>
      </c>
    </row>
    <row r="214" spans="2:19" ht="27.75" thickBot="1" x14ac:dyDescent="0.4">
      <c r="B214" s="352" t="s">
        <v>25</v>
      </c>
      <c r="C214" s="353"/>
      <c r="D214" s="353"/>
      <c r="E214" s="353"/>
      <c r="F214" s="353"/>
      <c r="G214" s="353"/>
      <c r="H214" s="353"/>
      <c r="I214" s="353"/>
      <c r="J214" s="353"/>
      <c r="K214" s="353"/>
      <c r="L214" s="353"/>
      <c r="M214" s="353"/>
      <c r="N214" s="353"/>
      <c r="O214" s="353"/>
      <c r="P214" s="353"/>
      <c r="Q214" s="353"/>
    </row>
    <row r="215" spans="2:19" ht="13.5" customHeight="1" thickBot="1" x14ac:dyDescent="0.25">
      <c r="B215" s="378" t="s">
        <v>364</v>
      </c>
      <c r="C215" s="379"/>
      <c r="D215" s="379"/>
      <c r="E215" s="379"/>
      <c r="F215" s="379"/>
      <c r="G215" s="379"/>
      <c r="H215" s="379"/>
      <c r="I215" s="379"/>
      <c r="J215" s="379"/>
      <c r="K215" s="379"/>
      <c r="L215" s="379"/>
      <c r="M215" s="379"/>
      <c r="N215" s="379"/>
      <c r="O215" s="380"/>
      <c r="P215" s="271"/>
      <c r="Q215" s="354" t="s">
        <v>571</v>
      </c>
      <c r="R215" s="392" t="s">
        <v>565</v>
      </c>
      <c r="S215" s="395" t="s">
        <v>569</v>
      </c>
    </row>
    <row r="216" spans="2:19" ht="13.5" customHeight="1" thickBot="1" x14ac:dyDescent="0.25">
      <c r="B216" s="366"/>
      <c r="C216" s="357" t="s">
        <v>126</v>
      </c>
      <c r="D216" s="357" t="s">
        <v>127</v>
      </c>
      <c r="E216" s="357"/>
      <c r="F216" s="357" t="s">
        <v>128</v>
      </c>
      <c r="G216" s="371" t="s">
        <v>129</v>
      </c>
      <c r="H216" s="374" t="s">
        <v>130</v>
      </c>
      <c r="I216" s="363" t="s">
        <v>566</v>
      </c>
      <c r="J216" s="377" t="s">
        <v>565</v>
      </c>
      <c r="K216" s="376" t="s">
        <v>567</v>
      </c>
      <c r="M216" s="363" t="s">
        <v>568</v>
      </c>
      <c r="N216" s="377" t="s">
        <v>565</v>
      </c>
      <c r="O216" s="376" t="s">
        <v>570</v>
      </c>
      <c r="Q216" s="355"/>
      <c r="R216" s="393"/>
      <c r="S216" s="396"/>
    </row>
    <row r="217" spans="2:19" ht="13.5" thickBot="1" x14ac:dyDescent="0.25">
      <c r="B217" s="367"/>
      <c r="C217" s="358"/>
      <c r="D217" s="358"/>
      <c r="E217" s="358"/>
      <c r="F217" s="358"/>
      <c r="G217" s="372"/>
      <c r="H217" s="375"/>
      <c r="I217" s="363"/>
      <c r="J217" s="377"/>
      <c r="K217" s="376"/>
      <c r="M217" s="363"/>
      <c r="N217" s="377"/>
      <c r="O217" s="376"/>
      <c r="Q217" s="355"/>
      <c r="R217" s="393"/>
      <c r="S217" s="396"/>
    </row>
    <row r="218" spans="2:19" ht="13.5" thickBot="1" x14ac:dyDescent="0.25">
      <c r="B218" s="367"/>
      <c r="C218" s="358"/>
      <c r="D218" s="358"/>
      <c r="E218" s="358"/>
      <c r="F218" s="358"/>
      <c r="G218" s="372"/>
      <c r="H218" s="375"/>
      <c r="I218" s="363"/>
      <c r="J218" s="377"/>
      <c r="K218" s="376"/>
      <c r="M218" s="363"/>
      <c r="N218" s="377"/>
      <c r="O218" s="376"/>
      <c r="Q218" s="355"/>
      <c r="R218" s="393"/>
      <c r="S218" s="396"/>
    </row>
    <row r="219" spans="2:19" ht="13.5" thickBot="1" x14ac:dyDescent="0.25">
      <c r="B219" s="367"/>
      <c r="C219" s="359"/>
      <c r="D219" s="359"/>
      <c r="E219" s="359"/>
      <c r="F219" s="359"/>
      <c r="G219" s="373"/>
      <c r="H219" s="375"/>
      <c r="I219" s="363"/>
      <c r="J219" s="377"/>
      <c r="K219" s="376"/>
      <c r="M219" s="363"/>
      <c r="N219" s="377"/>
      <c r="O219" s="376"/>
      <c r="Q219" s="356"/>
      <c r="R219" s="394"/>
      <c r="S219" s="397"/>
    </row>
    <row r="220" spans="2:19" ht="16.5" thickTop="1" x14ac:dyDescent="0.2">
      <c r="B220" s="83">
        <v>1</v>
      </c>
      <c r="C220" s="385" t="s">
        <v>25</v>
      </c>
      <c r="D220" s="390"/>
      <c r="E220" s="390"/>
      <c r="F220" s="390"/>
      <c r="G220" s="390"/>
      <c r="H220" s="391"/>
      <c r="I220" s="35">
        <f>I281+I266+I255+I245+I236+I226+I221</f>
        <v>609546</v>
      </c>
      <c r="J220" s="35">
        <f t="shared" ref="J220" si="105">J281+J266+J255+J245+J236+J226+J221</f>
        <v>0</v>
      </c>
      <c r="K220" s="35">
        <f>I220+J220</f>
        <v>609546</v>
      </c>
      <c r="M220" s="35">
        <f>M221+M226+M236+M245+M255+M266+M281</f>
        <v>28000</v>
      </c>
      <c r="N220" s="35">
        <f t="shared" ref="N220" si="106">N221+N226+N236+N245+N255+N266+N281</f>
        <v>0</v>
      </c>
      <c r="O220" s="93">
        <f>M220+N220</f>
        <v>28000</v>
      </c>
      <c r="Q220" s="290">
        <f t="shared" ref="Q220:Q251" si="107">I220+M220</f>
        <v>637546</v>
      </c>
      <c r="R220" s="35">
        <f t="shared" ref="R220:S235" si="108">J220+N220</f>
        <v>0</v>
      </c>
      <c r="S220" s="93">
        <f t="shared" si="108"/>
        <v>637546</v>
      </c>
    </row>
    <row r="221" spans="2:19" ht="15" x14ac:dyDescent="0.2">
      <c r="B221" s="83">
        <f>B220+1</f>
        <v>2</v>
      </c>
      <c r="C221" s="268">
        <v>1</v>
      </c>
      <c r="D221" s="360" t="s">
        <v>196</v>
      </c>
      <c r="E221" s="361"/>
      <c r="F221" s="361"/>
      <c r="G221" s="361"/>
      <c r="H221" s="362"/>
      <c r="I221" s="36">
        <f>I222+I223</f>
        <v>27500</v>
      </c>
      <c r="J221" s="36">
        <f t="shared" ref="J221" si="109">J222+J223</f>
        <v>0</v>
      </c>
      <c r="K221" s="36">
        <f t="shared" ref="K221:K284" si="110">I221+J221</f>
        <v>27500</v>
      </c>
      <c r="M221" s="36">
        <v>0</v>
      </c>
      <c r="N221" s="36">
        <v>0</v>
      </c>
      <c r="O221" s="84">
        <f t="shared" ref="O221:O284" si="111">M221+N221</f>
        <v>0</v>
      </c>
      <c r="Q221" s="291">
        <f t="shared" si="107"/>
        <v>27500</v>
      </c>
      <c r="R221" s="36">
        <f t="shared" si="108"/>
        <v>0</v>
      </c>
      <c r="S221" s="84">
        <f t="shared" si="108"/>
        <v>27500</v>
      </c>
    </row>
    <row r="222" spans="2:19" x14ac:dyDescent="0.2">
      <c r="B222" s="83">
        <f>B221+1</f>
        <v>3</v>
      </c>
      <c r="C222" s="7"/>
      <c r="D222" s="7"/>
      <c r="E222" s="7"/>
      <c r="F222" s="25" t="s">
        <v>82</v>
      </c>
      <c r="G222" s="7">
        <v>620</v>
      </c>
      <c r="H222" s="7" t="s">
        <v>136</v>
      </c>
      <c r="I222" s="23">
        <v>3900</v>
      </c>
      <c r="J222" s="23"/>
      <c r="K222" s="23">
        <f t="shared" si="110"/>
        <v>3900</v>
      </c>
      <c r="M222" s="23"/>
      <c r="N222" s="23"/>
      <c r="O222" s="86">
        <f t="shared" si="111"/>
        <v>0</v>
      </c>
      <c r="Q222" s="293">
        <f t="shared" si="107"/>
        <v>3900</v>
      </c>
      <c r="R222" s="23">
        <f t="shared" si="108"/>
        <v>0</v>
      </c>
      <c r="S222" s="86">
        <f t="shared" si="108"/>
        <v>3900</v>
      </c>
    </row>
    <row r="223" spans="2:19" x14ac:dyDescent="0.2">
      <c r="B223" s="83">
        <f t="shared" ref="B223:B286" si="112">B222+1</f>
        <v>4</v>
      </c>
      <c r="C223" s="7"/>
      <c r="D223" s="7"/>
      <c r="E223" s="7"/>
      <c r="F223" s="25" t="s">
        <v>82</v>
      </c>
      <c r="G223" s="7">
        <v>630</v>
      </c>
      <c r="H223" s="7" t="s">
        <v>133</v>
      </c>
      <c r="I223" s="23">
        <f>I225+I224</f>
        <v>23600</v>
      </c>
      <c r="J223" s="23">
        <f t="shared" ref="J223" si="113">J225+J224</f>
        <v>0</v>
      </c>
      <c r="K223" s="23">
        <f t="shared" si="110"/>
        <v>23600</v>
      </c>
      <c r="M223" s="23"/>
      <c r="N223" s="23"/>
      <c r="O223" s="86">
        <f t="shared" si="111"/>
        <v>0</v>
      </c>
      <c r="Q223" s="293">
        <f t="shared" si="107"/>
        <v>23600</v>
      </c>
      <c r="R223" s="23">
        <f t="shared" si="108"/>
        <v>0</v>
      </c>
      <c r="S223" s="86">
        <f t="shared" si="108"/>
        <v>23600</v>
      </c>
    </row>
    <row r="224" spans="2:19" x14ac:dyDescent="0.2">
      <c r="B224" s="83">
        <f t="shared" si="112"/>
        <v>5</v>
      </c>
      <c r="C224" s="3"/>
      <c r="D224" s="3"/>
      <c r="E224" s="3"/>
      <c r="F224" s="26" t="s">
        <v>82</v>
      </c>
      <c r="G224" s="3">
        <v>633</v>
      </c>
      <c r="H224" s="3" t="s">
        <v>137</v>
      </c>
      <c r="I224" s="19">
        <v>3100</v>
      </c>
      <c r="J224" s="19"/>
      <c r="K224" s="19">
        <f t="shared" si="110"/>
        <v>3100</v>
      </c>
      <c r="M224" s="19"/>
      <c r="N224" s="19"/>
      <c r="O224" s="87">
        <f t="shared" si="111"/>
        <v>0</v>
      </c>
      <c r="Q224" s="294">
        <f t="shared" si="107"/>
        <v>3100</v>
      </c>
      <c r="R224" s="19">
        <f t="shared" si="108"/>
        <v>0</v>
      </c>
      <c r="S224" s="87">
        <f t="shared" si="108"/>
        <v>3100</v>
      </c>
    </row>
    <row r="225" spans="2:19" x14ac:dyDescent="0.2">
      <c r="B225" s="83">
        <f t="shared" si="112"/>
        <v>6</v>
      </c>
      <c r="C225" s="3"/>
      <c r="D225" s="3"/>
      <c r="E225" s="3"/>
      <c r="F225" s="26" t="s">
        <v>82</v>
      </c>
      <c r="G225" s="3">
        <v>637</v>
      </c>
      <c r="H225" s="3" t="s">
        <v>134</v>
      </c>
      <c r="I225" s="19">
        <v>20500</v>
      </c>
      <c r="J225" s="19"/>
      <c r="K225" s="19">
        <f t="shared" si="110"/>
        <v>20500</v>
      </c>
      <c r="M225" s="19"/>
      <c r="N225" s="19"/>
      <c r="O225" s="87">
        <f t="shared" si="111"/>
        <v>0</v>
      </c>
      <c r="Q225" s="294">
        <f t="shared" si="107"/>
        <v>20500</v>
      </c>
      <c r="R225" s="19">
        <f t="shared" si="108"/>
        <v>0</v>
      </c>
      <c r="S225" s="87">
        <f t="shared" si="108"/>
        <v>20500</v>
      </c>
    </row>
    <row r="226" spans="2:19" ht="15" x14ac:dyDescent="0.2">
      <c r="B226" s="83">
        <f t="shared" si="112"/>
        <v>7</v>
      </c>
      <c r="C226" s="268">
        <v>2</v>
      </c>
      <c r="D226" s="360" t="s">
        <v>200</v>
      </c>
      <c r="E226" s="361"/>
      <c r="F226" s="361"/>
      <c r="G226" s="361"/>
      <c r="H226" s="362"/>
      <c r="I226" s="36">
        <f>I227+I228+I229+I235</f>
        <v>99000</v>
      </c>
      <c r="J226" s="36">
        <f t="shared" ref="J226" si="114">J227+J228+J229+J235</f>
        <v>0</v>
      </c>
      <c r="K226" s="36">
        <f t="shared" si="110"/>
        <v>99000</v>
      </c>
      <c r="M226" s="36">
        <v>0</v>
      </c>
      <c r="N226" s="36">
        <v>0</v>
      </c>
      <c r="O226" s="84">
        <f t="shared" si="111"/>
        <v>0</v>
      </c>
      <c r="Q226" s="291">
        <f t="shared" si="107"/>
        <v>99000</v>
      </c>
      <c r="R226" s="36">
        <f t="shared" si="108"/>
        <v>0</v>
      </c>
      <c r="S226" s="84">
        <f t="shared" si="108"/>
        <v>99000</v>
      </c>
    </row>
    <row r="227" spans="2:19" x14ac:dyDescent="0.2">
      <c r="B227" s="83">
        <f t="shared" si="112"/>
        <v>8</v>
      </c>
      <c r="C227" s="7"/>
      <c r="D227" s="7"/>
      <c r="E227" s="7"/>
      <c r="F227" s="25" t="s">
        <v>199</v>
      </c>
      <c r="G227" s="7">
        <v>610</v>
      </c>
      <c r="H227" s="7" t="s">
        <v>143</v>
      </c>
      <c r="I227" s="23">
        <v>64000</v>
      </c>
      <c r="J227" s="23"/>
      <c r="K227" s="23">
        <f t="shared" si="110"/>
        <v>64000</v>
      </c>
      <c r="M227" s="23"/>
      <c r="N227" s="23"/>
      <c r="O227" s="86">
        <f t="shared" si="111"/>
        <v>0</v>
      </c>
      <c r="Q227" s="293">
        <f t="shared" si="107"/>
        <v>64000</v>
      </c>
      <c r="R227" s="23">
        <f t="shared" si="108"/>
        <v>0</v>
      </c>
      <c r="S227" s="86">
        <f t="shared" si="108"/>
        <v>64000</v>
      </c>
    </row>
    <row r="228" spans="2:19" x14ac:dyDescent="0.2">
      <c r="B228" s="83">
        <f t="shared" si="112"/>
        <v>9</v>
      </c>
      <c r="C228" s="7"/>
      <c r="D228" s="7"/>
      <c r="E228" s="7"/>
      <c r="F228" s="25" t="s">
        <v>199</v>
      </c>
      <c r="G228" s="7">
        <v>620</v>
      </c>
      <c r="H228" s="7" t="s">
        <v>136</v>
      </c>
      <c r="I228" s="23">
        <v>23300</v>
      </c>
      <c r="J228" s="23"/>
      <c r="K228" s="23">
        <f t="shared" si="110"/>
        <v>23300</v>
      </c>
      <c r="M228" s="23"/>
      <c r="N228" s="23"/>
      <c r="O228" s="86">
        <f t="shared" si="111"/>
        <v>0</v>
      </c>
      <c r="Q228" s="293">
        <f t="shared" si="107"/>
        <v>23300</v>
      </c>
      <c r="R228" s="23">
        <f t="shared" si="108"/>
        <v>0</v>
      </c>
      <c r="S228" s="86">
        <f t="shared" si="108"/>
        <v>23300</v>
      </c>
    </row>
    <row r="229" spans="2:19" x14ac:dyDescent="0.2">
      <c r="B229" s="83">
        <f t="shared" si="112"/>
        <v>10</v>
      </c>
      <c r="C229" s="7"/>
      <c r="D229" s="7"/>
      <c r="E229" s="7"/>
      <c r="F229" s="25" t="s">
        <v>199</v>
      </c>
      <c r="G229" s="7">
        <v>630</v>
      </c>
      <c r="H229" s="7" t="s">
        <v>133</v>
      </c>
      <c r="I229" s="23">
        <f>I234+I233+I232+I231+I230</f>
        <v>11300</v>
      </c>
      <c r="J229" s="23">
        <f t="shared" ref="J229" si="115">J234+J233+J232+J231+J230</f>
        <v>0</v>
      </c>
      <c r="K229" s="23">
        <f t="shared" si="110"/>
        <v>11300</v>
      </c>
      <c r="M229" s="23"/>
      <c r="N229" s="23"/>
      <c r="O229" s="86">
        <f t="shared" si="111"/>
        <v>0</v>
      </c>
      <c r="Q229" s="293">
        <f t="shared" si="107"/>
        <v>11300</v>
      </c>
      <c r="R229" s="23">
        <f t="shared" si="108"/>
        <v>0</v>
      </c>
      <c r="S229" s="86">
        <f t="shared" si="108"/>
        <v>11300</v>
      </c>
    </row>
    <row r="230" spans="2:19" x14ac:dyDescent="0.2">
      <c r="B230" s="83">
        <f t="shared" si="112"/>
        <v>11</v>
      </c>
      <c r="C230" s="3"/>
      <c r="D230" s="3"/>
      <c r="E230" s="3"/>
      <c r="F230" s="26" t="s">
        <v>199</v>
      </c>
      <c r="G230" s="3">
        <v>631</v>
      </c>
      <c r="H230" s="3" t="s">
        <v>139</v>
      </c>
      <c r="I230" s="19">
        <v>500</v>
      </c>
      <c r="J230" s="19"/>
      <c r="K230" s="19">
        <f t="shared" si="110"/>
        <v>500</v>
      </c>
      <c r="M230" s="19"/>
      <c r="N230" s="19"/>
      <c r="O230" s="87">
        <f t="shared" si="111"/>
        <v>0</v>
      </c>
      <c r="Q230" s="294">
        <f t="shared" si="107"/>
        <v>500</v>
      </c>
      <c r="R230" s="19">
        <f t="shared" si="108"/>
        <v>0</v>
      </c>
      <c r="S230" s="87">
        <f t="shared" si="108"/>
        <v>500</v>
      </c>
    </row>
    <row r="231" spans="2:19" x14ac:dyDescent="0.2">
      <c r="B231" s="83">
        <f t="shared" si="112"/>
        <v>12</v>
      </c>
      <c r="C231" s="3"/>
      <c r="D231" s="3"/>
      <c r="E231" s="3"/>
      <c r="F231" s="26" t="s">
        <v>199</v>
      </c>
      <c r="G231" s="3">
        <v>632</v>
      </c>
      <c r="H231" s="3" t="s">
        <v>146</v>
      </c>
      <c r="I231" s="19">
        <v>1700</v>
      </c>
      <c r="J231" s="19"/>
      <c r="K231" s="19">
        <f t="shared" si="110"/>
        <v>1700</v>
      </c>
      <c r="M231" s="19"/>
      <c r="N231" s="19"/>
      <c r="O231" s="87">
        <f t="shared" si="111"/>
        <v>0</v>
      </c>
      <c r="Q231" s="294">
        <f t="shared" si="107"/>
        <v>1700</v>
      </c>
      <c r="R231" s="19">
        <f t="shared" si="108"/>
        <v>0</v>
      </c>
      <c r="S231" s="87">
        <f t="shared" si="108"/>
        <v>1700</v>
      </c>
    </row>
    <row r="232" spans="2:19" x14ac:dyDescent="0.2">
      <c r="B232" s="83">
        <f t="shared" si="112"/>
        <v>13</v>
      </c>
      <c r="C232" s="3"/>
      <c r="D232" s="3"/>
      <c r="E232" s="3"/>
      <c r="F232" s="26" t="s">
        <v>199</v>
      </c>
      <c r="G232" s="3">
        <v>633</v>
      </c>
      <c r="H232" s="3" t="s">
        <v>137</v>
      </c>
      <c r="I232" s="19">
        <v>1700</v>
      </c>
      <c r="J232" s="19"/>
      <c r="K232" s="19">
        <f t="shared" si="110"/>
        <v>1700</v>
      </c>
      <c r="M232" s="19"/>
      <c r="N232" s="19"/>
      <c r="O232" s="87">
        <f t="shared" si="111"/>
        <v>0</v>
      </c>
      <c r="Q232" s="294">
        <f t="shared" si="107"/>
        <v>1700</v>
      </c>
      <c r="R232" s="19">
        <f t="shared" si="108"/>
        <v>0</v>
      </c>
      <c r="S232" s="87">
        <f t="shared" si="108"/>
        <v>1700</v>
      </c>
    </row>
    <row r="233" spans="2:19" x14ac:dyDescent="0.2">
      <c r="B233" s="83">
        <f t="shared" si="112"/>
        <v>14</v>
      </c>
      <c r="C233" s="3"/>
      <c r="D233" s="3"/>
      <c r="E233" s="3"/>
      <c r="F233" s="26" t="s">
        <v>199</v>
      </c>
      <c r="G233" s="3">
        <v>635</v>
      </c>
      <c r="H233" s="3" t="s">
        <v>145</v>
      </c>
      <c r="I233" s="19">
        <v>100</v>
      </c>
      <c r="J233" s="19"/>
      <c r="K233" s="19">
        <f t="shared" si="110"/>
        <v>100</v>
      </c>
      <c r="M233" s="19"/>
      <c r="N233" s="19"/>
      <c r="O233" s="87">
        <f t="shared" si="111"/>
        <v>0</v>
      </c>
      <c r="Q233" s="294">
        <f t="shared" si="107"/>
        <v>100</v>
      </c>
      <c r="R233" s="19">
        <f t="shared" si="108"/>
        <v>0</v>
      </c>
      <c r="S233" s="87">
        <f t="shared" si="108"/>
        <v>100</v>
      </c>
    </row>
    <row r="234" spans="2:19" x14ac:dyDescent="0.2">
      <c r="B234" s="83">
        <f t="shared" si="112"/>
        <v>15</v>
      </c>
      <c r="C234" s="3"/>
      <c r="D234" s="3"/>
      <c r="E234" s="3"/>
      <c r="F234" s="26" t="s">
        <v>199</v>
      </c>
      <c r="G234" s="3">
        <v>637</v>
      </c>
      <c r="H234" s="3" t="s">
        <v>134</v>
      </c>
      <c r="I234" s="19">
        <v>7300</v>
      </c>
      <c r="J234" s="19"/>
      <c r="K234" s="19">
        <f t="shared" si="110"/>
        <v>7300</v>
      </c>
      <c r="M234" s="19"/>
      <c r="N234" s="19"/>
      <c r="O234" s="87">
        <f t="shared" si="111"/>
        <v>0</v>
      </c>
      <c r="Q234" s="294">
        <f t="shared" si="107"/>
        <v>7300</v>
      </c>
      <c r="R234" s="19">
        <f t="shared" si="108"/>
        <v>0</v>
      </c>
      <c r="S234" s="87">
        <f t="shared" si="108"/>
        <v>7300</v>
      </c>
    </row>
    <row r="235" spans="2:19" x14ac:dyDescent="0.2">
      <c r="B235" s="83">
        <f t="shared" si="112"/>
        <v>16</v>
      </c>
      <c r="C235" s="7"/>
      <c r="D235" s="7"/>
      <c r="E235" s="7"/>
      <c r="F235" s="25" t="s">
        <v>199</v>
      </c>
      <c r="G235" s="7">
        <v>640</v>
      </c>
      <c r="H235" s="7" t="s">
        <v>141</v>
      </c>
      <c r="I235" s="23">
        <v>400</v>
      </c>
      <c r="J235" s="23"/>
      <c r="K235" s="23">
        <f t="shared" si="110"/>
        <v>400</v>
      </c>
      <c r="M235" s="23"/>
      <c r="N235" s="23"/>
      <c r="O235" s="86">
        <f t="shared" si="111"/>
        <v>0</v>
      </c>
      <c r="Q235" s="293">
        <f t="shared" si="107"/>
        <v>400</v>
      </c>
      <c r="R235" s="23">
        <f t="shared" si="108"/>
        <v>0</v>
      </c>
      <c r="S235" s="86">
        <f t="shared" si="108"/>
        <v>400</v>
      </c>
    </row>
    <row r="236" spans="2:19" ht="15" x14ac:dyDescent="0.2">
      <c r="B236" s="83">
        <f t="shared" si="112"/>
        <v>17</v>
      </c>
      <c r="C236" s="268">
        <v>3</v>
      </c>
      <c r="D236" s="360" t="s">
        <v>184</v>
      </c>
      <c r="E236" s="361"/>
      <c r="F236" s="361"/>
      <c r="G236" s="361"/>
      <c r="H236" s="362"/>
      <c r="I236" s="36">
        <f>I237+I238+I239+I244</f>
        <v>196260</v>
      </c>
      <c r="J236" s="36">
        <f t="shared" ref="J236" si="116">J237+J238+J239+J244</f>
        <v>0</v>
      </c>
      <c r="K236" s="36">
        <f t="shared" si="110"/>
        <v>196260</v>
      </c>
      <c r="M236" s="36">
        <v>0</v>
      </c>
      <c r="N236" s="36">
        <v>0</v>
      </c>
      <c r="O236" s="84">
        <f t="shared" si="111"/>
        <v>0</v>
      </c>
      <c r="Q236" s="291">
        <f t="shared" si="107"/>
        <v>196260</v>
      </c>
      <c r="R236" s="36">
        <f t="shared" ref="R236:S251" si="117">J236+N236</f>
        <v>0</v>
      </c>
      <c r="S236" s="84">
        <f t="shared" si="117"/>
        <v>196260</v>
      </c>
    </row>
    <row r="237" spans="2:19" x14ac:dyDescent="0.2">
      <c r="B237" s="83">
        <f t="shared" si="112"/>
        <v>18</v>
      </c>
      <c r="C237" s="7"/>
      <c r="D237" s="7"/>
      <c r="E237" s="7"/>
      <c r="F237" s="25" t="s">
        <v>81</v>
      </c>
      <c r="G237" s="7">
        <v>610</v>
      </c>
      <c r="H237" s="7" t="s">
        <v>143</v>
      </c>
      <c r="I237" s="23">
        <v>136400</v>
      </c>
      <c r="J237" s="23"/>
      <c r="K237" s="23">
        <f t="shared" si="110"/>
        <v>136400</v>
      </c>
      <c r="M237" s="23"/>
      <c r="N237" s="23"/>
      <c r="O237" s="86">
        <f t="shared" si="111"/>
        <v>0</v>
      </c>
      <c r="Q237" s="293">
        <f t="shared" si="107"/>
        <v>136400</v>
      </c>
      <c r="R237" s="23">
        <f t="shared" si="117"/>
        <v>0</v>
      </c>
      <c r="S237" s="86">
        <f t="shared" si="117"/>
        <v>136400</v>
      </c>
    </row>
    <row r="238" spans="2:19" x14ac:dyDescent="0.2">
      <c r="B238" s="83">
        <f t="shared" si="112"/>
        <v>19</v>
      </c>
      <c r="C238" s="7"/>
      <c r="D238" s="7"/>
      <c r="E238" s="7"/>
      <c r="F238" s="25" t="s">
        <v>81</v>
      </c>
      <c r="G238" s="7">
        <v>620</v>
      </c>
      <c r="H238" s="7" t="s">
        <v>136</v>
      </c>
      <c r="I238" s="23">
        <v>46000</v>
      </c>
      <c r="J238" s="23"/>
      <c r="K238" s="23">
        <f t="shared" si="110"/>
        <v>46000</v>
      </c>
      <c r="M238" s="23"/>
      <c r="N238" s="23"/>
      <c r="O238" s="86">
        <f t="shared" si="111"/>
        <v>0</v>
      </c>
      <c r="Q238" s="293">
        <f t="shared" si="107"/>
        <v>46000</v>
      </c>
      <c r="R238" s="23">
        <f t="shared" si="117"/>
        <v>0</v>
      </c>
      <c r="S238" s="86">
        <f t="shared" si="117"/>
        <v>46000</v>
      </c>
    </row>
    <row r="239" spans="2:19" x14ac:dyDescent="0.2">
      <c r="B239" s="83">
        <f t="shared" si="112"/>
        <v>20</v>
      </c>
      <c r="C239" s="7"/>
      <c r="D239" s="7"/>
      <c r="E239" s="7"/>
      <c r="F239" s="25" t="s">
        <v>81</v>
      </c>
      <c r="G239" s="7">
        <v>630</v>
      </c>
      <c r="H239" s="7" t="s">
        <v>133</v>
      </c>
      <c r="I239" s="23">
        <f>I243+I242+I241+I240</f>
        <v>13360</v>
      </c>
      <c r="J239" s="23">
        <f t="shared" ref="J239" si="118">J243+J242+J241+J240</f>
        <v>0</v>
      </c>
      <c r="K239" s="23">
        <f t="shared" si="110"/>
        <v>13360</v>
      </c>
      <c r="M239" s="23"/>
      <c r="N239" s="23"/>
      <c r="O239" s="86">
        <f t="shared" si="111"/>
        <v>0</v>
      </c>
      <c r="Q239" s="293">
        <f t="shared" si="107"/>
        <v>13360</v>
      </c>
      <c r="R239" s="23">
        <f t="shared" si="117"/>
        <v>0</v>
      </c>
      <c r="S239" s="86">
        <f t="shared" si="117"/>
        <v>13360</v>
      </c>
    </row>
    <row r="240" spans="2:19" x14ac:dyDescent="0.2">
      <c r="B240" s="83">
        <f t="shared" si="112"/>
        <v>21</v>
      </c>
      <c r="C240" s="3"/>
      <c r="D240" s="3"/>
      <c r="E240" s="3"/>
      <c r="F240" s="26" t="s">
        <v>81</v>
      </c>
      <c r="G240" s="3">
        <v>631</v>
      </c>
      <c r="H240" s="3" t="s">
        <v>139</v>
      </c>
      <c r="I240" s="19">
        <v>100</v>
      </c>
      <c r="J240" s="19"/>
      <c r="K240" s="19">
        <f t="shared" si="110"/>
        <v>100</v>
      </c>
      <c r="M240" s="19"/>
      <c r="N240" s="19"/>
      <c r="O240" s="87">
        <f t="shared" si="111"/>
        <v>0</v>
      </c>
      <c r="Q240" s="294">
        <f t="shared" si="107"/>
        <v>100</v>
      </c>
      <c r="R240" s="19">
        <f t="shared" si="117"/>
        <v>0</v>
      </c>
      <c r="S240" s="87">
        <f t="shared" si="117"/>
        <v>100</v>
      </c>
    </row>
    <row r="241" spans="2:19" x14ac:dyDescent="0.2">
      <c r="B241" s="83">
        <f t="shared" si="112"/>
        <v>22</v>
      </c>
      <c r="C241" s="3"/>
      <c r="D241" s="3"/>
      <c r="E241" s="3"/>
      <c r="F241" s="26" t="s">
        <v>81</v>
      </c>
      <c r="G241" s="3">
        <v>632</v>
      </c>
      <c r="H241" s="3" t="s">
        <v>146</v>
      </c>
      <c r="I241" s="19">
        <v>1800</v>
      </c>
      <c r="J241" s="19"/>
      <c r="K241" s="19">
        <f t="shared" si="110"/>
        <v>1800</v>
      </c>
      <c r="M241" s="19"/>
      <c r="N241" s="19"/>
      <c r="O241" s="87">
        <f t="shared" si="111"/>
        <v>0</v>
      </c>
      <c r="Q241" s="294">
        <f t="shared" si="107"/>
        <v>1800</v>
      </c>
      <c r="R241" s="19">
        <f t="shared" si="117"/>
        <v>0</v>
      </c>
      <c r="S241" s="87">
        <f t="shared" si="117"/>
        <v>1800</v>
      </c>
    </row>
    <row r="242" spans="2:19" x14ac:dyDescent="0.2">
      <c r="B242" s="83">
        <f t="shared" si="112"/>
        <v>23</v>
      </c>
      <c r="C242" s="3"/>
      <c r="D242" s="3"/>
      <c r="E242" s="3"/>
      <c r="F242" s="26" t="s">
        <v>81</v>
      </c>
      <c r="G242" s="3">
        <v>633</v>
      </c>
      <c r="H242" s="3" t="s">
        <v>137</v>
      </c>
      <c r="I242" s="19">
        <v>1200</v>
      </c>
      <c r="J242" s="19"/>
      <c r="K242" s="19">
        <f t="shared" si="110"/>
        <v>1200</v>
      </c>
      <c r="M242" s="19"/>
      <c r="N242" s="19"/>
      <c r="O242" s="87">
        <f t="shared" si="111"/>
        <v>0</v>
      </c>
      <c r="Q242" s="294">
        <f t="shared" si="107"/>
        <v>1200</v>
      </c>
      <c r="R242" s="19">
        <f t="shared" si="117"/>
        <v>0</v>
      </c>
      <c r="S242" s="87">
        <f t="shared" si="117"/>
        <v>1200</v>
      </c>
    </row>
    <row r="243" spans="2:19" x14ac:dyDescent="0.2">
      <c r="B243" s="83">
        <f t="shared" si="112"/>
        <v>24</v>
      </c>
      <c r="C243" s="3"/>
      <c r="D243" s="3"/>
      <c r="E243" s="3"/>
      <c r="F243" s="26" t="s">
        <v>81</v>
      </c>
      <c r="G243" s="3">
        <v>637</v>
      </c>
      <c r="H243" s="3" t="s">
        <v>134</v>
      </c>
      <c r="I243" s="19">
        <v>10260</v>
      </c>
      <c r="J243" s="19"/>
      <c r="K243" s="19">
        <f t="shared" si="110"/>
        <v>10260</v>
      </c>
      <c r="M243" s="19"/>
      <c r="N243" s="19"/>
      <c r="O243" s="87">
        <f t="shared" si="111"/>
        <v>0</v>
      </c>
      <c r="Q243" s="294">
        <f t="shared" si="107"/>
        <v>10260</v>
      </c>
      <c r="R243" s="19">
        <f t="shared" si="117"/>
        <v>0</v>
      </c>
      <c r="S243" s="87">
        <f t="shared" si="117"/>
        <v>10260</v>
      </c>
    </row>
    <row r="244" spans="2:19" x14ac:dyDescent="0.2">
      <c r="B244" s="83">
        <f t="shared" si="112"/>
        <v>25</v>
      </c>
      <c r="C244" s="7"/>
      <c r="D244" s="7"/>
      <c r="E244" s="7"/>
      <c r="F244" s="25" t="s">
        <v>81</v>
      </c>
      <c r="G244" s="7">
        <v>640</v>
      </c>
      <c r="H244" s="7" t="s">
        <v>141</v>
      </c>
      <c r="I244" s="23">
        <v>500</v>
      </c>
      <c r="J244" s="23"/>
      <c r="K244" s="23">
        <f t="shared" si="110"/>
        <v>500</v>
      </c>
      <c r="M244" s="23"/>
      <c r="N244" s="23"/>
      <c r="O244" s="86">
        <f t="shared" si="111"/>
        <v>0</v>
      </c>
      <c r="Q244" s="293">
        <f t="shared" si="107"/>
        <v>500</v>
      </c>
      <c r="R244" s="23">
        <f t="shared" si="117"/>
        <v>0</v>
      </c>
      <c r="S244" s="86">
        <f t="shared" si="117"/>
        <v>500</v>
      </c>
    </row>
    <row r="245" spans="2:19" ht="15" x14ac:dyDescent="0.2">
      <c r="B245" s="83">
        <f t="shared" si="112"/>
        <v>26</v>
      </c>
      <c r="C245" s="268">
        <v>4</v>
      </c>
      <c r="D245" s="360" t="s">
        <v>50</v>
      </c>
      <c r="E245" s="361"/>
      <c r="F245" s="361"/>
      <c r="G245" s="361"/>
      <c r="H245" s="362"/>
      <c r="I245" s="36">
        <f>I246</f>
        <v>48140</v>
      </c>
      <c r="J245" s="36">
        <f t="shared" ref="J245" si="119">J246</f>
        <v>0</v>
      </c>
      <c r="K245" s="36">
        <f t="shared" si="110"/>
        <v>48140</v>
      </c>
      <c r="M245" s="36">
        <v>0</v>
      </c>
      <c r="N245" s="36">
        <v>0</v>
      </c>
      <c r="O245" s="84">
        <f t="shared" si="111"/>
        <v>0</v>
      </c>
      <c r="Q245" s="291">
        <f t="shared" si="107"/>
        <v>48140</v>
      </c>
      <c r="R245" s="36">
        <f t="shared" si="117"/>
        <v>0</v>
      </c>
      <c r="S245" s="84">
        <f t="shared" si="117"/>
        <v>48140</v>
      </c>
    </row>
    <row r="246" spans="2:19" ht="15" x14ac:dyDescent="0.25">
      <c r="B246" s="83">
        <f t="shared" si="112"/>
        <v>27</v>
      </c>
      <c r="C246" s="10"/>
      <c r="D246" s="10"/>
      <c r="E246" s="10">
        <v>2</v>
      </c>
      <c r="F246" s="28"/>
      <c r="G246" s="10"/>
      <c r="H246" s="10" t="s">
        <v>415</v>
      </c>
      <c r="I246" s="38">
        <f>I247+I248+I249+I254</f>
        <v>48140</v>
      </c>
      <c r="J246" s="38">
        <f t="shared" ref="J246" si="120">J247+J248+J249+J254</f>
        <v>0</v>
      </c>
      <c r="K246" s="38">
        <f t="shared" si="110"/>
        <v>48140</v>
      </c>
      <c r="M246" s="38"/>
      <c r="N246" s="38"/>
      <c r="O246" s="94">
        <f t="shared" si="111"/>
        <v>0</v>
      </c>
      <c r="Q246" s="307">
        <f t="shared" si="107"/>
        <v>48140</v>
      </c>
      <c r="R246" s="38">
        <f t="shared" si="117"/>
        <v>0</v>
      </c>
      <c r="S246" s="94">
        <f t="shared" si="117"/>
        <v>48140</v>
      </c>
    </row>
    <row r="247" spans="2:19" x14ac:dyDescent="0.2">
      <c r="B247" s="83">
        <f>B245+1</f>
        <v>27</v>
      </c>
      <c r="C247" s="7"/>
      <c r="D247" s="7"/>
      <c r="E247" s="7"/>
      <c r="F247" s="25" t="s">
        <v>208</v>
      </c>
      <c r="G247" s="7">
        <v>610</v>
      </c>
      <c r="H247" s="7" t="s">
        <v>143</v>
      </c>
      <c r="I247" s="23">
        <v>24350</v>
      </c>
      <c r="J247" s="23"/>
      <c r="K247" s="23">
        <f t="shared" si="110"/>
        <v>24350</v>
      </c>
      <c r="M247" s="23"/>
      <c r="N247" s="23"/>
      <c r="O247" s="86">
        <f t="shared" si="111"/>
        <v>0</v>
      </c>
      <c r="Q247" s="293">
        <f t="shared" si="107"/>
        <v>24350</v>
      </c>
      <c r="R247" s="23">
        <f t="shared" si="117"/>
        <v>0</v>
      </c>
      <c r="S247" s="86">
        <f t="shared" si="117"/>
        <v>24350</v>
      </c>
    </row>
    <row r="248" spans="2:19" x14ac:dyDescent="0.2">
      <c r="B248" s="83">
        <f t="shared" si="112"/>
        <v>28</v>
      </c>
      <c r="C248" s="7"/>
      <c r="D248" s="7"/>
      <c r="E248" s="7"/>
      <c r="F248" s="25" t="s">
        <v>208</v>
      </c>
      <c r="G248" s="7">
        <v>620</v>
      </c>
      <c r="H248" s="7" t="s">
        <v>136</v>
      </c>
      <c r="I248" s="23">
        <v>9100</v>
      </c>
      <c r="J248" s="23"/>
      <c r="K248" s="23">
        <f t="shared" si="110"/>
        <v>9100</v>
      </c>
      <c r="M248" s="23"/>
      <c r="N248" s="23"/>
      <c r="O248" s="86">
        <f t="shared" si="111"/>
        <v>0</v>
      </c>
      <c r="Q248" s="293">
        <f t="shared" si="107"/>
        <v>9100</v>
      </c>
      <c r="R248" s="23">
        <f t="shared" si="117"/>
        <v>0</v>
      </c>
      <c r="S248" s="86">
        <f t="shared" si="117"/>
        <v>9100</v>
      </c>
    </row>
    <row r="249" spans="2:19" x14ac:dyDescent="0.2">
      <c r="B249" s="83">
        <f t="shared" si="112"/>
        <v>29</v>
      </c>
      <c r="C249" s="7"/>
      <c r="D249" s="7"/>
      <c r="E249" s="7"/>
      <c r="F249" s="25" t="s">
        <v>208</v>
      </c>
      <c r="G249" s="7">
        <v>630</v>
      </c>
      <c r="H249" s="7" t="s">
        <v>133</v>
      </c>
      <c r="I249" s="23">
        <f>SUM(I250:I253)</f>
        <v>13590</v>
      </c>
      <c r="J249" s="23">
        <f t="shared" ref="J249" si="121">SUM(J250:J253)</f>
        <v>0</v>
      </c>
      <c r="K249" s="23">
        <f t="shared" si="110"/>
        <v>13590</v>
      </c>
      <c r="M249" s="23"/>
      <c r="N249" s="23"/>
      <c r="O249" s="86">
        <f t="shared" si="111"/>
        <v>0</v>
      </c>
      <c r="Q249" s="293">
        <f t="shared" si="107"/>
        <v>13590</v>
      </c>
      <c r="R249" s="23">
        <f t="shared" si="117"/>
        <v>0</v>
      </c>
      <c r="S249" s="86">
        <f t="shared" si="117"/>
        <v>13590</v>
      </c>
    </row>
    <row r="250" spans="2:19" x14ac:dyDescent="0.2">
      <c r="B250" s="83">
        <f t="shared" si="112"/>
        <v>30</v>
      </c>
      <c r="C250" s="3"/>
      <c r="D250" s="3"/>
      <c r="E250" s="3"/>
      <c r="F250" s="26" t="s">
        <v>208</v>
      </c>
      <c r="G250" s="3">
        <v>632</v>
      </c>
      <c r="H250" s="3" t="s">
        <v>146</v>
      </c>
      <c r="I250" s="19">
        <v>7900</v>
      </c>
      <c r="J250" s="19"/>
      <c r="K250" s="19">
        <f t="shared" si="110"/>
        <v>7900</v>
      </c>
      <c r="M250" s="19"/>
      <c r="N250" s="19"/>
      <c r="O250" s="87">
        <f t="shared" si="111"/>
        <v>0</v>
      </c>
      <c r="Q250" s="294">
        <f t="shared" si="107"/>
        <v>7900</v>
      </c>
      <c r="R250" s="19">
        <f t="shared" si="117"/>
        <v>0</v>
      </c>
      <c r="S250" s="87">
        <f t="shared" si="117"/>
        <v>7900</v>
      </c>
    </row>
    <row r="251" spans="2:19" x14ac:dyDescent="0.2">
      <c r="B251" s="83">
        <f t="shared" si="112"/>
        <v>31</v>
      </c>
      <c r="C251" s="3"/>
      <c r="D251" s="3"/>
      <c r="E251" s="3"/>
      <c r="F251" s="26" t="s">
        <v>208</v>
      </c>
      <c r="G251" s="3">
        <v>633</v>
      </c>
      <c r="H251" s="3" t="s">
        <v>137</v>
      </c>
      <c r="I251" s="19">
        <v>2200</v>
      </c>
      <c r="J251" s="19"/>
      <c r="K251" s="19">
        <f t="shared" si="110"/>
        <v>2200</v>
      </c>
      <c r="M251" s="19"/>
      <c r="N251" s="19"/>
      <c r="O251" s="87">
        <f t="shared" si="111"/>
        <v>0</v>
      </c>
      <c r="Q251" s="294">
        <f t="shared" si="107"/>
        <v>2200</v>
      </c>
      <c r="R251" s="19">
        <f t="shared" si="117"/>
        <v>0</v>
      </c>
      <c r="S251" s="87">
        <f t="shared" si="117"/>
        <v>2200</v>
      </c>
    </row>
    <row r="252" spans="2:19" x14ac:dyDescent="0.2">
      <c r="B252" s="83">
        <f t="shared" si="112"/>
        <v>32</v>
      </c>
      <c r="C252" s="3"/>
      <c r="D252" s="3"/>
      <c r="E252" s="3"/>
      <c r="F252" s="26" t="s">
        <v>208</v>
      </c>
      <c r="G252" s="3">
        <v>635</v>
      </c>
      <c r="H252" s="3" t="s">
        <v>145</v>
      </c>
      <c r="I252" s="19">
        <v>400</v>
      </c>
      <c r="J252" s="19"/>
      <c r="K252" s="19">
        <f t="shared" si="110"/>
        <v>400</v>
      </c>
      <c r="M252" s="19"/>
      <c r="N252" s="19"/>
      <c r="O252" s="87">
        <f t="shared" si="111"/>
        <v>0</v>
      </c>
      <c r="Q252" s="294">
        <f t="shared" ref="Q252:Q287" si="122">I252+M252</f>
        <v>400</v>
      </c>
      <c r="R252" s="19">
        <f t="shared" ref="R252:S267" si="123">J252+N252</f>
        <v>0</v>
      </c>
      <c r="S252" s="87">
        <f t="shared" si="123"/>
        <v>400</v>
      </c>
    </row>
    <row r="253" spans="2:19" x14ac:dyDescent="0.2">
      <c r="B253" s="83">
        <f t="shared" si="112"/>
        <v>33</v>
      </c>
      <c r="C253" s="3"/>
      <c r="D253" s="3"/>
      <c r="E253" s="3"/>
      <c r="F253" s="26" t="s">
        <v>208</v>
      </c>
      <c r="G253" s="3">
        <v>637</v>
      </c>
      <c r="H253" s="3" t="s">
        <v>134</v>
      </c>
      <c r="I253" s="19">
        <v>3090</v>
      </c>
      <c r="J253" s="19"/>
      <c r="K253" s="19">
        <f t="shared" si="110"/>
        <v>3090</v>
      </c>
      <c r="M253" s="19"/>
      <c r="N253" s="19"/>
      <c r="O253" s="87">
        <f t="shared" si="111"/>
        <v>0</v>
      </c>
      <c r="Q253" s="294">
        <f t="shared" si="122"/>
        <v>3090</v>
      </c>
      <c r="R253" s="19">
        <f t="shared" si="123"/>
        <v>0</v>
      </c>
      <c r="S253" s="87">
        <f t="shared" si="123"/>
        <v>3090</v>
      </c>
    </row>
    <row r="254" spans="2:19" x14ac:dyDescent="0.2">
      <c r="B254" s="83">
        <f t="shared" si="112"/>
        <v>34</v>
      </c>
      <c r="C254" s="7"/>
      <c r="D254" s="7"/>
      <c r="E254" s="7"/>
      <c r="F254" s="25" t="s">
        <v>208</v>
      </c>
      <c r="G254" s="7">
        <v>640</v>
      </c>
      <c r="H254" s="7" t="s">
        <v>141</v>
      </c>
      <c r="I254" s="23">
        <v>1100</v>
      </c>
      <c r="J254" s="23"/>
      <c r="K254" s="23">
        <f t="shared" si="110"/>
        <v>1100</v>
      </c>
      <c r="M254" s="23"/>
      <c r="N254" s="23"/>
      <c r="O254" s="86">
        <f t="shared" si="111"/>
        <v>0</v>
      </c>
      <c r="Q254" s="293">
        <f t="shared" si="122"/>
        <v>1100</v>
      </c>
      <c r="R254" s="23">
        <f t="shared" si="123"/>
        <v>0</v>
      </c>
      <c r="S254" s="86">
        <f t="shared" si="123"/>
        <v>1100</v>
      </c>
    </row>
    <row r="255" spans="2:19" ht="15" x14ac:dyDescent="0.2">
      <c r="B255" s="83">
        <f t="shared" si="112"/>
        <v>35</v>
      </c>
      <c r="C255" s="268">
        <v>5</v>
      </c>
      <c r="D255" s="360" t="s">
        <v>233</v>
      </c>
      <c r="E255" s="361"/>
      <c r="F255" s="361"/>
      <c r="G255" s="361"/>
      <c r="H255" s="362"/>
      <c r="I255" s="36">
        <f>I256</f>
        <v>55610</v>
      </c>
      <c r="J255" s="36">
        <f t="shared" ref="J255" si="124">J256</f>
        <v>0</v>
      </c>
      <c r="K255" s="36">
        <f t="shared" si="110"/>
        <v>55610</v>
      </c>
      <c r="M255" s="36">
        <f>M256</f>
        <v>0</v>
      </c>
      <c r="N255" s="36">
        <f t="shared" ref="N255" si="125">N256</f>
        <v>0</v>
      </c>
      <c r="O255" s="84">
        <f t="shared" si="111"/>
        <v>0</v>
      </c>
      <c r="Q255" s="291">
        <f t="shared" si="122"/>
        <v>55610</v>
      </c>
      <c r="R255" s="36">
        <f t="shared" si="123"/>
        <v>0</v>
      </c>
      <c r="S255" s="84">
        <f t="shared" si="123"/>
        <v>55610</v>
      </c>
    </row>
    <row r="256" spans="2:19" ht="15" x14ac:dyDescent="0.25">
      <c r="B256" s="83">
        <f t="shared" si="112"/>
        <v>36</v>
      </c>
      <c r="C256" s="10"/>
      <c r="D256" s="10"/>
      <c r="E256" s="10">
        <v>2</v>
      </c>
      <c r="F256" s="28"/>
      <c r="G256" s="10"/>
      <c r="H256" s="10" t="s">
        <v>415</v>
      </c>
      <c r="I256" s="38">
        <f>I257+I258+I259+I265</f>
        <v>55610</v>
      </c>
      <c r="J256" s="38">
        <f t="shared" ref="J256" si="126">J257+J258+J259+J265</f>
        <v>0</v>
      </c>
      <c r="K256" s="38">
        <f t="shared" si="110"/>
        <v>55610</v>
      </c>
      <c r="M256" s="38"/>
      <c r="N256" s="38"/>
      <c r="O256" s="94">
        <f t="shared" si="111"/>
        <v>0</v>
      </c>
      <c r="Q256" s="307">
        <f t="shared" si="122"/>
        <v>55610</v>
      </c>
      <c r="R256" s="38">
        <f t="shared" si="123"/>
        <v>0</v>
      </c>
      <c r="S256" s="94">
        <f t="shared" si="123"/>
        <v>55610</v>
      </c>
    </row>
    <row r="257" spans="2:19" x14ac:dyDescent="0.2">
      <c r="B257" s="83">
        <f t="shared" si="112"/>
        <v>37</v>
      </c>
      <c r="C257" s="7"/>
      <c r="D257" s="7"/>
      <c r="E257" s="7"/>
      <c r="F257" s="25" t="s">
        <v>208</v>
      </c>
      <c r="G257" s="7">
        <v>610</v>
      </c>
      <c r="H257" s="7" t="s">
        <v>143</v>
      </c>
      <c r="I257" s="23">
        <v>22090</v>
      </c>
      <c r="J257" s="23"/>
      <c r="K257" s="23">
        <f t="shared" si="110"/>
        <v>22090</v>
      </c>
      <c r="M257" s="23"/>
      <c r="N257" s="23"/>
      <c r="O257" s="86">
        <f t="shared" si="111"/>
        <v>0</v>
      </c>
      <c r="Q257" s="293">
        <f t="shared" si="122"/>
        <v>22090</v>
      </c>
      <c r="R257" s="23">
        <f t="shared" si="123"/>
        <v>0</v>
      </c>
      <c r="S257" s="86">
        <f t="shared" si="123"/>
        <v>22090</v>
      </c>
    </row>
    <row r="258" spans="2:19" x14ac:dyDescent="0.2">
      <c r="B258" s="83">
        <f t="shared" si="112"/>
        <v>38</v>
      </c>
      <c r="C258" s="7"/>
      <c r="D258" s="7"/>
      <c r="E258" s="7"/>
      <c r="F258" s="25" t="s">
        <v>208</v>
      </c>
      <c r="G258" s="7">
        <v>620</v>
      </c>
      <c r="H258" s="7" t="s">
        <v>136</v>
      </c>
      <c r="I258" s="23">
        <v>9300</v>
      </c>
      <c r="J258" s="23"/>
      <c r="K258" s="23">
        <f t="shared" si="110"/>
        <v>9300</v>
      </c>
      <c r="M258" s="23"/>
      <c r="N258" s="23"/>
      <c r="O258" s="86">
        <f t="shared" si="111"/>
        <v>0</v>
      </c>
      <c r="Q258" s="293">
        <f t="shared" si="122"/>
        <v>9300</v>
      </c>
      <c r="R258" s="23">
        <f t="shared" si="123"/>
        <v>0</v>
      </c>
      <c r="S258" s="86">
        <f t="shared" si="123"/>
        <v>9300</v>
      </c>
    </row>
    <row r="259" spans="2:19" x14ac:dyDescent="0.2">
      <c r="B259" s="83">
        <f t="shared" si="112"/>
        <v>39</v>
      </c>
      <c r="C259" s="7"/>
      <c r="D259" s="7"/>
      <c r="E259" s="7"/>
      <c r="F259" s="25" t="s">
        <v>208</v>
      </c>
      <c r="G259" s="7">
        <v>630</v>
      </c>
      <c r="H259" s="7" t="s">
        <v>133</v>
      </c>
      <c r="I259" s="23">
        <f>SUM(I260:I264)</f>
        <v>22170</v>
      </c>
      <c r="J259" s="23">
        <f t="shared" ref="J259" si="127">SUM(J260:J264)</f>
        <v>0</v>
      </c>
      <c r="K259" s="23">
        <f t="shared" si="110"/>
        <v>22170</v>
      </c>
      <c r="M259" s="23"/>
      <c r="N259" s="23"/>
      <c r="O259" s="86">
        <f t="shared" si="111"/>
        <v>0</v>
      </c>
      <c r="Q259" s="293">
        <f t="shared" si="122"/>
        <v>22170</v>
      </c>
      <c r="R259" s="23">
        <f t="shared" si="123"/>
        <v>0</v>
      </c>
      <c r="S259" s="86">
        <f t="shared" si="123"/>
        <v>22170</v>
      </c>
    </row>
    <row r="260" spans="2:19" x14ac:dyDescent="0.2">
      <c r="B260" s="83">
        <f t="shared" si="112"/>
        <v>40</v>
      </c>
      <c r="C260" s="3"/>
      <c r="D260" s="3"/>
      <c r="E260" s="3"/>
      <c r="F260" s="26" t="s">
        <v>208</v>
      </c>
      <c r="G260" s="3">
        <v>632</v>
      </c>
      <c r="H260" s="3" t="s">
        <v>146</v>
      </c>
      <c r="I260" s="19">
        <v>6400</v>
      </c>
      <c r="J260" s="19"/>
      <c r="K260" s="19">
        <f t="shared" si="110"/>
        <v>6400</v>
      </c>
      <c r="M260" s="19"/>
      <c r="N260" s="19"/>
      <c r="O260" s="87">
        <f t="shared" si="111"/>
        <v>0</v>
      </c>
      <c r="Q260" s="294">
        <f t="shared" si="122"/>
        <v>6400</v>
      </c>
      <c r="R260" s="19">
        <f t="shared" si="123"/>
        <v>0</v>
      </c>
      <c r="S260" s="87">
        <f t="shared" si="123"/>
        <v>6400</v>
      </c>
    </row>
    <row r="261" spans="2:19" x14ac:dyDescent="0.2">
      <c r="B261" s="83">
        <f t="shared" si="112"/>
        <v>41</v>
      </c>
      <c r="C261" s="3"/>
      <c r="D261" s="3"/>
      <c r="E261" s="3"/>
      <c r="F261" s="26" t="s">
        <v>208</v>
      </c>
      <c r="G261" s="3">
        <v>633</v>
      </c>
      <c r="H261" s="3" t="s">
        <v>137</v>
      </c>
      <c r="I261" s="19">
        <v>1000</v>
      </c>
      <c r="J261" s="19"/>
      <c r="K261" s="19">
        <f t="shared" si="110"/>
        <v>1000</v>
      </c>
      <c r="M261" s="19"/>
      <c r="N261" s="19"/>
      <c r="O261" s="87">
        <f t="shared" si="111"/>
        <v>0</v>
      </c>
      <c r="Q261" s="294">
        <f t="shared" si="122"/>
        <v>1000</v>
      </c>
      <c r="R261" s="19">
        <f t="shared" si="123"/>
        <v>0</v>
      </c>
      <c r="S261" s="87">
        <f t="shared" si="123"/>
        <v>1000</v>
      </c>
    </row>
    <row r="262" spans="2:19" x14ac:dyDescent="0.2">
      <c r="B262" s="83">
        <f t="shared" si="112"/>
        <v>42</v>
      </c>
      <c r="C262" s="3"/>
      <c r="D262" s="3"/>
      <c r="E262" s="3"/>
      <c r="F262" s="26" t="s">
        <v>208</v>
      </c>
      <c r="G262" s="3">
        <v>635</v>
      </c>
      <c r="H262" s="3" t="s">
        <v>145</v>
      </c>
      <c r="I262" s="19">
        <v>200</v>
      </c>
      <c r="J262" s="19"/>
      <c r="K262" s="19">
        <f t="shared" si="110"/>
        <v>200</v>
      </c>
      <c r="M262" s="19"/>
      <c r="N262" s="19"/>
      <c r="O262" s="87">
        <f t="shared" si="111"/>
        <v>0</v>
      </c>
      <c r="Q262" s="294">
        <f t="shared" si="122"/>
        <v>200</v>
      </c>
      <c r="R262" s="19">
        <f t="shared" si="123"/>
        <v>0</v>
      </c>
      <c r="S262" s="87">
        <f t="shared" si="123"/>
        <v>200</v>
      </c>
    </row>
    <row r="263" spans="2:19" x14ac:dyDescent="0.2">
      <c r="B263" s="83">
        <f t="shared" si="112"/>
        <v>43</v>
      </c>
      <c r="C263" s="3"/>
      <c r="D263" s="3"/>
      <c r="E263" s="3"/>
      <c r="F263" s="26" t="s">
        <v>208</v>
      </c>
      <c r="G263" s="3">
        <v>636</v>
      </c>
      <c r="H263" s="3" t="s">
        <v>138</v>
      </c>
      <c r="I263" s="19">
        <v>1650</v>
      </c>
      <c r="J263" s="19"/>
      <c r="K263" s="19">
        <f t="shared" si="110"/>
        <v>1650</v>
      </c>
      <c r="M263" s="19"/>
      <c r="N263" s="19"/>
      <c r="O263" s="87">
        <f t="shared" si="111"/>
        <v>0</v>
      </c>
      <c r="Q263" s="294">
        <f t="shared" si="122"/>
        <v>1650</v>
      </c>
      <c r="R263" s="19">
        <f t="shared" si="123"/>
        <v>0</v>
      </c>
      <c r="S263" s="87">
        <f t="shared" si="123"/>
        <v>1650</v>
      </c>
    </row>
    <row r="264" spans="2:19" x14ac:dyDescent="0.2">
      <c r="B264" s="83">
        <f t="shared" si="112"/>
        <v>44</v>
      </c>
      <c r="C264" s="3"/>
      <c r="D264" s="3"/>
      <c r="E264" s="3"/>
      <c r="F264" s="26" t="s">
        <v>208</v>
      </c>
      <c r="G264" s="3">
        <v>637</v>
      </c>
      <c r="H264" s="3" t="s">
        <v>134</v>
      </c>
      <c r="I264" s="19">
        <v>12920</v>
      </c>
      <c r="J264" s="19"/>
      <c r="K264" s="19">
        <f t="shared" si="110"/>
        <v>12920</v>
      </c>
      <c r="M264" s="19"/>
      <c r="N264" s="19"/>
      <c r="O264" s="87">
        <f t="shared" si="111"/>
        <v>0</v>
      </c>
      <c r="Q264" s="294">
        <f t="shared" si="122"/>
        <v>12920</v>
      </c>
      <c r="R264" s="19">
        <f t="shared" si="123"/>
        <v>0</v>
      </c>
      <c r="S264" s="87">
        <f t="shared" si="123"/>
        <v>12920</v>
      </c>
    </row>
    <row r="265" spans="2:19" x14ac:dyDescent="0.2">
      <c r="B265" s="83">
        <f t="shared" si="112"/>
        <v>45</v>
      </c>
      <c r="C265" s="7"/>
      <c r="D265" s="7"/>
      <c r="E265" s="7"/>
      <c r="F265" s="25" t="s">
        <v>208</v>
      </c>
      <c r="G265" s="7">
        <v>640</v>
      </c>
      <c r="H265" s="7" t="s">
        <v>141</v>
      </c>
      <c r="I265" s="23">
        <v>2050</v>
      </c>
      <c r="J265" s="23"/>
      <c r="K265" s="23">
        <f t="shared" si="110"/>
        <v>2050</v>
      </c>
      <c r="M265" s="23"/>
      <c r="N265" s="23"/>
      <c r="O265" s="86">
        <f t="shared" si="111"/>
        <v>0</v>
      </c>
      <c r="Q265" s="293">
        <f t="shared" si="122"/>
        <v>2050</v>
      </c>
      <c r="R265" s="23">
        <f t="shared" si="123"/>
        <v>0</v>
      </c>
      <c r="S265" s="86">
        <f t="shared" si="123"/>
        <v>2050</v>
      </c>
    </row>
    <row r="266" spans="2:19" ht="15" x14ac:dyDescent="0.2">
      <c r="B266" s="83">
        <f t="shared" si="112"/>
        <v>46</v>
      </c>
      <c r="C266" s="268">
        <v>6</v>
      </c>
      <c r="D266" s="360" t="s">
        <v>157</v>
      </c>
      <c r="E266" s="361"/>
      <c r="F266" s="361"/>
      <c r="G266" s="361"/>
      <c r="H266" s="362"/>
      <c r="I266" s="36">
        <f>I267+I274</f>
        <v>180736</v>
      </c>
      <c r="J266" s="36">
        <f t="shared" ref="J266" si="128">J267+J274</f>
        <v>0</v>
      </c>
      <c r="K266" s="36">
        <f t="shared" si="110"/>
        <v>180736</v>
      </c>
      <c r="M266" s="36">
        <f>M274</f>
        <v>28000</v>
      </c>
      <c r="N266" s="36">
        <f t="shared" ref="N266" si="129">N274</f>
        <v>0</v>
      </c>
      <c r="O266" s="84">
        <f t="shared" si="111"/>
        <v>28000</v>
      </c>
      <c r="Q266" s="291">
        <f t="shared" si="122"/>
        <v>208736</v>
      </c>
      <c r="R266" s="36">
        <f t="shared" si="123"/>
        <v>0</v>
      </c>
      <c r="S266" s="84">
        <f t="shared" si="123"/>
        <v>208736</v>
      </c>
    </row>
    <row r="267" spans="2:19" x14ac:dyDescent="0.2">
      <c r="B267" s="83">
        <f t="shared" si="112"/>
        <v>47</v>
      </c>
      <c r="C267" s="7"/>
      <c r="D267" s="7"/>
      <c r="E267" s="7"/>
      <c r="F267" s="25" t="s">
        <v>156</v>
      </c>
      <c r="G267" s="7">
        <v>630</v>
      </c>
      <c r="H267" s="7" t="s">
        <v>133</v>
      </c>
      <c r="I267" s="23">
        <f>SUM(I268:I273)</f>
        <v>180736</v>
      </c>
      <c r="J267" s="23">
        <f t="shared" ref="J267" si="130">SUM(J268:J273)</f>
        <v>0</v>
      </c>
      <c r="K267" s="23">
        <f t="shared" si="110"/>
        <v>180736</v>
      </c>
      <c r="M267" s="23"/>
      <c r="N267" s="23"/>
      <c r="O267" s="86">
        <f t="shared" si="111"/>
        <v>0</v>
      </c>
      <c r="Q267" s="293">
        <f t="shared" si="122"/>
        <v>180736</v>
      </c>
      <c r="R267" s="23">
        <f t="shared" si="123"/>
        <v>0</v>
      </c>
      <c r="S267" s="86">
        <f t="shared" si="123"/>
        <v>180736</v>
      </c>
    </row>
    <row r="268" spans="2:19" x14ac:dyDescent="0.2">
      <c r="B268" s="83">
        <f t="shared" si="112"/>
        <v>48</v>
      </c>
      <c r="C268" s="3"/>
      <c r="D268" s="3"/>
      <c r="E268" s="3"/>
      <c r="F268" s="26" t="s">
        <v>156</v>
      </c>
      <c r="G268" s="3">
        <v>632</v>
      </c>
      <c r="H268" s="3" t="s">
        <v>146</v>
      </c>
      <c r="I268" s="19">
        <v>25000</v>
      </c>
      <c r="J268" s="19"/>
      <c r="K268" s="19">
        <f t="shared" si="110"/>
        <v>25000</v>
      </c>
      <c r="M268" s="19"/>
      <c r="N268" s="19"/>
      <c r="O268" s="87">
        <f t="shared" si="111"/>
        <v>0</v>
      </c>
      <c r="Q268" s="294">
        <f t="shared" si="122"/>
        <v>25000</v>
      </c>
      <c r="R268" s="19">
        <f t="shared" ref="R268:S283" si="131">J268+N268</f>
        <v>0</v>
      </c>
      <c r="S268" s="87">
        <f t="shared" si="131"/>
        <v>25000</v>
      </c>
    </row>
    <row r="269" spans="2:19" x14ac:dyDescent="0.2">
      <c r="B269" s="83">
        <f t="shared" si="112"/>
        <v>49</v>
      </c>
      <c r="C269" s="3"/>
      <c r="D269" s="3"/>
      <c r="E269" s="3"/>
      <c r="F269" s="26" t="s">
        <v>156</v>
      </c>
      <c r="G269" s="3">
        <v>633</v>
      </c>
      <c r="H269" s="3" t="s">
        <v>137</v>
      </c>
      <c r="I269" s="19">
        <v>1700</v>
      </c>
      <c r="J269" s="19"/>
      <c r="K269" s="19">
        <f t="shared" si="110"/>
        <v>1700</v>
      </c>
      <c r="M269" s="19"/>
      <c r="N269" s="19"/>
      <c r="O269" s="87">
        <f t="shared" si="111"/>
        <v>0</v>
      </c>
      <c r="Q269" s="294">
        <f t="shared" si="122"/>
        <v>1700</v>
      </c>
      <c r="R269" s="19">
        <f t="shared" si="131"/>
        <v>0</v>
      </c>
      <c r="S269" s="87">
        <f t="shared" si="131"/>
        <v>1700</v>
      </c>
    </row>
    <row r="270" spans="2:19" x14ac:dyDescent="0.2">
      <c r="B270" s="83">
        <f t="shared" si="112"/>
        <v>50</v>
      </c>
      <c r="C270" s="3"/>
      <c r="D270" s="3"/>
      <c r="E270" s="3"/>
      <c r="F270" s="26" t="s">
        <v>156</v>
      </c>
      <c r="G270" s="3">
        <v>635</v>
      </c>
      <c r="H270" s="3" t="s">
        <v>145</v>
      </c>
      <c r="I270" s="19">
        <v>12600</v>
      </c>
      <c r="J270" s="19"/>
      <c r="K270" s="19">
        <f t="shared" si="110"/>
        <v>12600</v>
      </c>
      <c r="M270" s="19"/>
      <c r="N270" s="19"/>
      <c r="O270" s="87">
        <f t="shared" si="111"/>
        <v>0</v>
      </c>
      <c r="Q270" s="294">
        <f t="shared" si="122"/>
        <v>12600</v>
      </c>
      <c r="R270" s="19">
        <f t="shared" si="131"/>
        <v>0</v>
      </c>
      <c r="S270" s="87">
        <f t="shared" si="131"/>
        <v>12600</v>
      </c>
    </row>
    <row r="271" spans="2:19" x14ac:dyDescent="0.2">
      <c r="B271" s="83">
        <f t="shared" si="112"/>
        <v>51</v>
      </c>
      <c r="C271" s="3"/>
      <c r="D271" s="3"/>
      <c r="E271" s="3"/>
      <c r="F271" s="26" t="s">
        <v>156</v>
      </c>
      <c r="G271" s="3">
        <v>635</v>
      </c>
      <c r="H271" s="3" t="s">
        <v>461</v>
      </c>
      <c r="I271" s="19">
        <v>15000</v>
      </c>
      <c r="J271" s="19"/>
      <c r="K271" s="19">
        <f t="shared" si="110"/>
        <v>15000</v>
      </c>
      <c r="M271" s="19"/>
      <c r="N271" s="19"/>
      <c r="O271" s="87">
        <f t="shared" si="111"/>
        <v>0</v>
      </c>
      <c r="Q271" s="294">
        <f t="shared" si="122"/>
        <v>15000</v>
      </c>
      <c r="R271" s="19">
        <f t="shared" si="131"/>
        <v>0</v>
      </c>
      <c r="S271" s="87">
        <f t="shared" si="131"/>
        <v>15000</v>
      </c>
    </row>
    <row r="272" spans="2:19" x14ac:dyDescent="0.2">
      <c r="B272" s="83">
        <f t="shared" si="112"/>
        <v>52</v>
      </c>
      <c r="C272" s="3"/>
      <c r="D272" s="3"/>
      <c r="E272" s="3"/>
      <c r="F272" s="26" t="s">
        <v>156</v>
      </c>
      <c r="G272" s="3">
        <v>637</v>
      </c>
      <c r="H272" s="3" t="s">
        <v>134</v>
      </c>
      <c r="I272" s="19">
        <v>117910</v>
      </c>
      <c r="J272" s="19"/>
      <c r="K272" s="19">
        <f t="shared" si="110"/>
        <v>117910</v>
      </c>
      <c r="M272" s="19"/>
      <c r="N272" s="19"/>
      <c r="O272" s="87">
        <f t="shared" si="111"/>
        <v>0</v>
      </c>
      <c r="Q272" s="294">
        <f t="shared" si="122"/>
        <v>117910</v>
      </c>
      <c r="R272" s="19">
        <f t="shared" si="131"/>
        <v>0</v>
      </c>
      <c r="S272" s="87">
        <f t="shared" si="131"/>
        <v>117910</v>
      </c>
    </row>
    <row r="273" spans="2:19" x14ac:dyDescent="0.2">
      <c r="B273" s="83">
        <f t="shared" si="112"/>
        <v>53</v>
      </c>
      <c r="C273" s="3"/>
      <c r="D273" s="3"/>
      <c r="E273" s="3"/>
      <c r="F273" s="26" t="s">
        <v>156</v>
      </c>
      <c r="G273" s="3">
        <v>637</v>
      </c>
      <c r="H273" s="3" t="s">
        <v>290</v>
      </c>
      <c r="I273" s="19">
        <v>8526</v>
      </c>
      <c r="J273" s="19"/>
      <c r="K273" s="19">
        <f t="shared" si="110"/>
        <v>8526</v>
      </c>
      <c r="M273" s="19"/>
      <c r="N273" s="19"/>
      <c r="O273" s="87">
        <f t="shared" si="111"/>
        <v>0</v>
      </c>
      <c r="Q273" s="294">
        <f t="shared" si="122"/>
        <v>8526</v>
      </c>
      <c r="R273" s="19">
        <f t="shared" si="131"/>
        <v>0</v>
      </c>
      <c r="S273" s="87">
        <f t="shared" si="131"/>
        <v>8526</v>
      </c>
    </row>
    <row r="274" spans="2:19" x14ac:dyDescent="0.2">
      <c r="B274" s="83">
        <f t="shared" si="112"/>
        <v>54</v>
      </c>
      <c r="C274" s="7"/>
      <c r="D274" s="7"/>
      <c r="E274" s="7"/>
      <c r="F274" s="25" t="s">
        <v>156</v>
      </c>
      <c r="G274" s="7">
        <v>710</v>
      </c>
      <c r="H274" s="7" t="s">
        <v>188</v>
      </c>
      <c r="I274" s="23"/>
      <c r="J274" s="23"/>
      <c r="K274" s="23">
        <f t="shared" si="110"/>
        <v>0</v>
      </c>
      <c r="M274" s="23">
        <f>M277+M275</f>
        <v>28000</v>
      </c>
      <c r="N274" s="23">
        <f t="shared" ref="N274" si="132">N277+N275</f>
        <v>0</v>
      </c>
      <c r="O274" s="86">
        <f t="shared" si="111"/>
        <v>28000</v>
      </c>
      <c r="Q274" s="293">
        <f t="shared" si="122"/>
        <v>28000</v>
      </c>
      <c r="R274" s="23">
        <f t="shared" si="131"/>
        <v>0</v>
      </c>
      <c r="S274" s="86">
        <f t="shared" si="131"/>
        <v>28000</v>
      </c>
    </row>
    <row r="275" spans="2:19" x14ac:dyDescent="0.2">
      <c r="B275" s="83">
        <f t="shared" si="112"/>
        <v>55</v>
      </c>
      <c r="C275" s="3"/>
      <c r="D275" s="3"/>
      <c r="E275" s="3"/>
      <c r="F275" s="26" t="s">
        <v>156</v>
      </c>
      <c r="G275" s="3">
        <v>716</v>
      </c>
      <c r="H275" s="3" t="s">
        <v>232</v>
      </c>
      <c r="I275" s="19"/>
      <c r="J275" s="19"/>
      <c r="K275" s="19">
        <f t="shared" si="110"/>
        <v>0</v>
      </c>
      <c r="M275" s="19">
        <f>M276</f>
        <v>9000</v>
      </c>
      <c r="N275" s="19">
        <f t="shared" ref="N275" si="133">N276</f>
        <v>0</v>
      </c>
      <c r="O275" s="87">
        <f t="shared" si="111"/>
        <v>9000</v>
      </c>
      <c r="Q275" s="294">
        <f t="shared" si="122"/>
        <v>9000</v>
      </c>
      <c r="R275" s="19">
        <f t="shared" si="131"/>
        <v>0</v>
      </c>
      <c r="S275" s="87">
        <f t="shared" si="131"/>
        <v>9000</v>
      </c>
    </row>
    <row r="276" spans="2:19" x14ac:dyDescent="0.2">
      <c r="B276" s="83">
        <f t="shared" si="112"/>
        <v>56</v>
      </c>
      <c r="C276" s="4"/>
      <c r="D276" s="4"/>
      <c r="E276" s="4"/>
      <c r="F276" s="27"/>
      <c r="G276" s="4"/>
      <c r="H276" s="4" t="s">
        <v>373</v>
      </c>
      <c r="I276" s="21"/>
      <c r="J276" s="21"/>
      <c r="K276" s="21">
        <f t="shared" si="110"/>
        <v>0</v>
      </c>
      <c r="M276" s="21">
        <v>9000</v>
      </c>
      <c r="N276" s="21"/>
      <c r="O276" s="88">
        <f t="shared" si="111"/>
        <v>9000</v>
      </c>
      <c r="Q276" s="308">
        <f t="shared" si="122"/>
        <v>9000</v>
      </c>
      <c r="R276" s="21">
        <f t="shared" si="131"/>
        <v>0</v>
      </c>
      <c r="S276" s="88">
        <f t="shared" si="131"/>
        <v>9000</v>
      </c>
    </row>
    <row r="277" spans="2:19" x14ac:dyDescent="0.2">
      <c r="B277" s="83">
        <f t="shared" si="112"/>
        <v>57</v>
      </c>
      <c r="C277" s="3"/>
      <c r="D277" s="3"/>
      <c r="E277" s="3"/>
      <c r="F277" s="26" t="s">
        <v>156</v>
      </c>
      <c r="G277" s="3">
        <v>717</v>
      </c>
      <c r="H277" s="3" t="s">
        <v>198</v>
      </c>
      <c r="I277" s="19"/>
      <c r="J277" s="19"/>
      <c r="K277" s="19">
        <f t="shared" si="110"/>
        <v>0</v>
      </c>
      <c r="M277" s="19">
        <f>SUM(M278:M280)</f>
        <v>19000</v>
      </c>
      <c r="N277" s="19">
        <f t="shared" ref="N277" si="134">SUM(N278:N280)</f>
        <v>0</v>
      </c>
      <c r="O277" s="87">
        <f t="shared" si="111"/>
        <v>19000</v>
      </c>
      <c r="Q277" s="294">
        <f t="shared" si="122"/>
        <v>19000</v>
      </c>
      <c r="R277" s="19">
        <f t="shared" si="131"/>
        <v>0</v>
      </c>
      <c r="S277" s="87">
        <f t="shared" si="131"/>
        <v>19000</v>
      </c>
    </row>
    <row r="278" spans="2:19" x14ac:dyDescent="0.2">
      <c r="B278" s="83">
        <f t="shared" si="112"/>
        <v>58</v>
      </c>
      <c r="C278" s="4"/>
      <c r="D278" s="4"/>
      <c r="E278" s="4"/>
      <c r="F278" s="27"/>
      <c r="G278" s="4"/>
      <c r="H278" s="13" t="s">
        <v>310</v>
      </c>
      <c r="I278" s="21"/>
      <c r="J278" s="21"/>
      <c r="K278" s="21">
        <f t="shared" si="110"/>
        <v>0</v>
      </c>
      <c r="M278" s="21">
        <v>10000</v>
      </c>
      <c r="N278" s="21"/>
      <c r="O278" s="88">
        <f t="shared" si="111"/>
        <v>10000</v>
      </c>
      <c r="Q278" s="308">
        <f t="shared" si="122"/>
        <v>10000</v>
      </c>
      <c r="R278" s="21">
        <f t="shared" si="131"/>
        <v>0</v>
      </c>
      <c r="S278" s="88">
        <f t="shared" si="131"/>
        <v>10000</v>
      </c>
    </row>
    <row r="279" spans="2:19" x14ac:dyDescent="0.2">
      <c r="B279" s="83">
        <f t="shared" si="112"/>
        <v>59</v>
      </c>
      <c r="C279" s="4"/>
      <c r="D279" s="4"/>
      <c r="E279" s="4"/>
      <c r="F279" s="27"/>
      <c r="G279" s="4"/>
      <c r="H279" s="13" t="s">
        <v>460</v>
      </c>
      <c r="I279" s="21"/>
      <c r="J279" s="21"/>
      <c r="K279" s="21">
        <f t="shared" si="110"/>
        <v>0</v>
      </c>
      <c r="M279" s="21">
        <v>6000</v>
      </c>
      <c r="N279" s="21"/>
      <c r="O279" s="88">
        <f t="shared" si="111"/>
        <v>6000</v>
      </c>
      <c r="Q279" s="308">
        <f t="shared" si="122"/>
        <v>6000</v>
      </c>
      <c r="R279" s="21">
        <f t="shared" si="131"/>
        <v>0</v>
      </c>
      <c r="S279" s="88">
        <f t="shared" si="131"/>
        <v>6000</v>
      </c>
    </row>
    <row r="280" spans="2:19" x14ac:dyDescent="0.2">
      <c r="B280" s="83">
        <f t="shared" si="112"/>
        <v>60</v>
      </c>
      <c r="C280" s="4"/>
      <c r="D280" s="4"/>
      <c r="E280" s="4"/>
      <c r="F280" s="27"/>
      <c r="G280" s="4"/>
      <c r="H280" s="13" t="s">
        <v>498</v>
      </c>
      <c r="I280" s="21"/>
      <c r="J280" s="21"/>
      <c r="K280" s="21">
        <f t="shared" si="110"/>
        <v>0</v>
      </c>
      <c r="M280" s="21">
        <v>3000</v>
      </c>
      <c r="N280" s="21"/>
      <c r="O280" s="88">
        <f t="shared" si="111"/>
        <v>3000</v>
      </c>
      <c r="Q280" s="308">
        <f t="shared" si="122"/>
        <v>3000</v>
      </c>
      <c r="R280" s="21">
        <f t="shared" si="131"/>
        <v>0</v>
      </c>
      <c r="S280" s="88">
        <f t="shared" si="131"/>
        <v>3000</v>
      </c>
    </row>
    <row r="281" spans="2:19" ht="15" x14ac:dyDescent="0.2">
      <c r="B281" s="83">
        <f t="shared" si="112"/>
        <v>61</v>
      </c>
      <c r="C281" s="268">
        <v>7</v>
      </c>
      <c r="D281" s="360" t="s">
        <v>48</v>
      </c>
      <c r="E281" s="361"/>
      <c r="F281" s="361"/>
      <c r="G281" s="361"/>
      <c r="H281" s="362"/>
      <c r="I281" s="36">
        <f>I282</f>
        <v>2300</v>
      </c>
      <c r="J281" s="36">
        <f t="shared" ref="J281:J282" si="135">J282</f>
        <v>0</v>
      </c>
      <c r="K281" s="36">
        <f t="shared" si="110"/>
        <v>2300</v>
      </c>
      <c r="M281" s="36">
        <v>0</v>
      </c>
      <c r="N281" s="36">
        <v>0</v>
      </c>
      <c r="O281" s="84">
        <f t="shared" si="111"/>
        <v>0</v>
      </c>
      <c r="Q281" s="291">
        <f t="shared" si="122"/>
        <v>2300</v>
      </c>
      <c r="R281" s="36">
        <f t="shared" si="131"/>
        <v>0</v>
      </c>
      <c r="S281" s="84">
        <f t="shared" si="131"/>
        <v>2300</v>
      </c>
    </row>
    <row r="282" spans="2:19" ht="15" x14ac:dyDescent="0.25">
      <c r="B282" s="83">
        <f t="shared" si="112"/>
        <v>62</v>
      </c>
      <c r="C282" s="10"/>
      <c r="D282" s="10"/>
      <c r="E282" s="10">
        <v>2</v>
      </c>
      <c r="F282" s="28"/>
      <c r="G282" s="10"/>
      <c r="H282" s="10" t="s">
        <v>415</v>
      </c>
      <c r="I282" s="38">
        <f>I283</f>
        <v>2300</v>
      </c>
      <c r="J282" s="38">
        <f t="shared" si="135"/>
        <v>0</v>
      </c>
      <c r="K282" s="38">
        <f t="shared" si="110"/>
        <v>2300</v>
      </c>
      <c r="M282" s="38"/>
      <c r="N282" s="38"/>
      <c r="O282" s="94">
        <f t="shared" si="111"/>
        <v>0</v>
      </c>
      <c r="Q282" s="307">
        <f t="shared" si="122"/>
        <v>2300</v>
      </c>
      <c r="R282" s="38">
        <f t="shared" si="131"/>
        <v>0</v>
      </c>
      <c r="S282" s="94">
        <f t="shared" si="131"/>
        <v>2300</v>
      </c>
    </row>
    <row r="283" spans="2:19" x14ac:dyDescent="0.2">
      <c r="B283" s="83">
        <f t="shared" si="112"/>
        <v>63</v>
      </c>
      <c r="C283" s="7"/>
      <c r="D283" s="7"/>
      <c r="E283" s="7"/>
      <c r="F283" s="25" t="s">
        <v>234</v>
      </c>
      <c r="G283" s="7">
        <v>630</v>
      </c>
      <c r="H283" s="7" t="s">
        <v>133</v>
      </c>
      <c r="I283" s="23">
        <f>SUM(I284:I287)</f>
        <v>2300</v>
      </c>
      <c r="J283" s="23">
        <f t="shared" ref="J283" si="136">SUM(J284:J287)</f>
        <v>0</v>
      </c>
      <c r="K283" s="23">
        <f t="shared" si="110"/>
        <v>2300</v>
      </c>
      <c r="M283" s="23"/>
      <c r="N283" s="23"/>
      <c r="O283" s="86">
        <f t="shared" si="111"/>
        <v>0</v>
      </c>
      <c r="Q283" s="293">
        <f t="shared" si="122"/>
        <v>2300</v>
      </c>
      <c r="R283" s="23">
        <f t="shared" si="131"/>
        <v>0</v>
      </c>
      <c r="S283" s="86">
        <f t="shared" si="131"/>
        <v>2300</v>
      </c>
    </row>
    <row r="284" spans="2:19" x14ac:dyDescent="0.2">
      <c r="B284" s="83">
        <f t="shared" si="112"/>
        <v>64</v>
      </c>
      <c r="C284" s="3"/>
      <c r="D284" s="3"/>
      <c r="E284" s="3"/>
      <c r="F284" s="26" t="s">
        <v>234</v>
      </c>
      <c r="G284" s="3">
        <v>633</v>
      </c>
      <c r="H284" s="3" t="s">
        <v>137</v>
      </c>
      <c r="I284" s="19">
        <v>700</v>
      </c>
      <c r="J284" s="19"/>
      <c r="K284" s="19">
        <f t="shared" si="110"/>
        <v>700</v>
      </c>
      <c r="M284" s="19"/>
      <c r="N284" s="19"/>
      <c r="O284" s="87">
        <f t="shared" si="111"/>
        <v>0</v>
      </c>
      <c r="Q284" s="294">
        <f t="shared" si="122"/>
        <v>700</v>
      </c>
      <c r="R284" s="19">
        <f t="shared" ref="R284:S287" si="137">J284+N284</f>
        <v>0</v>
      </c>
      <c r="S284" s="87">
        <f t="shared" si="137"/>
        <v>700</v>
      </c>
    </row>
    <row r="285" spans="2:19" x14ac:dyDescent="0.2">
      <c r="B285" s="83">
        <f t="shared" si="112"/>
        <v>65</v>
      </c>
      <c r="C285" s="3"/>
      <c r="D285" s="3"/>
      <c r="E285" s="3"/>
      <c r="F285" s="26" t="s">
        <v>234</v>
      </c>
      <c r="G285" s="3">
        <v>634</v>
      </c>
      <c r="H285" s="3" t="s">
        <v>144</v>
      </c>
      <c r="I285" s="19">
        <v>400</v>
      </c>
      <c r="J285" s="19"/>
      <c r="K285" s="19">
        <f t="shared" ref="K285:K287" si="138">I285+J285</f>
        <v>400</v>
      </c>
      <c r="M285" s="19"/>
      <c r="N285" s="19"/>
      <c r="O285" s="87">
        <f t="shared" ref="O285:O287" si="139">M285+N285</f>
        <v>0</v>
      </c>
      <c r="Q285" s="294">
        <f t="shared" si="122"/>
        <v>400</v>
      </c>
      <c r="R285" s="19">
        <f t="shared" si="137"/>
        <v>0</v>
      </c>
      <c r="S285" s="87">
        <f t="shared" si="137"/>
        <v>400</v>
      </c>
    </row>
    <row r="286" spans="2:19" x14ac:dyDescent="0.2">
      <c r="B286" s="83">
        <f t="shared" si="112"/>
        <v>66</v>
      </c>
      <c r="C286" s="3"/>
      <c r="D286" s="3"/>
      <c r="E286" s="3"/>
      <c r="F286" s="26" t="s">
        <v>234</v>
      </c>
      <c r="G286" s="3">
        <v>635</v>
      </c>
      <c r="H286" s="3" t="s">
        <v>145</v>
      </c>
      <c r="I286" s="19">
        <v>1000</v>
      </c>
      <c r="J286" s="19"/>
      <c r="K286" s="19">
        <f t="shared" si="138"/>
        <v>1000</v>
      </c>
      <c r="M286" s="19"/>
      <c r="N286" s="19"/>
      <c r="O286" s="87">
        <f t="shared" si="139"/>
        <v>0</v>
      </c>
      <c r="Q286" s="294">
        <f t="shared" si="122"/>
        <v>1000</v>
      </c>
      <c r="R286" s="19">
        <f t="shared" si="137"/>
        <v>0</v>
      </c>
      <c r="S286" s="87">
        <f t="shared" si="137"/>
        <v>1000</v>
      </c>
    </row>
    <row r="287" spans="2:19" ht="13.5" thickBot="1" x14ac:dyDescent="0.25">
      <c r="B287" s="89">
        <f t="shared" ref="B287" si="140">B286+1</f>
        <v>67</v>
      </c>
      <c r="C287" s="14"/>
      <c r="D287" s="14"/>
      <c r="E287" s="14"/>
      <c r="F287" s="90" t="s">
        <v>234</v>
      </c>
      <c r="G287" s="14">
        <v>637</v>
      </c>
      <c r="H287" s="14" t="s">
        <v>134</v>
      </c>
      <c r="I287" s="24">
        <v>200</v>
      </c>
      <c r="J287" s="24"/>
      <c r="K287" s="24">
        <f t="shared" si="138"/>
        <v>200</v>
      </c>
      <c r="L287" s="270"/>
      <c r="M287" s="24"/>
      <c r="N287" s="24"/>
      <c r="O287" s="91">
        <f t="shared" si="139"/>
        <v>0</v>
      </c>
      <c r="Q287" s="311">
        <f t="shared" si="122"/>
        <v>200</v>
      </c>
      <c r="R287" s="24">
        <f t="shared" si="137"/>
        <v>0</v>
      </c>
      <c r="S287" s="91">
        <f t="shared" si="137"/>
        <v>200</v>
      </c>
    </row>
    <row r="322" spans="2:19" ht="27.75" thickBot="1" x14ac:dyDescent="0.4">
      <c r="B322" s="352" t="s">
        <v>26</v>
      </c>
      <c r="C322" s="353"/>
      <c r="D322" s="353"/>
      <c r="E322" s="353"/>
      <c r="F322" s="353"/>
      <c r="G322" s="353"/>
      <c r="H322" s="353"/>
      <c r="I322" s="353"/>
      <c r="J322" s="353"/>
      <c r="K322" s="353"/>
      <c r="L322" s="353"/>
      <c r="M322" s="353"/>
      <c r="N322" s="353"/>
      <c r="O322" s="353"/>
      <c r="P322" s="353"/>
      <c r="Q322" s="353"/>
    </row>
    <row r="323" spans="2:19" ht="13.5" customHeight="1" thickBot="1" x14ac:dyDescent="0.25">
      <c r="B323" s="378" t="s">
        <v>364</v>
      </c>
      <c r="C323" s="379"/>
      <c r="D323" s="379"/>
      <c r="E323" s="379"/>
      <c r="F323" s="379"/>
      <c r="G323" s="379"/>
      <c r="H323" s="379"/>
      <c r="I323" s="379"/>
      <c r="J323" s="379"/>
      <c r="K323" s="379"/>
      <c r="L323" s="379"/>
      <c r="M323" s="379"/>
      <c r="N323" s="379"/>
      <c r="O323" s="380"/>
      <c r="P323" s="271"/>
      <c r="Q323" s="354" t="s">
        <v>571</v>
      </c>
      <c r="R323" s="392" t="s">
        <v>565</v>
      </c>
      <c r="S323" s="395" t="s">
        <v>569</v>
      </c>
    </row>
    <row r="324" spans="2:19" ht="13.5" customHeight="1" thickBot="1" x14ac:dyDescent="0.25">
      <c r="B324" s="366"/>
      <c r="C324" s="357" t="s">
        <v>126</v>
      </c>
      <c r="D324" s="357" t="s">
        <v>127</v>
      </c>
      <c r="E324" s="357"/>
      <c r="F324" s="357" t="s">
        <v>128</v>
      </c>
      <c r="G324" s="371" t="s">
        <v>129</v>
      </c>
      <c r="H324" s="374" t="s">
        <v>130</v>
      </c>
      <c r="I324" s="363" t="s">
        <v>566</v>
      </c>
      <c r="J324" s="377" t="s">
        <v>565</v>
      </c>
      <c r="K324" s="376" t="s">
        <v>567</v>
      </c>
      <c r="M324" s="363" t="s">
        <v>568</v>
      </c>
      <c r="N324" s="377" t="s">
        <v>565</v>
      </c>
      <c r="O324" s="376" t="s">
        <v>570</v>
      </c>
      <c r="Q324" s="355"/>
      <c r="R324" s="393"/>
      <c r="S324" s="396"/>
    </row>
    <row r="325" spans="2:19" ht="13.5" thickBot="1" x14ac:dyDescent="0.25">
      <c r="B325" s="367"/>
      <c r="C325" s="358"/>
      <c r="D325" s="358"/>
      <c r="E325" s="358"/>
      <c r="F325" s="358"/>
      <c r="G325" s="372"/>
      <c r="H325" s="375"/>
      <c r="I325" s="363"/>
      <c r="J325" s="377"/>
      <c r="K325" s="376"/>
      <c r="M325" s="363"/>
      <c r="N325" s="377"/>
      <c r="O325" s="376"/>
      <c r="Q325" s="355"/>
      <c r="R325" s="393"/>
      <c r="S325" s="396"/>
    </row>
    <row r="326" spans="2:19" ht="13.5" thickBot="1" x14ac:dyDescent="0.25">
      <c r="B326" s="367"/>
      <c r="C326" s="358"/>
      <c r="D326" s="358"/>
      <c r="E326" s="358"/>
      <c r="F326" s="358"/>
      <c r="G326" s="372"/>
      <c r="H326" s="375"/>
      <c r="I326" s="363"/>
      <c r="J326" s="377"/>
      <c r="K326" s="376"/>
      <c r="M326" s="363"/>
      <c r="N326" s="377"/>
      <c r="O326" s="376"/>
      <c r="Q326" s="355"/>
      <c r="R326" s="393"/>
      <c r="S326" s="396"/>
    </row>
    <row r="327" spans="2:19" ht="13.5" thickBot="1" x14ac:dyDescent="0.25">
      <c r="B327" s="367"/>
      <c r="C327" s="359"/>
      <c r="D327" s="359"/>
      <c r="E327" s="359"/>
      <c r="F327" s="359"/>
      <c r="G327" s="373"/>
      <c r="H327" s="375"/>
      <c r="I327" s="363"/>
      <c r="J327" s="377"/>
      <c r="K327" s="376"/>
      <c r="M327" s="363"/>
      <c r="N327" s="377"/>
      <c r="O327" s="376"/>
      <c r="Q327" s="356"/>
      <c r="R327" s="394"/>
      <c r="S327" s="397"/>
    </row>
    <row r="328" spans="2:19" ht="16.5" thickTop="1" x14ac:dyDescent="0.2">
      <c r="B328" s="83">
        <v>1</v>
      </c>
      <c r="C328" s="385" t="s">
        <v>26</v>
      </c>
      <c r="D328" s="390"/>
      <c r="E328" s="390"/>
      <c r="F328" s="390"/>
      <c r="G328" s="390"/>
      <c r="H328" s="391"/>
      <c r="I328" s="35">
        <f>I377+I374+I368+I348+I329</f>
        <v>1827505</v>
      </c>
      <c r="J328" s="35">
        <f t="shared" ref="J328" si="141">J377+J374+J368+J348+J329</f>
        <v>0</v>
      </c>
      <c r="K328" s="35">
        <f>I328+J328</f>
        <v>1827505</v>
      </c>
      <c r="M328" s="35">
        <f>M329+M348+M368+M374+M377</f>
        <v>96050</v>
      </c>
      <c r="N328" s="35">
        <f t="shared" ref="N328" si="142">N329+N348+N368+N374+N377</f>
        <v>0</v>
      </c>
      <c r="O328" s="93">
        <f>M328+N328</f>
        <v>96050</v>
      </c>
      <c r="Q328" s="290">
        <f t="shared" ref="Q328:Q359" si="143">I328+M328</f>
        <v>1923555</v>
      </c>
      <c r="R328" s="35">
        <f t="shared" ref="R328:S343" si="144">J328+N328</f>
        <v>0</v>
      </c>
      <c r="S328" s="93">
        <f t="shared" si="144"/>
        <v>1923555</v>
      </c>
    </row>
    <row r="329" spans="2:19" ht="15" x14ac:dyDescent="0.2">
      <c r="B329" s="83">
        <f>B328+1</f>
        <v>2</v>
      </c>
      <c r="C329" s="268">
        <v>1</v>
      </c>
      <c r="D329" s="360" t="s">
        <v>163</v>
      </c>
      <c r="E329" s="361"/>
      <c r="F329" s="361"/>
      <c r="G329" s="361"/>
      <c r="H329" s="362"/>
      <c r="I329" s="36">
        <f>I330+I331+I332+I340+I342+I343</f>
        <v>1223820</v>
      </c>
      <c r="J329" s="36">
        <f t="shared" ref="J329" si="145">J330+J331+J332+J340+J342+J343</f>
        <v>0</v>
      </c>
      <c r="K329" s="36">
        <f t="shared" ref="K329:K385" si="146">I329+J329</f>
        <v>1223820</v>
      </c>
      <c r="M329" s="36">
        <f>M343</f>
        <v>77500</v>
      </c>
      <c r="N329" s="36">
        <f t="shared" ref="N329" si="147">N343</f>
        <v>0</v>
      </c>
      <c r="O329" s="84">
        <f t="shared" ref="O329:O385" si="148">M329+N329</f>
        <v>77500</v>
      </c>
      <c r="Q329" s="291">
        <f t="shared" si="143"/>
        <v>1301320</v>
      </c>
      <c r="R329" s="36">
        <f t="shared" si="144"/>
        <v>0</v>
      </c>
      <c r="S329" s="84">
        <f t="shared" si="144"/>
        <v>1301320</v>
      </c>
    </row>
    <row r="330" spans="2:19" x14ac:dyDescent="0.2">
      <c r="B330" s="83">
        <f t="shared" ref="B330:B385" si="149">B329+1</f>
        <v>3</v>
      </c>
      <c r="C330" s="7"/>
      <c r="D330" s="7"/>
      <c r="E330" s="7"/>
      <c r="F330" s="25" t="s">
        <v>162</v>
      </c>
      <c r="G330" s="7">
        <v>610</v>
      </c>
      <c r="H330" s="7" t="s">
        <v>143</v>
      </c>
      <c r="I330" s="23">
        <v>750000</v>
      </c>
      <c r="J330" s="23"/>
      <c r="K330" s="23">
        <f t="shared" si="146"/>
        <v>750000</v>
      </c>
      <c r="M330" s="23"/>
      <c r="N330" s="23"/>
      <c r="O330" s="86">
        <f t="shared" si="148"/>
        <v>0</v>
      </c>
      <c r="Q330" s="293">
        <f t="shared" si="143"/>
        <v>750000</v>
      </c>
      <c r="R330" s="23">
        <f t="shared" si="144"/>
        <v>0</v>
      </c>
      <c r="S330" s="86">
        <f t="shared" si="144"/>
        <v>750000</v>
      </c>
    </row>
    <row r="331" spans="2:19" x14ac:dyDescent="0.2">
      <c r="B331" s="83">
        <f t="shared" si="149"/>
        <v>4</v>
      </c>
      <c r="C331" s="7"/>
      <c r="D331" s="7"/>
      <c r="E331" s="7"/>
      <c r="F331" s="25" t="s">
        <v>162</v>
      </c>
      <c r="G331" s="7">
        <v>620</v>
      </c>
      <c r="H331" s="7" t="s">
        <v>136</v>
      </c>
      <c r="I331" s="23">
        <v>261000</v>
      </c>
      <c r="J331" s="23"/>
      <c r="K331" s="23">
        <f t="shared" si="146"/>
        <v>261000</v>
      </c>
      <c r="M331" s="23"/>
      <c r="N331" s="23"/>
      <c r="O331" s="86">
        <f t="shared" si="148"/>
        <v>0</v>
      </c>
      <c r="Q331" s="293">
        <f t="shared" si="143"/>
        <v>261000</v>
      </c>
      <c r="R331" s="23">
        <f t="shared" si="144"/>
        <v>0</v>
      </c>
      <c r="S331" s="86">
        <f t="shared" si="144"/>
        <v>261000</v>
      </c>
    </row>
    <row r="332" spans="2:19" x14ac:dyDescent="0.2">
      <c r="B332" s="83">
        <f t="shared" si="149"/>
        <v>5</v>
      </c>
      <c r="C332" s="7"/>
      <c r="D332" s="7"/>
      <c r="E332" s="7"/>
      <c r="F332" s="25" t="s">
        <v>162</v>
      </c>
      <c r="G332" s="7">
        <v>630</v>
      </c>
      <c r="H332" s="7" t="s">
        <v>133</v>
      </c>
      <c r="I332" s="23">
        <f>I339+I338+I337+I336+I335+I334+I333</f>
        <v>211650</v>
      </c>
      <c r="J332" s="23">
        <f t="shared" ref="J332" si="150">J339+J338+J337+J336+J335+J334+J333</f>
        <v>0</v>
      </c>
      <c r="K332" s="23">
        <f t="shared" si="146"/>
        <v>211650</v>
      </c>
      <c r="M332" s="23"/>
      <c r="N332" s="23"/>
      <c r="O332" s="86">
        <f t="shared" si="148"/>
        <v>0</v>
      </c>
      <c r="Q332" s="293">
        <f t="shared" si="143"/>
        <v>211650</v>
      </c>
      <c r="R332" s="23">
        <f t="shared" si="144"/>
        <v>0</v>
      </c>
      <c r="S332" s="86">
        <f t="shared" si="144"/>
        <v>211650</v>
      </c>
    </row>
    <row r="333" spans="2:19" x14ac:dyDescent="0.2">
      <c r="B333" s="83">
        <f t="shared" si="149"/>
        <v>6</v>
      </c>
      <c r="C333" s="3"/>
      <c r="D333" s="3"/>
      <c r="E333" s="3"/>
      <c r="F333" s="26" t="s">
        <v>162</v>
      </c>
      <c r="G333" s="3">
        <v>631</v>
      </c>
      <c r="H333" s="3" t="s">
        <v>139</v>
      </c>
      <c r="I333" s="19">
        <v>8000</v>
      </c>
      <c r="J333" s="19"/>
      <c r="K333" s="19">
        <f t="shared" si="146"/>
        <v>8000</v>
      </c>
      <c r="M333" s="19"/>
      <c r="N333" s="19"/>
      <c r="O333" s="87">
        <f t="shared" si="148"/>
        <v>0</v>
      </c>
      <c r="Q333" s="294">
        <f t="shared" si="143"/>
        <v>8000</v>
      </c>
      <c r="R333" s="19">
        <f t="shared" si="144"/>
        <v>0</v>
      </c>
      <c r="S333" s="87">
        <f t="shared" si="144"/>
        <v>8000</v>
      </c>
    </row>
    <row r="334" spans="2:19" x14ac:dyDescent="0.2">
      <c r="B334" s="83">
        <f t="shared" si="149"/>
        <v>7</v>
      </c>
      <c r="C334" s="3"/>
      <c r="D334" s="3"/>
      <c r="E334" s="3"/>
      <c r="F334" s="26" t="s">
        <v>162</v>
      </c>
      <c r="G334" s="3">
        <v>632</v>
      </c>
      <c r="H334" s="3" t="s">
        <v>146</v>
      </c>
      <c r="I334" s="19">
        <v>26000</v>
      </c>
      <c r="J334" s="19"/>
      <c r="K334" s="19">
        <f t="shared" si="146"/>
        <v>26000</v>
      </c>
      <c r="M334" s="19"/>
      <c r="N334" s="19"/>
      <c r="O334" s="87">
        <f t="shared" si="148"/>
        <v>0</v>
      </c>
      <c r="Q334" s="294">
        <f t="shared" si="143"/>
        <v>26000</v>
      </c>
      <c r="R334" s="19">
        <f t="shared" si="144"/>
        <v>0</v>
      </c>
      <c r="S334" s="87">
        <f t="shared" si="144"/>
        <v>26000</v>
      </c>
    </row>
    <row r="335" spans="2:19" x14ac:dyDescent="0.2">
      <c r="B335" s="83">
        <f t="shared" si="149"/>
        <v>8</v>
      </c>
      <c r="C335" s="3"/>
      <c r="D335" s="3"/>
      <c r="E335" s="3"/>
      <c r="F335" s="26" t="s">
        <v>162</v>
      </c>
      <c r="G335" s="3">
        <v>633</v>
      </c>
      <c r="H335" s="3" t="s">
        <v>137</v>
      </c>
      <c r="I335" s="19">
        <f>75250-1100</f>
        <v>74150</v>
      </c>
      <c r="J335" s="19"/>
      <c r="K335" s="19">
        <f t="shared" si="146"/>
        <v>74150</v>
      </c>
      <c r="M335" s="19"/>
      <c r="N335" s="19"/>
      <c r="O335" s="87">
        <f t="shared" si="148"/>
        <v>0</v>
      </c>
      <c r="Q335" s="294">
        <f t="shared" si="143"/>
        <v>74150</v>
      </c>
      <c r="R335" s="19">
        <f t="shared" si="144"/>
        <v>0</v>
      </c>
      <c r="S335" s="87">
        <f t="shared" si="144"/>
        <v>74150</v>
      </c>
    </row>
    <row r="336" spans="2:19" x14ac:dyDescent="0.2">
      <c r="B336" s="83">
        <f t="shared" si="149"/>
        <v>9</v>
      </c>
      <c r="C336" s="3"/>
      <c r="D336" s="3"/>
      <c r="E336" s="3"/>
      <c r="F336" s="26" t="s">
        <v>162</v>
      </c>
      <c r="G336" s="3">
        <v>634</v>
      </c>
      <c r="H336" s="3" t="s">
        <v>144</v>
      </c>
      <c r="I336" s="19">
        <v>34530</v>
      </c>
      <c r="J336" s="19"/>
      <c r="K336" s="19">
        <f t="shared" si="146"/>
        <v>34530</v>
      </c>
      <c r="M336" s="19"/>
      <c r="N336" s="19"/>
      <c r="O336" s="87">
        <f t="shared" si="148"/>
        <v>0</v>
      </c>
      <c r="Q336" s="294">
        <f t="shared" si="143"/>
        <v>34530</v>
      </c>
      <c r="R336" s="19">
        <f t="shared" si="144"/>
        <v>0</v>
      </c>
      <c r="S336" s="87">
        <f t="shared" si="144"/>
        <v>34530</v>
      </c>
    </row>
    <row r="337" spans="2:19" x14ac:dyDescent="0.2">
      <c r="B337" s="83">
        <f t="shared" si="149"/>
        <v>10</v>
      </c>
      <c r="C337" s="3"/>
      <c r="D337" s="3"/>
      <c r="E337" s="3"/>
      <c r="F337" s="26" t="s">
        <v>162</v>
      </c>
      <c r="G337" s="3">
        <v>635</v>
      </c>
      <c r="H337" s="3" t="s">
        <v>145</v>
      </c>
      <c r="I337" s="19">
        <f>7000+8500</f>
        <v>15500</v>
      </c>
      <c r="J337" s="19"/>
      <c r="K337" s="19">
        <f t="shared" si="146"/>
        <v>15500</v>
      </c>
      <c r="M337" s="19"/>
      <c r="N337" s="19"/>
      <c r="O337" s="87">
        <f t="shared" si="148"/>
        <v>0</v>
      </c>
      <c r="Q337" s="294">
        <f t="shared" si="143"/>
        <v>15500</v>
      </c>
      <c r="R337" s="19">
        <f t="shared" si="144"/>
        <v>0</v>
      </c>
      <c r="S337" s="87">
        <f t="shared" si="144"/>
        <v>15500</v>
      </c>
    </row>
    <row r="338" spans="2:19" x14ac:dyDescent="0.2">
      <c r="B338" s="83">
        <f t="shared" si="149"/>
        <v>11</v>
      </c>
      <c r="C338" s="3"/>
      <c r="D338" s="3"/>
      <c r="E338" s="3"/>
      <c r="F338" s="26" t="s">
        <v>162</v>
      </c>
      <c r="G338" s="3">
        <v>636</v>
      </c>
      <c r="H338" s="3" t="s">
        <v>138</v>
      </c>
      <c r="I338" s="19">
        <f>900+1100</f>
        <v>2000</v>
      </c>
      <c r="J338" s="19"/>
      <c r="K338" s="19">
        <f t="shared" si="146"/>
        <v>2000</v>
      </c>
      <c r="M338" s="19"/>
      <c r="N338" s="19"/>
      <c r="O338" s="87">
        <f t="shared" si="148"/>
        <v>0</v>
      </c>
      <c r="Q338" s="294">
        <f t="shared" si="143"/>
        <v>2000</v>
      </c>
      <c r="R338" s="19">
        <f t="shared" si="144"/>
        <v>0</v>
      </c>
      <c r="S338" s="87">
        <f t="shared" si="144"/>
        <v>2000</v>
      </c>
    </row>
    <row r="339" spans="2:19" x14ac:dyDescent="0.2">
      <c r="B339" s="83">
        <f t="shared" si="149"/>
        <v>12</v>
      </c>
      <c r="C339" s="3"/>
      <c r="D339" s="3"/>
      <c r="E339" s="3"/>
      <c r="F339" s="26" t="s">
        <v>162</v>
      </c>
      <c r="G339" s="3">
        <v>637</v>
      </c>
      <c r="H339" s="3" t="s">
        <v>134</v>
      </c>
      <c r="I339" s="19">
        <v>51470</v>
      </c>
      <c r="J339" s="19"/>
      <c r="K339" s="19">
        <f t="shared" si="146"/>
        <v>51470</v>
      </c>
      <c r="M339" s="19"/>
      <c r="N339" s="19"/>
      <c r="O339" s="87">
        <f t="shared" si="148"/>
        <v>0</v>
      </c>
      <c r="Q339" s="294">
        <f t="shared" si="143"/>
        <v>51470</v>
      </c>
      <c r="R339" s="19">
        <f t="shared" si="144"/>
        <v>0</v>
      </c>
      <c r="S339" s="87">
        <f t="shared" si="144"/>
        <v>51470</v>
      </c>
    </row>
    <row r="340" spans="2:19" x14ac:dyDescent="0.2">
      <c r="B340" s="83">
        <f t="shared" si="149"/>
        <v>13</v>
      </c>
      <c r="C340" s="7"/>
      <c r="D340" s="7"/>
      <c r="E340" s="7"/>
      <c r="F340" s="25" t="s">
        <v>170</v>
      </c>
      <c r="G340" s="7">
        <v>630</v>
      </c>
      <c r="H340" s="7" t="s">
        <v>133</v>
      </c>
      <c r="I340" s="23">
        <f>I341</f>
        <v>500</v>
      </c>
      <c r="J340" s="23">
        <f t="shared" ref="J340" si="151">J341</f>
        <v>0</v>
      </c>
      <c r="K340" s="23">
        <f t="shared" si="146"/>
        <v>500</v>
      </c>
      <c r="M340" s="23"/>
      <c r="N340" s="23"/>
      <c r="O340" s="86">
        <f t="shared" si="148"/>
        <v>0</v>
      </c>
      <c r="Q340" s="293">
        <f t="shared" si="143"/>
        <v>500</v>
      </c>
      <c r="R340" s="23">
        <f t="shared" si="144"/>
        <v>0</v>
      </c>
      <c r="S340" s="86">
        <f t="shared" si="144"/>
        <v>500</v>
      </c>
    </row>
    <row r="341" spans="2:19" x14ac:dyDescent="0.2">
      <c r="B341" s="83">
        <f t="shared" si="149"/>
        <v>14</v>
      </c>
      <c r="C341" s="3"/>
      <c r="D341" s="3"/>
      <c r="E341" s="3"/>
      <c r="F341" s="26" t="s">
        <v>170</v>
      </c>
      <c r="G341" s="3">
        <v>637</v>
      </c>
      <c r="H341" s="3" t="s">
        <v>134</v>
      </c>
      <c r="I341" s="19">
        <v>500</v>
      </c>
      <c r="J341" s="19"/>
      <c r="K341" s="19">
        <f t="shared" si="146"/>
        <v>500</v>
      </c>
      <c r="M341" s="19"/>
      <c r="N341" s="19"/>
      <c r="O341" s="87">
        <f t="shared" si="148"/>
        <v>0</v>
      </c>
      <c r="Q341" s="294">
        <f t="shared" si="143"/>
        <v>500</v>
      </c>
      <c r="R341" s="19">
        <f t="shared" si="144"/>
        <v>0</v>
      </c>
      <c r="S341" s="87">
        <f t="shared" si="144"/>
        <v>500</v>
      </c>
    </row>
    <row r="342" spans="2:19" x14ac:dyDescent="0.2">
      <c r="B342" s="83">
        <f t="shared" si="149"/>
        <v>15</v>
      </c>
      <c r="C342" s="7"/>
      <c r="D342" s="7"/>
      <c r="E342" s="7"/>
      <c r="F342" s="25" t="s">
        <v>162</v>
      </c>
      <c r="G342" s="7">
        <v>640</v>
      </c>
      <c r="H342" s="7" t="s">
        <v>141</v>
      </c>
      <c r="I342" s="23">
        <v>670</v>
      </c>
      <c r="J342" s="23"/>
      <c r="K342" s="23">
        <f t="shared" si="146"/>
        <v>670</v>
      </c>
      <c r="M342" s="23"/>
      <c r="N342" s="23"/>
      <c r="O342" s="86">
        <f t="shared" si="148"/>
        <v>0</v>
      </c>
      <c r="Q342" s="293">
        <f t="shared" si="143"/>
        <v>670</v>
      </c>
      <c r="R342" s="23">
        <f t="shared" si="144"/>
        <v>0</v>
      </c>
      <c r="S342" s="86">
        <f t="shared" si="144"/>
        <v>670</v>
      </c>
    </row>
    <row r="343" spans="2:19" x14ac:dyDescent="0.2">
      <c r="B343" s="83">
        <f t="shared" si="149"/>
        <v>16</v>
      </c>
      <c r="C343" s="7"/>
      <c r="D343" s="7"/>
      <c r="E343" s="7"/>
      <c r="F343" s="25" t="s">
        <v>162</v>
      </c>
      <c r="G343" s="7">
        <v>710</v>
      </c>
      <c r="H343" s="7" t="s">
        <v>188</v>
      </c>
      <c r="I343" s="23"/>
      <c r="J343" s="23"/>
      <c r="K343" s="23">
        <f t="shared" si="146"/>
        <v>0</v>
      </c>
      <c r="M343" s="23">
        <f>M344+M346</f>
        <v>77500</v>
      </c>
      <c r="N343" s="23">
        <f t="shared" ref="N343" si="152">N344+N346</f>
        <v>0</v>
      </c>
      <c r="O343" s="86">
        <f t="shared" si="148"/>
        <v>77500</v>
      </c>
      <c r="Q343" s="293">
        <f t="shared" si="143"/>
        <v>77500</v>
      </c>
      <c r="R343" s="23">
        <f t="shared" si="144"/>
        <v>0</v>
      </c>
      <c r="S343" s="86">
        <f t="shared" si="144"/>
        <v>77500</v>
      </c>
    </row>
    <row r="344" spans="2:19" x14ac:dyDescent="0.2">
      <c r="B344" s="83">
        <f t="shared" si="149"/>
        <v>17</v>
      </c>
      <c r="C344" s="3"/>
      <c r="D344" s="3"/>
      <c r="E344" s="3"/>
      <c r="F344" s="26" t="s">
        <v>162</v>
      </c>
      <c r="G344" s="3">
        <v>713</v>
      </c>
      <c r="H344" s="3" t="s">
        <v>235</v>
      </c>
      <c r="I344" s="19"/>
      <c r="J344" s="19"/>
      <c r="K344" s="19">
        <f t="shared" si="146"/>
        <v>0</v>
      </c>
      <c r="M344" s="19">
        <f>M345</f>
        <v>2500</v>
      </c>
      <c r="N344" s="19">
        <f t="shared" ref="N344" si="153">N345</f>
        <v>0</v>
      </c>
      <c r="O344" s="87">
        <f t="shared" si="148"/>
        <v>2500</v>
      </c>
      <c r="Q344" s="294">
        <f t="shared" si="143"/>
        <v>2500</v>
      </c>
      <c r="R344" s="19">
        <f t="shared" ref="R344:S359" si="154">J344+N344</f>
        <v>0</v>
      </c>
      <c r="S344" s="87">
        <f t="shared" si="154"/>
        <v>2500</v>
      </c>
    </row>
    <row r="345" spans="2:19" x14ac:dyDescent="0.2">
      <c r="B345" s="83">
        <f t="shared" si="149"/>
        <v>18</v>
      </c>
      <c r="C345" s="4"/>
      <c r="D345" s="4"/>
      <c r="E345" s="4"/>
      <c r="F345" s="31"/>
      <c r="G345" s="4"/>
      <c r="H345" s="4" t="s">
        <v>374</v>
      </c>
      <c r="I345" s="21"/>
      <c r="J345" s="21"/>
      <c r="K345" s="21">
        <f t="shared" si="146"/>
        <v>0</v>
      </c>
      <c r="M345" s="21">
        <v>2500</v>
      </c>
      <c r="N345" s="21"/>
      <c r="O345" s="88">
        <f t="shared" si="148"/>
        <v>2500</v>
      </c>
      <c r="Q345" s="308">
        <f t="shared" si="143"/>
        <v>2500</v>
      </c>
      <c r="R345" s="21">
        <f t="shared" si="154"/>
        <v>0</v>
      </c>
      <c r="S345" s="88">
        <f t="shared" si="154"/>
        <v>2500</v>
      </c>
    </row>
    <row r="346" spans="2:19" x14ac:dyDescent="0.2">
      <c r="B346" s="83">
        <f t="shared" si="149"/>
        <v>19</v>
      </c>
      <c r="C346" s="3"/>
      <c r="D346" s="3"/>
      <c r="E346" s="3"/>
      <c r="F346" s="26" t="s">
        <v>162</v>
      </c>
      <c r="G346" s="3">
        <v>714</v>
      </c>
      <c r="H346" s="3" t="s">
        <v>189</v>
      </c>
      <c r="I346" s="19"/>
      <c r="J346" s="19"/>
      <c r="K346" s="19">
        <f t="shared" si="146"/>
        <v>0</v>
      </c>
      <c r="M346" s="19">
        <f>SUM(M347:M347)</f>
        <v>75000</v>
      </c>
      <c r="N346" s="19">
        <f t="shared" ref="N346" si="155">SUM(N347:N347)</f>
        <v>0</v>
      </c>
      <c r="O346" s="87">
        <f t="shared" si="148"/>
        <v>75000</v>
      </c>
      <c r="Q346" s="294">
        <f t="shared" si="143"/>
        <v>75000</v>
      </c>
      <c r="R346" s="19">
        <f t="shared" si="154"/>
        <v>0</v>
      </c>
      <c r="S346" s="87">
        <f t="shared" si="154"/>
        <v>75000</v>
      </c>
    </row>
    <row r="347" spans="2:19" x14ac:dyDescent="0.2">
      <c r="B347" s="83">
        <f t="shared" si="149"/>
        <v>20</v>
      </c>
      <c r="C347" s="4"/>
      <c r="D347" s="4"/>
      <c r="E347" s="4"/>
      <c r="F347" s="31"/>
      <c r="G347" s="4"/>
      <c r="H347" s="13" t="s">
        <v>507</v>
      </c>
      <c r="I347" s="21"/>
      <c r="J347" s="21"/>
      <c r="K347" s="21">
        <f t="shared" si="146"/>
        <v>0</v>
      </c>
      <c r="M347" s="21">
        <v>75000</v>
      </c>
      <c r="N347" s="21"/>
      <c r="O347" s="88">
        <f t="shared" si="148"/>
        <v>75000</v>
      </c>
      <c r="Q347" s="308">
        <f t="shared" si="143"/>
        <v>75000</v>
      </c>
      <c r="R347" s="21">
        <f t="shared" si="154"/>
        <v>0</v>
      </c>
      <c r="S347" s="88">
        <f t="shared" si="154"/>
        <v>75000</v>
      </c>
    </row>
    <row r="348" spans="2:19" ht="15" x14ac:dyDescent="0.2">
      <c r="B348" s="83">
        <f t="shared" si="149"/>
        <v>21</v>
      </c>
      <c r="C348" s="268">
        <v>2</v>
      </c>
      <c r="D348" s="360" t="s">
        <v>222</v>
      </c>
      <c r="E348" s="361"/>
      <c r="F348" s="361"/>
      <c r="G348" s="361"/>
      <c r="H348" s="362"/>
      <c r="I348" s="36">
        <f>I349+I354</f>
        <v>569915</v>
      </c>
      <c r="J348" s="36">
        <f t="shared" ref="J348" si="156">J349+J354</f>
        <v>0</v>
      </c>
      <c r="K348" s="36">
        <f t="shared" si="146"/>
        <v>569915</v>
      </c>
      <c r="M348" s="36">
        <f>M354+M351</f>
        <v>15550</v>
      </c>
      <c r="N348" s="36">
        <f t="shared" ref="N348" si="157">N354+N351</f>
        <v>0</v>
      </c>
      <c r="O348" s="84">
        <f t="shared" si="148"/>
        <v>15550</v>
      </c>
      <c r="Q348" s="291">
        <f t="shared" si="143"/>
        <v>585465</v>
      </c>
      <c r="R348" s="36">
        <f t="shared" si="154"/>
        <v>0</v>
      </c>
      <c r="S348" s="84">
        <f t="shared" si="154"/>
        <v>585465</v>
      </c>
    </row>
    <row r="349" spans="2:19" x14ac:dyDescent="0.2">
      <c r="B349" s="83">
        <f t="shared" si="149"/>
        <v>22</v>
      </c>
      <c r="C349" s="7"/>
      <c r="D349" s="7"/>
      <c r="E349" s="7"/>
      <c r="F349" s="25" t="s">
        <v>221</v>
      </c>
      <c r="G349" s="7">
        <v>630</v>
      </c>
      <c r="H349" s="7" t="s">
        <v>133</v>
      </c>
      <c r="I349" s="23">
        <f>I350</f>
        <v>300</v>
      </c>
      <c r="J349" s="23">
        <f t="shared" ref="J349" si="158">J350</f>
        <v>0</v>
      </c>
      <c r="K349" s="23">
        <f t="shared" si="146"/>
        <v>300</v>
      </c>
      <c r="M349" s="23"/>
      <c r="N349" s="23"/>
      <c r="O349" s="86">
        <f t="shared" si="148"/>
        <v>0</v>
      </c>
      <c r="Q349" s="293">
        <f t="shared" si="143"/>
        <v>300</v>
      </c>
      <c r="R349" s="23">
        <f t="shared" si="154"/>
        <v>0</v>
      </c>
      <c r="S349" s="86">
        <f t="shared" si="154"/>
        <v>300</v>
      </c>
    </row>
    <row r="350" spans="2:19" x14ac:dyDescent="0.2">
      <c r="B350" s="83">
        <f t="shared" si="149"/>
        <v>23</v>
      </c>
      <c r="C350" s="3"/>
      <c r="D350" s="3"/>
      <c r="E350" s="3"/>
      <c r="F350" s="26" t="s">
        <v>221</v>
      </c>
      <c r="G350" s="3">
        <v>632</v>
      </c>
      <c r="H350" s="3" t="s">
        <v>146</v>
      </c>
      <c r="I350" s="19">
        <v>300</v>
      </c>
      <c r="J350" s="19"/>
      <c r="K350" s="19">
        <f t="shared" si="146"/>
        <v>300</v>
      </c>
      <c r="M350" s="19"/>
      <c r="N350" s="19"/>
      <c r="O350" s="87">
        <f t="shared" si="148"/>
        <v>0</v>
      </c>
      <c r="Q350" s="294">
        <f t="shared" si="143"/>
        <v>300</v>
      </c>
      <c r="R350" s="19">
        <f t="shared" si="154"/>
        <v>0</v>
      </c>
      <c r="S350" s="87">
        <f t="shared" si="154"/>
        <v>300</v>
      </c>
    </row>
    <row r="351" spans="2:19" x14ac:dyDescent="0.2">
      <c r="B351" s="83">
        <f t="shared" si="149"/>
        <v>24</v>
      </c>
      <c r="C351" s="3"/>
      <c r="D351" s="3"/>
      <c r="E351" s="3"/>
      <c r="F351" s="25" t="s">
        <v>221</v>
      </c>
      <c r="G351" s="7">
        <v>710</v>
      </c>
      <c r="H351" s="7" t="s">
        <v>188</v>
      </c>
      <c r="I351" s="23"/>
      <c r="J351" s="23"/>
      <c r="K351" s="23">
        <f t="shared" si="146"/>
        <v>0</v>
      </c>
      <c r="M351" s="23">
        <f>M352</f>
        <v>8000</v>
      </c>
      <c r="N351" s="23">
        <f t="shared" ref="N351:N352" si="159">N352</f>
        <v>0</v>
      </c>
      <c r="O351" s="86">
        <f t="shared" si="148"/>
        <v>8000</v>
      </c>
      <c r="Q351" s="293">
        <f t="shared" si="143"/>
        <v>8000</v>
      </c>
      <c r="R351" s="23">
        <f t="shared" si="154"/>
        <v>0</v>
      </c>
      <c r="S351" s="86">
        <f t="shared" si="154"/>
        <v>8000</v>
      </c>
    </row>
    <row r="352" spans="2:19" x14ac:dyDescent="0.2">
      <c r="B352" s="83">
        <f t="shared" si="149"/>
        <v>25</v>
      </c>
      <c r="C352" s="3"/>
      <c r="D352" s="3"/>
      <c r="E352" s="3"/>
      <c r="F352" s="26"/>
      <c r="G352" s="3">
        <v>717</v>
      </c>
      <c r="H352" s="3" t="s">
        <v>198</v>
      </c>
      <c r="I352" s="19"/>
      <c r="J352" s="19"/>
      <c r="K352" s="19">
        <f t="shared" si="146"/>
        <v>0</v>
      </c>
      <c r="M352" s="19">
        <f>M353</f>
        <v>8000</v>
      </c>
      <c r="N352" s="19">
        <f t="shared" si="159"/>
        <v>0</v>
      </c>
      <c r="O352" s="87">
        <f t="shared" si="148"/>
        <v>8000</v>
      </c>
      <c r="Q352" s="294">
        <f t="shared" si="143"/>
        <v>8000</v>
      </c>
      <c r="R352" s="19">
        <f t="shared" si="154"/>
        <v>0</v>
      </c>
      <c r="S352" s="87">
        <f t="shared" si="154"/>
        <v>8000</v>
      </c>
    </row>
    <row r="353" spans="2:19" x14ac:dyDescent="0.2">
      <c r="B353" s="83">
        <f t="shared" si="149"/>
        <v>26</v>
      </c>
      <c r="C353" s="3"/>
      <c r="D353" s="3"/>
      <c r="E353" s="3"/>
      <c r="F353" s="26"/>
      <c r="G353" s="3"/>
      <c r="H353" s="4" t="s">
        <v>537</v>
      </c>
      <c r="I353" s="21"/>
      <c r="J353" s="21"/>
      <c r="K353" s="21">
        <f t="shared" si="146"/>
        <v>0</v>
      </c>
      <c r="M353" s="21">
        <v>8000</v>
      </c>
      <c r="N353" s="21"/>
      <c r="O353" s="88">
        <f t="shared" si="148"/>
        <v>8000</v>
      </c>
      <c r="Q353" s="308">
        <f t="shared" si="143"/>
        <v>8000</v>
      </c>
      <c r="R353" s="21">
        <f t="shared" si="154"/>
        <v>0</v>
      </c>
      <c r="S353" s="88">
        <f t="shared" si="154"/>
        <v>8000</v>
      </c>
    </row>
    <row r="354" spans="2:19" ht="15" x14ac:dyDescent="0.25">
      <c r="B354" s="83">
        <f t="shared" si="149"/>
        <v>27</v>
      </c>
      <c r="C354" s="10"/>
      <c r="D354" s="10"/>
      <c r="E354" s="10">
        <v>2</v>
      </c>
      <c r="F354" s="28"/>
      <c r="G354" s="10"/>
      <c r="H354" s="10" t="s">
        <v>415</v>
      </c>
      <c r="I354" s="38">
        <f>I355+I356+I357+I364+I365</f>
        <v>569615</v>
      </c>
      <c r="J354" s="38">
        <f t="shared" ref="J354" si="160">J355+J356+J357+J364+J365</f>
        <v>0</v>
      </c>
      <c r="K354" s="38">
        <f t="shared" si="146"/>
        <v>569615</v>
      </c>
      <c r="M354" s="38">
        <f>M365</f>
        <v>7550</v>
      </c>
      <c r="N354" s="38">
        <f t="shared" ref="N354" si="161">N365</f>
        <v>0</v>
      </c>
      <c r="O354" s="94">
        <f t="shared" si="148"/>
        <v>7550</v>
      </c>
      <c r="Q354" s="307">
        <f t="shared" si="143"/>
        <v>577165</v>
      </c>
      <c r="R354" s="38">
        <f t="shared" si="154"/>
        <v>0</v>
      </c>
      <c r="S354" s="94">
        <f t="shared" si="154"/>
        <v>577165</v>
      </c>
    </row>
    <row r="355" spans="2:19" x14ac:dyDescent="0.2">
      <c r="B355" s="83">
        <f t="shared" si="149"/>
        <v>28</v>
      </c>
      <c r="C355" s="7"/>
      <c r="D355" s="7"/>
      <c r="E355" s="7"/>
      <c r="F355" s="25" t="s">
        <v>221</v>
      </c>
      <c r="G355" s="7">
        <v>610</v>
      </c>
      <c r="H355" s="7" t="s">
        <v>143</v>
      </c>
      <c r="I355" s="23">
        <v>41315</v>
      </c>
      <c r="J355" s="23"/>
      <c r="K355" s="23">
        <f t="shared" si="146"/>
        <v>41315</v>
      </c>
      <c r="M355" s="23"/>
      <c r="N355" s="23"/>
      <c r="O355" s="86">
        <f t="shared" si="148"/>
        <v>0</v>
      </c>
      <c r="Q355" s="293">
        <f t="shared" si="143"/>
        <v>41315</v>
      </c>
      <c r="R355" s="23">
        <f t="shared" si="154"/>
        <v>0</v>
      </c>
      <c r="S355" s="86">
        <f t="shared" si="154"/>
        <v>41315</v>
      </c>
    </row>
    <row r="356" spans="2:19" x14ac:dyDescent="0.2">
      <c r="B356" s="83">
        <f t="shared" si="149"/>
        <v>29</v>
      </c>
      <c r="C356" s="7"/>
      <c r="D356" s="7"/>
      <c r="E356" s="7"/>
      <c r="F356" s="25" t="s">
        <v>221</v>
      </c>
      <c r="G356" s="7">
        <v>620</v>
      </c>
      <c r="H356" s="7" t="s">
        <v>136</v>
      </c>
      <c r="I356" s="23">
        <v>18700</v>
      </c>
      <c r="J356" s="23"/>
      <c r="K356" s="23">
        <f t="shared" si="146"/>
        <v>18700</v>
      </c>
      <c r="M356" s="23"/>
      <c r="N356" s="23"/>
      <c r="O356" s="86">
        <f t="shared" si="148"/>
        <v>0</v>
      </c>
      <c r="Q356" s="293">
        <f t="shared" si="143"/>
        <v>18700</v>
      </c>
      <c r="R356" s="23">
        <f t="shared" si="154"/>
        <v>0</v>
      </c>
      <c r="S356" s="86">
        <f t="shared" si="154"/>
        <v>18700</v>
      </c>
    </row>
    <row r="357" spans="2:19" x14ac:dyDescent="0.2">
      <c r="B357" s="83">
        <f t="shared" si="149"/>
        <v>30</v>
      </c>
      <c r="C357" s="7"/>
      <c r="D357" s="7"/>
      <c r="E357" s="7"/>
      <c r="F357" s="25" t="s">
        <v>221</v>
      </c>
      <c r="G357" s="7">
        <v>630</v>
      </c>
      <c r="H357" s="7" t="s">
        <v>133</v>
      </c>
      <c r="I357" s="23">
        <f>SUM(I358:I363)</f>
        <v>507550</v>
      </c>
      <c r="J357" s="23">
        <f t="shared" ref="J357" si="162">SUM(J358:J363)</f>
        <v>0</v>
      </c>
      <c r="K357" s="23">
        <f t="shared" si="146"/>
        <v>507550</v>
      </c>
      <c r="M357" s="23"/>
      <c r="N357" s="23"/>
      <c r="O357" s="86">
        <f t="shared" si="148"/>
        <v>0</v>
      </c>
      <c r="Q357" s="293">
        <f t="shared" si="143"/>
        <v>507550</v>
      </c>
      <c r="R357" s="23">
        <f t="shared" si="154"/>
        <v>0</v>
      </c>
      <c r="S357" s="86">
        <f t="shared" si="154"/>
        <v>507550</v>
      </c>
    </row>
    <row r="358" spans="2:19" x14ac:dyDescent="0.2">
      <c r="B358" s="83">
        <f t="shared" si="149"/>
        <v>31</v>
      </c>
      <c r="C358" s="3"/>
      <c r="D358" s="3"/>
      <c r="E358" s="3"/>
      <c r="F358" s="26" t="s">
        <v>221</v>
      </c>
      <c r="G358" s="3">
        <v>632</v>
      </c>
      <c r="H358" s="3" t="s">
        <v>146</v>
      </c>
      <c r="I358" s="19">
        <v>415000</v>
      </c>
      <c r="J358" s="19"/>
      <c r="K358" s="19">
        <f t="shared" si="146"/>
        <v>415000</v>
      </c>
      <c r="M358" s="19"/>
      <c r="N358" s="19"/>
      <c r="O358" s="87">
        <f t="shared" si="148"/>
        <v>0</v>
      </c>
      <c r="Q358" s="294">
        <f t="shared" si="143"/>
        <v>415000</v>
      </c>
      <c r="R358" s="19">
        <f t="shared" si="154"/>
        <v>0</v>
      </c>
      <c r="S358" s="87">
        <f t="shared" si="154"/>
        <v>415000</v>
      </c>
    </row>
    <row r="359" spans="2:19" x14ac:dyDescent="0.2">
      <c r="B359" s="83">
        <f t="shared" si="149"/>
        <v>32</v>
      </c>
      <c r="C359" s="3"/>
      <c r="D359" s="3"/>
      <c r="E359" s="3"/>
      <c r="F359" s="26" t="s">
        <v>221</v>
      </c>
      <c r="G359" s="3">
        <v>633</v>
      </c>
      <c r="H359" s="3" t="s">
        <v>137</v>
      </c>
      <c r="I359" s="19">
        <v>26100</v>
      </c>
      <c r="J359" s="19"/>
      <c r="K359" s="19">
        <f t="shared" si="146"/>
        <v>26100</v>
      </c>
      <c r="M359" s="19"/>
      <c r="N359" s="19"/>
      <c r="O359" s="87">
        <f t="shared" si="148"/>
        <v>0</v>
      </c>
      <c r="Q359" s="294">
        <f t="shared" si="143"/>
        <v>26100</v>
      </c>
      <c r="R359" s="19">
        <f t="shared" si="154"/>
        <v>0</v>
      </c>
      <c r="S359" s="87">
        <f t="shared" si="154"/>
        <v>26100</v>
      </c>
    </row>
    <row r="360" spans="2:19" x14ac:dyDescent="0.2">
      <c r="B360" s="83">
        <f t="shared" si="149"/>
        <v>33</v>
      </c>
      <c r="C360" s="3"/>
      <c r="D360" s="3"/>
      <c r="E360" s="3"/>
      <c r="F360" s="26" t="s">
        <v>221</v>
      </c>
      <c r="G360" s="3">
        <v>634</v>
      </c>
      <c r="H360" s="3" t="s">
        <v>144</v>
      </c>
      <c r="I360" s="19">
        <v>6000</v>
      </c>
      <c r="J360" s="19"/>
      <c r="K360" s="19">
        <f t="shared" si="146"/>
        <v>6000</v>
      </c>
      <c r="M360" s="19"/>
      <c r="N360" s="19"/>
      <c r="O360" s="87">
        <f t="shared" si="148"/>
        <v>0</v>
      </c>
      <c r="Q360" s="294">
        <f t="shared" ref="Q360:Q385" si="163">I360+M360</f>
        <v>6000</v>
      </c>
      <c r="R360" s="19">
        <f t="shared" ref="R360:S375" si="164">J360+N360</f>
        <v>0</v>
      </c>
      <c r="S360" s="87">
        <f t="shared" si="164"/>
        <v>6000</v>
      </c>
    </row>
    <row r="361" spans="2:19" x14ac:dyDescent="0.2">
      <c r="B361" s="83">
        <f t="shared" si="149"/>
        <v>34</v>
      </c>
      <c r="C361" s="3"/>
      <c r="D361" s="3"/>
      <c r="E361" s="3"/>
      <c r="F361" s="26" t="s">
        <v>221</v>
      </c>
      <c r="G361" s="3">
        <v>635</v>
      </c>
      <c r="H361" s="3" t="s">
        <v>145</v>
      </c>
      <c r="I361" s="19">
        <v>9000</v>
      </c>
      <c r="J361" s="19"/>
      <c r="K361" s="19">
        <f t="shared" si="146"/>
        <v>9000</v>
      </c>
      <c r="M361" s="19"/>
      <c r="N361" s="19"/>
      <c r="O361" s="87">
        <f t="shared" si="148"/>
        <v>0</v>
      </c>
      <c r="Q361" s="294">
        <f t="shared" si="163"/>
        <v>9000</v>
      </c>
      <c r="R361" s="19">
        <f t="shared" si="164"/>
        <v>0</v>
      </c>
      <c r="S361" s="87">
        <f t="shared" si="164"/>
        <v>9000</v>
      </c>
    </row>
    <row r="362" spans="2:19" x14ac:dyDescent="0.2">
      <c r="B362" s="83">
        <f t="shared" si="149"/>
        <v>35</v>
      </c>
      <c r="C362" s="3"/>
      <c r="D362" s="3"/>
      <c r="E362" s="3"/>
      <c r="F362" s="26" t="s">
        <v>221</v>
      </c>
      <c r="G362" s="3">
        <v>637</v>
      </c>
      <c r="H362" s="3" t="s">
        <v>134</v>
      </c>
      <c r="I362" s="19">
        <v>27450</v>
      </c>
      <c r="J362" s="19"/>
      <c r="K362" s="19">
        <f t="shared" si="146"/>
        <v>27450</v>
      </c>
      <c r="M362" s="19"/>
      <c r="N362" s="19"/>
      <c r="O362" s="87">
        <f t="shared" si="148"/>
        <v>0</v>
      </c>
      <c r="Q362" s="294">
        <f t="shared" si="163"/>
        <v>27450</v>
      </c>
      <c r="R362" s="19">
        <f t="shared" si="164"/>
        <v>0</v>
      </c>
      <c r="S362" s="87">
        <f t="shared" si="164"/>
        <v>27450</v>
      </c>
    </row>
    <row r="363" spans="2:19" ht="24" x14ac:dyDescent="0.2">
      <c r="B363" s="83">
        <f t="shared" si="149"/>
        <v>36</v>
      </c>
      <c r="C363" s="48"/>
      <c r="D363" s="48"/>
      <c r="E363" s="48"/>
      <c r="F363" s="49" t="s">
        <v>221</v>
      </c>
      <c r="G363" s="48">
        <v>637</v>
      </c>
      <c r="H363" s="50" t="s">
        <v>387</v>
      </c>
      <c r="I363" s="92">
        <v>24000</v>
      </c>
      <c r="J363" s="92"/>
      <c r="K363" s="92">
        <f t="shared" si="146"/>
        <v>24000</v>
      </c>
      <c r="M363" s="51"/>
      <c r="N363" s="51"/>
      <c r="O363" s="112">
        <f t="shared" si="148"/>
        <v>0</v>
      </c>
      <c r="Q363" s="313">
        <f t="shared" si="163"/>
        <v>24000</v>
      </c>
      <c r="R363" s="51">
        <f t="shared" si="164"/>
        <v>0</v>
      </c>
      <c r="S363" s="112">
        <f t="shared" si="164"/>
        <v>24000</v>
      </c>
    </row>
    <row r="364" spans="2:19" x14ac:dyDescent="0.2">
      <c r="B364" s="83">
        <f t="shared" si="149"/>
        <v>37</v>
      </c>
      <c r="C364" s="7"/>
      <c r="D364" s="7"/>
      <c r="E364" s="7"/>
      <c r="F364" s="25" t="s">
        <v>221</v>
      </c>
      <c r="G364" s="7">
        <v>640</v>
      </c>
      <c r="H364" s="7" t="s">
        <v>141</v>
      </c>
      <c r="I364" s="23">
        <v>2050</v>
      </c>
      <c r="J364" s="23"/>
      <c r="K364" s="23">
        <f t="shared" si="146"/>
        <v>2050</v>
      </c>
      <c r="M364" s="23"/>
      <c r="N364" s="23"/>
      <c r="O364" s="86">
        <f t="shared" si="148"/>
        <v>0</v>
      </c>
      <c r="Q364" s="293">
        <f t="shared" si="163"/>
        <v>2050</v>
      </c>
      <c r="R364" s="23">
        <f t="shared" si="164"/>
        <v>0</v>
      </c>
      <c r="S364" s="86">
        <f t="shared" si="164"/>
        <v>2050</v>
      </c>
    </row>
    <row r="365" spans="2:19" x14ac:dyDescent="0.2">
      <c r="B365" s="83">
        <f t="shared" si="149"/>
        <v>38</v>
      </c>
      <c r="C365" s="7"/>
      <c r="D365" s="7"/>
      <c r="E365" s="7"/>
      <c r="F365" s="25" t="s">
        <v>221</v>
      </c>
      <c r="G365" s="7">
        <v>710</v>
      </c>
      <c r="H365" s="7" t="s">
        <v>188</v>
      </c>
      <c r="I365" s="23"/>
      <c r="J365" s="23"/>
      <c r="K365" s="23">
        <f t="shared" si="146"/>
        <v>0</v>
      </c>
      <c r="M365" s="23">
        <f>M366</f>
        <v>7550</v>
      </c>
      <c r="N365" s="23">
        <f t="shared" ref="N365:N366" si="165">N366</f>
        <v>0</v>
      </c>
      <c r="O365" s="86">
        <f t="shared" si="148"/>
        <v>7550</v>
      </c>
      <c r="Q365" s="293">
        <f t="shared" si="163"/>
        <v>7550</v>
      </c>
      <c r="R365" s="23">
        <f t="shared" si="164"/>
        <v>0</v>
      </c>
      <c r="S365" s="86">
        <f t="shared" si="164"/>
        <v>7550</v>
      </c>
    </row>
    <row r="366" spans="2:19" x14ac:dyDescent="0.2">
      <c r="B366" s="83">
        <f t="shared" si="149"/>
        <v>39</v>
      </c>
      <c r="C366" s="3"/>
      <c r="D366" s="3"/>
      <c r="E366" s="3"/>
      <c r="F366" s="26" t="s">
        <v>221</v>
      </c>
      <c r="G366" s="3">
        <v>713</v>
      </c>
      <c r="H366" s="3" t="s">
        <v>235</v>
      </c>
      <c r="I366" s="19"/>
      <c r="J366" s="19"/>
      <c r="K366" s="19">
        <f t="shared" si="146"/>
        <v>0</v>
      </c>
      <c r="M366" s="19">
        <f>M367</f>
        <v>7550</v>
      </c>
      <c r="N366" s="19">
        <f t="shared" si="165"/>
        <v>0</v>
      </c>
      <c r="O366" s="87">
        <f t="shared" si="148"/>
        <v>7550</v>
      </c>
      <c r="Q366" s="294">
        <f t="shared" si="163"/>
        <v>7550</v>
      </c>
      <c r="R366" s="19">
        <f t="shared" si="164"/>
        <v>0</v>
      </c>
      <c r="S366" s="87">
        <f t="shared" si="164"/>
        <v>7550</v>
      </c>
    </row>
    <row r="367" spans="2:19" x14ac:dyDescent="0.2">
      <c r="B367" s="83">
        <f t="shared" si="149"/>
        <v>40</v>
      </c>
      <c r="C367" s="4"/>
      <c r="D367" s="4"/>
      <c r="E367" s="4"/>
      <c r="F367" s="31"/>
      <c r="G367" s="4"/>
      <c r="H367" s="4" t="s">
        <v>478</v>
      </c>
      <c r="I367" s="21"/>
      <c r="J367" s="21"/>
      <c r="K367" s="21">
        <f t="shared" si="146"/>
        <v>0</v>
      </c>
      <c r="M367" s="21">
        <v>7550</v>
      </c>
      <c r="N367" s="21"/>
      <c r="O367" s="88">
        <f t="shared" si="148"/>
        <v>7550</v>
      </c>
      <c r="Q367" s="308">
        <f t="shared" si="163"/>
        <v>7550</v>
      </c>
      <c r="R367" s="21">
        <f t="shared" si="164"/>
        <v>0</v>
      </c>
      <c r="S367" s="88">
        <f t="shared" si="164"/>
        <v>7550</v>
      </c>
    </row>
    <row r="368" spans="2:19" ht="15" x14ac:dyDescent="0.2">
      <c r="B368" s="83">
        <f t="shared" si="149"/>
        <v>41</v>
      </c>
      <c r="C368" s="268">
        <v>3</v>
      </c>
      <c r="D368" s="360" t="s">
        <v>245</v>
      </c>
      <c r="E368" s="361"/>
      <c r="F368" s="361"/>
      <c r="G368" s="361"/>
      <c r="H368" s="362"/>
      <c r="I368" s="36">
        <f>I369</f>
        <v>7000</v>
      </c>
      <c r="J368" s="36">
        <f t="shared" ref="J368:J369" si="166">J369</f>
        <v>0</v>
      </c>
      <c r="K368" s="36">
        <f t="shared" si="146"/>
        <v>7000</v>
      </c>
      <c r="M368" s="36">
        <f>M371</f>
        <v>3000</v>
      </c>
      <c r="N368" s="36">
        <f t="shared" ref="N368" si="167">N371</f>
        <v>0</v>
      </c>
      <c r="O368" s="84">
        <f t="shared" si="148"/>
        <v>3000</v>
      </c>
      <c r="Q368" s="291">
        <f t="shared" si="163"/>
        <v>10000</v>
      </c>
      <c r="R368" s="36">
        <f t="shared" si="164"/>
        <v>0</v>
      </c>
      <c r="S368" s="84">
        <f t="shared" si="164"/>
        <v>10000</v>
      </c>
    </row>
    <row r="369" spans="2:19" x14ac:dyDescent="0.2">
      <c r="B369" s="83">
        <f t="shared" si="149"/>
        <v>42</v>
      </c>
      <c r="C369" s="7"/>
      <c r="D369" s="7"/>
      <c r="E369" s="7"/>
      <c r="F369" s="25" t="s">
        <v>208</v>
      </c>
      <c r="G369" s="7">
        <v>630</v>
      </c>
      <c r="H369" s="7" t="s">
        <v>133</v>
      </c>
      <c r="I369" s="23">
        <f>I370</f>
        <v>7000</v>
      </c>
      <c r="J369" s="23">
        <f t="shared" si="166"/>
        <v>0</v>
      </c>
      <c r="K369" s="23">
        <f t="shared" si="146"/>
        <v>7000</v>
      </c>
      <c r="M369" s="23"/>
      <c r="N369" s="23"/>
      <c r="O369" s="86">
        <f t="shared" si="148"/>
        <v>0</v>
      </c>
      <c r="Q369" s="293">
        <f t="shared" si="163"/>
        <v>7000</v>
      </c>
      <c r="R369" s="23">
        <f t="shared" si="164"/>
        <v>0</v>
      </c>
      <c r="S369" s="86">
        <f t="shared" si="164"/>
        <v>7000</v>
      </c>
    </row>
    <row r="370" spans="2:19" x14ac:dyDescent="0.2">
      <c r="B370" s="83">
        <f t="shared" si="149"/>
        <v>43</v>
      </c>
      <c r="C370" s="3"/>
      <c r="D370" s="3"/>
      <c r="E370" s="3"/>
      <c r="F370" s="26" t="s">
        <v>208</v>
      </c>
      <c r="G370" s="3">
        <v>635</v>
      </c>
      <c r="H370" s="3" t="s">
        <v>145</v>
      </c>
      <c r="I370" s="19">
        <v>7000</v>
      </c>
      <c r="J370" s="19"/>
      <c r="K370" s="19">
        <f t="shared" si="146"/>
        <v>7000</v>
      </c>
      <c r="M370" s="19"/>
      <c r="N370" s="19"/>
      <c r="O370" s="87">
        <f t="shared" si="148"/>
        <v>0</v>
      </c>
      <c r="Q370" s="294">
        <f t="shared" si="163"/>
        <v>7000</v>
      </c>
      <c r="R370" s="19">
        <f t="shared" si="164"/>
        <v>0</v>
      </c>
      <c r="S370" s="87">
        <f t="shared" si="164"/>
        <v>7000</v>
      </c>
    </row>
    <row r="371" spans="2:19" x14ac:dyDescent="0.2">
      <c r="B371" s="83">
        <f t="shared" si="149"/>
        <v>44</v>
      </c>
      <c r="C371" s="7"/>
      <c r="D371" s="7"/>
      <c r="E371" s="7"/>
      <c r="F371" s="25" t="s">
        <v>208</v>
      </c>
      <c r="G371" s="7">
        <v>710</v>
      </c>
      <c r="H371" s="7" t="s">
        <v>188</v>
      </c>
      <c r="I371" s="23"/>
      <c r="J371" s="23"/>
      <c r="K371" s="23">
        <f t="shared" si="146"/>
        <v>0</v>
      </c>
      <c r="M371" s="23">
        <f>M372</f>
        <v>3000</v>
      </c>
      <c r="N371" s="23">
        <f t="shared" ref="N371:N372" si="168">N372</f>
        <v>0</v>
      </c>
      <c r="O371" s="86">
        <f t="shared" si="148"/>
        <v>3000</v>
      </c>
      <c r="Q371" s="293">
        <f t="shared" si="163"/>
        <v>3000</v>
      </c>
      <c r="R371" s="23">
        <f t="shared" si="164"/>
        <v>0</v>
      </c>
      <c r="S371" s="86">
        <f t="shared" si="164"/>
        <v>3000</v>
      </c>
    </row>
    <row r="372" spans="2:19" x14ac:dyDescent="0.2">
      <c r="B372" s="83">
        <f t="shared" si="149"/>
        <v>45</v>
      </c>
      <c r="C372" s="3"/>
      <c r="D372" s="3"/>
      <c r="E372" s="3"/>
      <c r="F372" s="26" t="s">
        <v>208</v>
      </c>
      <c r="G372" s="3">
        <v>713</v>
      </c>
      <c r="H372" s="3" t="s">
        <v>235</v>
      </c>
      <c r="I372" s="19"/>
      <c r="J372" s="19"/>
      <c r="K372" s="19">
        <f t="shared" si="146"/>
        <v>0</v>
      </c>
      <c r="M372" s="19">
        <f>M373</f>
        <v>3000</v>
      </c>
      <c r="N372" s="19">
        <f t="shared" si="168"/>
        <v>0</v>
      </c>
      <c r="O372" s="87">
        <f t="shared" si="148"/>
        <v>3000</v>
      </c>
      <c r="Q372" s="294">
        <f t="shared" si="163"/>
        <v>3000</v>
      </c>
      <c r="R372" s="19">
        <f t="shared" si="164"/>
        <v>0</v>
      </c>
      <c r="S372" s="87">
        <f t="shared" si="164"/>
        <v>3000</v>
      </c>
    </row>
    <row r="373" spans="2:19" x14ac:dyDescent="0.2">
      <c r="B373" s="83">
        <f t="shared" si="149"/>
        <v>46</v>
      </c>
      <c r="C373" s="4"/>
      <c r="D373" s="4"/>
      <c r="E373" s="4"/>
      <c r="F373" s="31"/>
      <c r="G373" s="4"/>
      <c r="H373" s="4" t="s">
        <v>375</v>
      </c>
      <c r="I373" s="21"/>
      <c r="J373" s="21"/>
      <c r="K373" s="21">
        <f t="shared" si="146"/>
        <v>0</v>
      </c>
      <c r="M373" s="21">
        <v>3000</v>
      </c>
      <c r="N373" s="21"/>
      <c r="O373" s="88">
        <f t="shared" si="148"/>
        <v>3000</v>
      </c>
      <c r="Q373" s="308">
        <f t="shared" si="163"/>
        <v>3000</v>
      </c>
      <c r="R373" s="21">
        <f t="shared" si="164"/>
        <v>0</v>
      </c>
      <c r="S373" s="88">
        <f t="shared" si="164"/>
        <v>3000</v>
      </c>
    </row>
    <row r="374" spans="2:19" ht="15" x14ac:dyDescent="0.2">
      <c r="B374" s="83">
        <f t="shared" si="149"/>
        <v>47</v>
      </c>
      <c r="C374" s="268">
        <v>4</v>
      </c>
      <c r="D374" s="360" t="s">
        <v>169</v>
      </c>
      <c r="E374" s="361"/>
      <c r="F374" s="361"/>
      <c r="G374" s="361"/>
      <c r="H374" s="362"/>
      <c r="I374" s="36">
        <f>I375</f>
        <v>8300</v>
      </c>
      <c r="J374" s="36">
        <f t="shared" ref="J374:J375" si="169">J375</f>
        <v>0</v>
      </c>
      <c r="K374" s="36">
        <f t="shared" si="146"/>
        <v>8300</v>
      </c>
      <c r="M374" s="36">
        <v>0</v>
      </c>
      <c r="N374" s="36">
        <v>0</v>
      </c>
      <c r="O374" s="84">
        <f t="shared" si="148"/>
        <v>0</v>
      </c>
      <c r="Q374" s="291">
        <f t="shared" si="163"/>
        <v>8300</v>
      </c>
      <c r="R374" s="36">
        <f t="shared" si="164"/>
        <v>0</v>
      </c>
      <c r="S374" s="84">
        <f t="shared" si="164"/>
        <v>8300</v>
      </c>
    </row>
    <row r="375" spans="2:19" x14ac:dyDescent="0.2">
      <c r="B375" s="83">
        <f t="shared" si="149"/>
        <v>48</v>
      </c>
      <c r="C375" s="7"/>
      <c r="D375" s="7"/>
      <c r="E375" s="7"/>
      <c r="F375" s="25" t="s">
        <v>168</v>
      </c>
      <c r="G375" s="7">
        <v>630</v>
      </c>
      <c r="H375" s="7" t="s">
        <v>133</v>
      </c>
      <c r="I375" s="23">
        <f>I376</f>
        <v>8300</v>
      </c>
      <c r="J375" s="23">
        <f t="shared" si="169"/>
        <v>0</v>
      </c>
      <c r="K375" s="23">
        <f t="shared" si="146"/>
        <v>8300</v>
      </c>
      <c r="M375" s="23"/>
      <c r="N375" s="23"/>
      <c r="O375" s="86">
        <f t="shared" si="148"/>
        <v>0</v>
      </c>
      <c r="Q375" s="293">
        <f t="shared" si="163"/>
        <v>8300</v>
      </c>
      <c r="R375" s="23">
        <f t="shared" si="164"/>
        <v>0</v>
      </c>
      <c r="S375" s="86">
        <f t="shared" si="164"/>
        <v>8300</v>
      </c>
    </row>
    <row r="376" spans="2:19" x14ac:dyDescent="0.2">
      <c r="B376" s="83">
        <f t="shared" si="149"/>
        <v>49</v>
      </c>
      <c r="C376" s="3"/>
      <c r="D376" s="3"/>
      <c r="E376" s="3"/>
      <c r="F376" s="26" t="s">
        <v>168</v>
      </c>
      <c r="G376" s="3">
        <v>637</v>
      </c>
      <c r="H376" s="3" t="s">
        <v>134</v>
      </c>
      <c r="I376" s="19">
        <v>8300</v>
      </c>
      <c r="J376" s="19"/>
      <c r="K376" s="19">
        <f t="shared" si="146"/>
        <v>8300</v>
      </c>
      <c r="M376" s="19"/>
      <c r="N376" s="19"/>
      <c r="O376" s="87">
        <f t="shared" si="148"/>
        <v>0</v>
      </c>
      <c r="Q376" s="294">
        <f t="shared" si="163"/>
        <v>8300</v>
      </c>
      <c r="R376" s="19">
        <f t="shared" ref="R376:S385" si="170">J376+N376</f>
        <v>0</v>
      </c>
      <c r="S376" s="87">
        <f t="shared" si="170"/>
        <v>8300</v>
      </c>
    </row>
    <row r="377" spans="2:19" ht="15" x14ac:dyDescent="0.2">
      <c r="B377" s="83">
        <f t="shared" si="149"/>
        <v>50</v>
      </c>
      <c r="C377" s="268">
        <v>5</v>
      </c>
      <c r="D377" s="360" t="s">
        <v>159</v>
      </c>
      <c r="E377" s="361"/>
      <c r="F377" s="361"/>
      <c r="G377" s="361"/>
      <c r="H377" s="362"/>
      <c r="I377" s="36">
        <f>I378+I381</f>
        <v>18470</v>
      </c>
      <c r="J377" s="36">
        <f t="shared" ref="J377" si="171">J378+J381</f>
        <v>0</v>
      </c>
      <c r="K377" s="36">
        <f t="shared" si="146"/>
        <v>18470</v>
      </c>
      <c r="M377" s="36">
        <v>0</v>
      </c>
      <c r="N377" s="36">
        <v>0</v>
      </c>
      <c r="O377" s="84">
        <f t="shared" si="148"/>
        <v>0</v>
      </c>
      <c r="Q377" s="291">
        <f t="shared" si="163"/>
        <v>18470</v>
      </c>
      <c r="R377" s="36">
        <f t="shared" si="170"/>
        <v>0</v>
      </c>
      <c r="S377" s="84">
        <f t="shared" si="170"/>
        <v>18470</v>
      </c>
    </row>
    <row r="378" spans="2:19" x14ac:dyDescent="0.2">
      <c r="B378" s="83">
        <f t="shared" si="149"/>
        <v>51</v>
      </c>
      <c r="C378" s="7"/>
      <c r="D378" s="7"/>
      <c r="E378" s="7"/>
      <c r="F378" s="25" t="s">
        <v>158</v>
      </c>
      <c r="G378" s="7">
        <v>630</v>
      </c>
      <c r="H378" s="7" t="s">
        <v>133</v>
      </c>
      <c r="I378" s="23">
        <f>I380+I379</f>
        <v>9470</v>
      </c>
      <c r="J378" s="23">
        <f t="shared" ref="J378" si="172">J380+J379</f>
        <v>0</v>
      </c>
      <c r="K378" s="23">
        <f t="shared" si="146"/>
        <v>9470</v>
      </c>
      <c r="M378" s="23"/>
      <c r="N378" s="23"/>
      <c r="O378" s="86">
        <f t="shared" si="148"/>
        <v>0</v>
      </c>
      <c r="Q378" s="293">
        <f t="shared" si="163"/>
        <v>9470</v>
      </c>
      <c r="R378" s="23">
        <f t="shared" si="170"/>
        <v>0</v>
      </c>
      <c r="S378" s="86">
        <f t="shared" si="170"/>
        <v>9470</v>
      </c>
    </row>
    <row r="379" spans="2:19" x14ac:dyDescent="0.2">
      <c r="B379" s="83">
        <f t="shared" si="149"/>
        <v>52</v>
      </c>
      <c r="C379" s="3"/>
      <c r="D379" s="3"/>
      <c r="E379" s="3"/>
      <c r="F379" s="26" t="s">
        <v>158</v>
      </c>
      <c r="G379" s="3">
        <v>634</v>
      </c>
      <c r="H379" s="3" t="s">
        <v>144</v>
      </c>
      <c r="I379" s="19">
        <v>2300</v>
      </c>
      <c r="J379" s="19"/>
      <c r="K379" s="19">
        <f t="shared" si="146"/>
        <v>2300</v>
      </c>
      <c r="M379" s="19"/>
      <c r="N379" s="19"/>
      <c r="O379" s="87">
        <f t="shared" si="148"/>
        <v>0</v>
      </c>
      <c r="Q379" s="294">
        <f t="shared" si="163"/>
        <v>2300</v>
      </c>
      <c r="R379" s="19">
        <f t="shared" si="170"/>
        <v>0</v>
      </c>
      <c r="S379" s="87">
        <f t="shared" si="170"/>
        <v>2300</v>
      </c>
    </row>
    <row r="380" spans="2:19" x14ac:dyDescent="0.2">
      <c r="B380" s="83">
        <f t="shared" si="149"/>
        <v>53</v>
      </c>
      <c r="C380" s="3"/>
      <c r="D380" s="3"/>
      <c r="E380" s="3"/>
      <c r="F380" s="26" t="s">
        <v>158</v>
      </c>
      <c r="G380" s="3">
        <v>637</v>
      </c>
      <c r="H380" s="3" t="s">
        <v>134</v>
      </c>
      <c r="I380" s="19">
        <v>7170</v>
      </c>
      <c r="J380" s="19"/>
      <c r="K380" s="19">
        <f t="shared" si="146"/>
        <v>7170</v>
      </c>
      <c r="M380" s="19"/>
      <c r="N380" s="19"/>
      <c r="O380" s="87">
        <f t="shared" si="148"/>
        <v>0</v>
      </c>
      <c r="Q380" s="294">
        <f t="shared" si="163"/>
        <v>7170</v>
      </c>
      <c r="R380" s="19">
        <f t="shared" si="170"/>
        <v>0</v>
      </c>
      <c r="S380" s="87">
        <f t="shared" si="170"/>
        <v>7170</v>
      </c>
    </row>
    <row r="381" spans="2:19" x14ac:dyDescent="0.2">
      <c r="B381" s="83">
        <f t="shared" si="149"/>
        <v>54</v>
      </c>
      <c r="C381" s="7"/>
      <c r="D381" s="7"/>
      <c r="E381" s="7"/>
      <c r="F381" s="25" t="s">
        <v>158</v>
      </c>
      <c r="G381" s="7">
        <v>640</v>
      </c>
      <c r="H381" s="7" t="s">
        <v>141</v>
      </c>
      <c r="I381" s="23">
        <f>I382</f>
        <v>9000</v>
      </c>
      <c r="J381" s="23">
        <f t="shared" ref="J381" si="173">J382</f>
        <v>0</v>
      </c>
      <c r="K381" s="23">
        <f t="shared" si="146"/>
        <v>9000</v>
      </c>
      <c r="M381" s="23"/>
      <c r="N381" s="23"/>
      <c r="O381" s="86">
        <f t="shared" si="148"/>
        <v>0</v>
      </c>
      <c r="Q381" s="293">
        <f t="shared" si="163"/>
        <v>9000</v>
      </c>
      <c r="R381" s="23">
        <f t="shared" si="170"/>
        <v>0</v>
      </c>
      <c r="S381" s="86">
        <f t="shared" si="170"/>
        <v>9000</v>
      </c>
    </row>
    <row r="382" spans="2:19" x14ac:dyDescent="0.2">
      <c r="B382" s="83">
        <f t="shared" si="149"/>
        <v>55</v>
      </c>
      <c r="C382" s="3"/>
      <c r="D382" s="3"/>
      <c r="E382" s="3"/>
      <c r="F382" s="26" t="s">
        <v>158</v>
      </c>
      <c r="G382" s="3">
        <v>642</v>
      </c>
      <c r="H382" s="3" t="s">
        <v>142</v>
      </c>
      <c r="I382" s="19">
        <f>SUM(I383:I385)</f>
        <v>9000</v>
      </c>
      <c r="J382" s="19">
        <f t="shared" ref="J382" si="174">SUM(J383:J385)</f>
        <v>0</v>
      </c>
      <c r="K382" s="19">
        <f t="shared" si="146"/>
        <v>9000</v>
      </c>
      <c r="M382" s="19"/>
      <c r="N382" s="19"/>
      <c r="O382" s="87">
        <f t="shared" si="148"/>
        <v>0</v>
      </c>
      <c r="Q382" s="294">
        <f t="shared" si="163"/>
        <v>9000</v>
      </c>
      <c r="R382" s="19">
        <f t="shared" si="170"/>
        <v>0</v>
      </c>
      <c r="S382" s="87">
        <f t="shared" si="170"/>
        <v>9000</v>
      </c>
    </row>
    <row r="383" spans="2:19" x14ac:dyDescent="0.2">
      <c r="B383" s="83">
        <f t="shared" si="149"/>
        <v>56</v>
      </c>
      <c r="C383" s="4"/>
      <c r="D383" s="4"/>
      <c r="E383" s="4"/>
      <c r="F383" s="27"/>
      <c r="G383" s="4"/>
      <c r="H383" s="4" t="s">
        <v>15</v>
      </c>
      <c r="I383" s="21">
        <v>4000</v>
      </c>
      <c r="J383" s="21"/>
      <c r="K383" s="21">
        <f t="shared" si="146"/>
        <v>4000</v>
      </c>
      <c r="M383" s="21"/>
      <c r="N383" s="21"/>
      <c r="O383" s="88">
        <f t="shared" si="148"/>
        <v>0</v>
      </c>
      <c r="Q383" s="308">
        <f t="shared" si="163"/>
        <v>4000</v>
      </c>
      <c r="R383" s="21">
        <f t="shared" si="170"/>
        <v>0</v>
      </c>
      <c r="S383" s="88">
        <f t="shared" si="170"/>
        <v>4000</v>
      </c>
    </row>
    <row r="384" spans="2:19" x14ac:dyDescent="0.2">
      <c r="B384" s="83">
        <f t="shared" si="149"/>
        <v>57</v>
      </c>
      <c r="C384" s="4"/>
      <c r="D384" s="4"/>
      <c r="E384" s="4"/>
      <c r="F384" s="27"/>
      <c r="G384" s="4"/>
      <c r="H384" s="4" t="s">
        <v>16</v>
      </c>
      <c r="I384" s="21">
        <v>4000</v>
      </c>
      <c r="J384" s="21"/>
      <c r="K384" s="21">
        <f t="shared" si="146"/>
        <v>4000</v>
      </c>
      <c r="M384" s="21"/>
      <c r="N384" s="21"/>
      <c r="O384" s="88">
        <f t="shared" si="148"/>
        <v>0</v>
      </c>
      <c r="Q384" s="308">
        <f t="shared" si="163"/>
        <v>4000</v>
      </c>
      <c r="R384" s="21">
        <f t="shared" si="170"/>
        <v>0</v>
      </c>
      <c r="S384" s="88">
        <f t="shared" si="170"/>
        <v>4000</v>
      </c>
    </row>
    <row r="385" spans="2:19" ht="13.5" thickBot="1" x14ac:dyDescent="0.25">
      <c r="B385" s="89">
        <f t="shared" si="149"/>
        <v>58</v>
      </c>
      <c r="C385" s="95"/>
      <c r="D385" s="95"/>
      <c r="E385" s="95"/>
      <c r="F385" s="96"/>
      <c r="G385" s="95"/>
      <c r="H385" s="95" t="s">
        <v>17</v>
      </c>
      <c r="I385" s="98">
        <v>1000</v>
      </c>
      <c r="J385" s="98"/>
      <c r="K385" s="98">
        <f t="shared" si="146"/>
        <v>1000</v>
      </c>
      <c r="L385" s="270"/>
      <c r="M385" s="98"/>
      <c r="N385" s="98"/>
      <c r="O385" s="99">
        <f t="shared" si="148"/>
        <v>0</v>
      </c>
      <c r="Q385" s="296">
        <f t="shared" si="163"/>
        <v>1000</v>
      </c>
      <c r="R385" s="98">
        <f t="shared" si="170"/>
        <v>0</v>
      </c>
      <c r="S385" s="99">
        <f t="shared" si="170"/>
        <v>1000</v>
      </c>
    </row>
    <row r="427" spans="2:19" ht="27.75" thickBot="1" x14ac:dyDescent="0.4">
      <c r="B427" s="352" t="s">
        <v>27</v>
      </c>
      <c r="C427" s="353"/>
      <c r="D427" s="353"/>
      <c r="E427" s="353"/>
      <c r="F427" s="353"/>
      <c r="G427" s="353"/>
      <c r="H427" s="353"/>
      <c r="I427" s="353"/>
      <c r="J427" s="353"/>
      <c r="K427" s="353"/>
      <c r="L427" s="353"/>
      <c r="M427" s="353"/>
      <c r="N427" s="353"/>
      <c r="O427" s="353"/>
      <c r="P427" s="353"/>
      <c r="Q427" s="353"/>
    </row>
    <row r="428" spans="2:19" ht="13.5" customHeight="1" thickBot="1" x14ac:dyDescent="0.25">
      <c r="B428" s="378" t="s">
        <v>364</v>
      </c>
      <c r="C428" s="379"/>
      <c r="D428" s="379"/>
      <c r="E428" s="379"/>
      <c r="F428" s="379"/>
      <c r="G428" s="379"/>
      <c r="H428" s="379"/>
      <c r="I428" s="379"/>
      <c r="J428" s="379"/>
      <c r="K428" s="379"/>
      <c r="L428" s="379"/>
      <c r="M428" s="379"/>
      <c r="N428" s="379"/>
      <c r="O428" s="380"/>
      <c r="P428" s="271"/>
      <c r="Q428" s="354" t="s">
        <v>571</v>
      </c>
      <c r="R428" s="392" t="s">
        <v>565</v>
      </c>
      <c r="S428" s="395" t="s">
        <v>569</v>
      </c>
    </row>
    <row r="429" spans="2:19" ht="13.5" customHeight="1" thickBot="1" x14ac:dyDescent="0.25">
      <c r="B429" s="366"/>
      <c r="C429" s="357" t="s">
        <v>126</v>
      </c>
      <c r="D429" s="357" t="s">
        <v>127</v>
      </c>
      <c r="E429" s="357"/>
      <c r="F429" s="357" t="s">
        <v>128</v>
      </c>
      <c r="G429" s="371" t="s">
        <v>129</v>
      </c>
      <c r="H429" s="374" t="s">
        <v>130</v>
      </c>
      <c r="I429" s="363" t="s">
        <v>566</v>
      </c>
      <c r="J429" s="377" t="s">
        <v>565</v>
      </c>
      <c r="K429" s="376" t="s">
        <v>567</v>
      </c>
      <c r="M429" s="363" t="s">
        <v>568</v>
      </c>
      <c r="N429" s="377" t="s">
        <v>565</v>
      </c>
      <c r="O429" s="376" t="s">
        <v>570</v>
      </c>
      <c r="Q429" s="355"/>
      <c r="R429" s="393"/>
      <c r="S429" s="396"/>
    </row>
    <row r="430" spans="2:19" ht="13.5" thickBot="1" x14ac:dyDescent="0.25">
      <c r="B430" s="367"/>
      <c r="C430" s="358"/>
      <c r="D430" s="358"/>
      <c r="E430" s="358"/>
      <c r="F430" s="358"/>
      <c r="G430" s="372"/>
      <c r="H430" s="375"/>
      <c r="I430" s="363"/>
      <c r="J430" s="377"/>
      <c r="K430" s="376"/>
      <c r="M430" s="363"/>
      <c r="N430" s="377"/>
      <c r="O430" s="376"/>
      <c r="Q430" s="355"/>
      <c r="R430" s="393"/>
      <c r="S430" s="396"/>
    </row>
    <row r="431" spans="2:19" ht="13.5" thickBot="1" x14ac:dyDescent="0.25">
      <c r="B431" s="367"/>
      <c r="C431" s="358"/>
      <c r="D431" s="358"/>
      <c r="E431" s="358"/>
      <c r="F431" s="358"/>
      <c r="G431" s="372"/>
      <c r="H431" s="375"/>
      <c r="I431" s="363"/>
      <c r="J431" s="377"/>
      <c r="K431" s="376"/>
      <c r="M431" s="363"/>
      <c r="N431" s="377"/>
      <c r="O431" s="376"/>
      <c r="Q431" s="355"/>
      <c r="R431" s="393"/>
      <c r="S431" s="396"/>
    </row>
    <row r="432" spans="2:19" ht="13.5" thickBot="1" x14ac:dyDescent="0.25">
      <c r="B432" s="367"/>
      <c r="C432" s="359"/>
      <c r="D432" s="359"/>
      <c r="E432" s="359"/>
      <c r="F432" s="359"/>
      <c r="G432" s="373"/>
      <c r="H432" s="375"/>
      <c r="I432" s="363"/>
      <c r="J432" s="377"/>
      <c r="K432" s="376"/>
      <c r="M432" s="363"/>
      <c r="N432" s="377"/>
      <c r="O432" s="376"/>
      <c r="Q432" s="356"/>
      <c r="R432" s="394"/>
      <c r="S432" s="397"/>
    </row>
    <row r="433" spans="2:19" ht="16.5" thickTop="1" x14ac:dyDescent="0.2">
      <c r="B433" s="83">
        <v>1</v>
      </c>
      <c r="C433" s="385" t="s">
        <v>27</v>
      </c>
      <c r="D433" s="390"/>
      <c r="E433" s="390"/>
      <c r="F433" s="390"/>
      <c r="G433" s="390"/>
      <c r="H433" s="391"/>
      <c r="I433" s="35">
        <f>I465+I437+I434</f>
        <v>4410000</v>
      </c>
      <c r="J433" s="35">
        <f t="shared" ref="J433" si="175">J465+J437+J434</f>
        <v>0</v>
      </c>
      <c r="K433" s="35">
        <f>I433+J433</f>
        <v>4410000</v>
      </c>
      <c r="M433" s="35">
        <f>M434+M437+M465</f>
        <v>6482148</v>
      </c>
      <c r="N433" s="35">
        <f t="shared" ref="N433" si="176">N434+N437+N465</f>
        <v>0</v>
      </c>
      <c r="O433" s="93">
        <f>M433+N433</f>
        <v>6482148</v>
      </c>
      <c r="Q433" s="290">
        <f t="shared" ref="Q433:Q464" si="177">I433+M433</f>
        <v>10892148</v>
      </c>
      <c r="R433" s="35">
        <f t="shared" ref="R433:S448" si="178">J433+N433</f>
        <v>0</v>
      </c>
      <c r="S433" s="93">
        <f t="shared" si="178"/>
        <v>10892148</v>
      </c>
    </row>
    <row r="434" spans="2:19" ht="15" x14ac:dyDescent="0.2">
      <c r="B434" s="83">
        <f>B433+1</f>
        <v>2</v>
      </c>
      <c r="C434" s="268">
        <v>1</v>
      </c>
      <c r="D434" s="360" t="s">
        <v>258</v>
      </c>
      <c r="E434" s="361"/>
      <c r="F434" s="361"/>
      <c r="G434" s="361"/>
      <c r="H434" s="362"/>
      <c r="I434" s="36">
        <f>I435</f>
        <v>2075000</v>
      </c>
      <c r="J434" s="36">
        <f t="shared" ref="J434:J435" si="179">J435</f>
        <v>0</v>
      </c>
      <c r="K434" s="36">
        <f t="shared" ref="K434:K464" si="180">I434+J434</f>
        <v>2075000</v>
      </c>
      <c r="M434" s="36">
        <v>0</v>
      </c>
      <c r="N434" s="36"/>
      <c r="O434" s="84">
        <f t="shared" ref="O434:O497" si="181">M434+N434</f>
        <v>0</v>
      </c>
      <c r="Q434" s="291">
        <f t="shared" si="177"/>
        <v>2075000</v>
      </c>
      <c r="R434" s="36">
        <f t="shared" si="178"/>
        <v>0</v>
      </c>
      <c r="S434" s="84">
        <f t="shared" si="178"/>
        <v>2075000</v>
      </c>
    </row>
    <row r="435" spans="2:19" x14ac:dyDescent="0.2">
      <c r="B435" s="83">
        <f t="shared" ref="B435:B498" si="182">B434+1</f>
        <v>3</v>
      </c>
      <c r="C435" s="7"/>
      <c r="D435" s="7"/>
      <c r="E435" s="7"/>
      <c r="F435" s="25" t="s">
        <v>236</v>
      </c>
      <c r="G435" s="7">
        <v>630</v>
      </c>
      <c r="H435" s="7" t="s">
        <v>133</v>
      </c>
      <c r="I435" s="23">
        <f>I436</f>
        <v>2075000</v>
      </c>
      <c r="J435" s="23">
        <f t="shared" si="179"/>
        <v>0</v>
      </c>
      <c r="K435" s="23">
        <f t="shared" si="180"/>
        <v>2075000</v>
      </c>
      <c r="M435" s="23"/>
      <c r="N435" s="23"/>
      <c r="O435" s="86">
        <f t="shared" si="181"/>
        <v>0</v>
      </c>
      <c r="Q435" s="293">
        <f t="shared" si="177"/>
        <v>2075000</v>
      </c>
      <c r="R435" s="23">
        <f t="shared" si="178"/>
        <v>0</v>
      </c>
      <c r="S435" s="86">
        <f t="shared" si="178"/>
        <v>2075000</v>
      </c>
    </row>
    <row r="436" spans="2:19" x14ac:dyDescent="0.2">
      <c r="B436" s="83">
        <f t="shared" si="182"/>
        <v>4</v>
      </c>
      <c r="C436" s="3"/>
      <c r="D436" s="3"/>
      <c r="E436" s="3"/>
      <c r="F436" s="26" t="s">
        <v>236</v>
      </c>
      <c r="G436" s="3">
        <v>637</v>
      </c>
      <c r="H436" s="3" t="s">
        <v>134</v>
      </c>
      <c r="I436" s="19">
        <v>2075000</v>
      </c>
      <c r="J436" s="19"/>
      <c r="K436" s="19">
        <f t="shared" si="180"/>
        <v>2075000</v>
      </c>
      <c r="M436" s="19"/>
      <c r="N436" s="19"/>
      <c r="O436" s="87">
        <f t="shared" si="181"/>
        <v>0</v>
      </c>
      <c r="Q436" s="294">
        <f t="shared" si="177"/>
        <v>2075000</v>
      </c>
      <c r="R436" s="19">
        <f t="shared" si="178"/>
        <v>0</v>
      </c>
      <c r="S436" s="87">
        <f t="shared" si="178"/>
        <v>2075000</v>
      </c>
    </row>
    <row r="437" spans="2:19" ht="15" x14ac:dyDescent="0.2">
      <c r="B437" s="83">
        <f t="shared" si="182"/>
        <v>5</v>
      </c>
      <c r="C437" s="268">
        <v>2</v>
      </c>
      <c r="D437" s="360" t="s">
        <v>301</v>
      </c>
      <c r="E437" s="361"/>
      <c r="F437" s="361"/>
      <c r="G437" s="361"/>
      <c r="H437" s="362"/>
      <c r="I437" s="36">
        <f>I438+I455</f>
        <v>2335000</v>
      </c>
      <c r="J437" s="36">
        <f t="shared" ref="J437" si="183">J438+J455</f>
        <v>0</v>
      </c>
      <c r="K437" s="36">
        <f t="shared" si="180"/>
        <v>2335000</v>
      </c>
      <c r="M437" s="36">
        <f>M438+M455</f>
        <v>100000</v>
      </c>
      <c r="N437" s="36">
        <f t="shared" ref="N437" si="184">N438+N455</f>
        <v>0</v>
      </c>
      <c r="O437" s="84">
        <f t="shared" si="181"/>
        <v>100000</v>
      </c>
      <c r="Q437" s="291">
        <f t="shared" si="177"/>
        <v>2435000</v>
      </c>
      <c r="R437" s="36">
        <f t="shared" si="178"/>
        <v>0</v>
      </c>
      <c r="S437" s="84">
        <f t="shared" si="178"/>
        <v>2435000</v>
      </c>
    </row>
    <row r="438" spans="2:19" ht="15" x14ac:dyDescent="0.25">
      <c r="B438" s="83">
        <f t="shared" si="182"/>
        <v>6</v>
      </c>
      <c r="C438" s="267"/>
      <c r="D438" s="267">
        <v>1</v>
      </c>
      <c r="E438" s="368" t="s">
        <v>311</v>
      </c>
      <c r="F438" s="361"/>
      <c r="G438" s="361"/>
      <c r="H438" s="362"/>
      <c r="I438" s="37">
        <f>I439+I446</f>
        <v>1832000</v>
      </c>
      <c r="J438" s="37">
        <f t="shared" ref="J438" si="185">J439+J446</f>
        <v>0</v>
      </c>
      <c r="K438" s="37">
        <f t="shared" si="180"/>
        <v>1832000</v>
      </c>
      <c r="M438" s="37">
        <v>0</v>
      </c>
      <c r="N438" s="37">
        <v>0</v>
      </c>
      <c r="O438" s="85">
        <f t="shared" si="181"/>
        <v>0</v>
      </c>
      <c r="Q438" s="292">
        <f t="shared" si="177"/>
        <v>1832000</v>
      </c>
      <c r="R438" s="37">
        <f t="shared" si="178"/>
        <v>0</v>
      </c>
      <c r="S438" s="85">
        <f t="shared" si="178"/>
        <v>1832000</v>
      </c>
    </row>
    <row r="439" spans="2:19" x14ac:dyDescent="0.2">
      <c r="B439" s="83">
        <f t="shared" si="182"/>
        <v>7</v>
      </c>
      <c r="C439" s="7"/>
      <c r="D439" s="7"/>
      <c r="E439" s="7"/>
      <c r="F439" s="25" t="s">
        <v>236</v>
      </c>
      <c r="G439" s="7">
        <v>630</v>
      </c>
      <c r="H439" s="7" t="s">
        <v>133</v>
      </c>
      <c r="I439" s="23">
        <f>SUM(I440:I445)</f>
        <v>1040800</v>
      </c>
      <c r="J439" s="23">
        <f t="shared" ref="J439" si="186">SUM(J440:J445)</f>
        <v>0</v>
      </c>
      <c r="K439" s="23">
        <f t="shared" si="180"/>
        <v>1040800</v>
      </c>
      <c r="M439" s="23"/>
      <c r="N439" s="23"/>
      <c r="O439" s="86">
        <f t="shared" si="181"/>
        <v>0</v>
      </c>
      <c r="Q439" s="293">
        <f t="shared" si="177"/>
        <v>1040800</v>
      </c>
      <c r="R439" s="23">
        <f t="shared" si="178"/>
        <v>0</v>
      </c>
      <c r="S439" s="86">
        <f t="shared" si="178"/>
        <v>1040800</v>
      </c>
    </row>
    <row r="440" spans="2:19" x14ac:dyDescent="0.2">
      <c r="B440" s="83">
        <f t="shared" si="182"/>
        <v>8</v>
      </c>
      <c r="C440" s="3"/>
      <c r="D440" s="3"/>
      <c r="E440" s="3"/>
      <c r="F440" s="26" t="s">
        <v>236</v>
      </c>
      <c r="G440" s="3">
        <v>635</v>
      </c>
      <c r="H440" s="3" t="s">
        <v>145</v>
      </c>
      <c r="I440" s="19">
        <f>760000+30000-20000</f>
        <v>770000</v>
      </c>
      <c r="J440" s="19"/>
      <c r="K440" s="19">
        <f t="shared" si="180"/>
        <v>770000</v>
      </c>
      <c r="M440" s="19"/>
      <c r="N440" s="19"/>
      <c r="O440" s="87">
        <f t="shared" si="181"/>
        <v>0</v>
      </c>
      <c r="Q440" s="294">
        <f t="shared" si="177"/>
        <v>770000</v>
      </c>
      <c r="R440" s="19">
        <f t="shared" si="178"/>
        <v>0</v>
      </c>
      <c r="S440" s="87">
        <f t="shared" si="178"/>
        <v>770000</v>
      </c>
    </row>
    <row r="441" spans="2:19" x14ac:dyDescent="0.2">
      <c r="B441" s="83">
        <f t="shared" si="182"/>
        <v>9</v>
      </c>
      <c r="C441" s="3"/>
      <c r="D441" s="3"/>
      <c r="E441" s="3"/>
      <c r="F441" s="26" t="s">
        <v>236</v>
      </c>
      <c r="G441" s="3">
        <v>635</v>
      </c>
      <c r="H441" s="3" t="s">
        <v>486</v>
      </c>
      <c r="I441" s="19">
        <v>15000</v>
      </c>
      <c r="J441" s="19"/>
      <c r="K441" s="19">
        <f t="shared" si="180"/>
        <v>15000</v>
      </c>
      <c r="M441" s="19"/>
      <c r="N441" s="19"/>
      <c r="O441" s="87">
        <f t="shared" si="181"/>
        <v>0</v>
      </c>
      <c r="Q441" s="294">
        <f t="shared" si="177"/>
        <v>15000</v>
      </c>
      <c r="R441" s="19">
        <f t="shared" si="178"/>
        <v>0</v>
      </c>
      <c r="S441" s="87">
        <f t="shared" si="178"/>
        <v>15000</v>
      </c>
    </row>
    <row r="442" spans="2:19" x14ac:dyDescent="0.2">
      <c r="B442" s="83">
        <f t="shared" si="182"/>
        <v>10</v>
      </c>
      <c r="C442" s="3"/>
      <c r="D442" s="3"/>
      <c r="E442" s="3"/>
      <c r="F442" s="26" t="s">
        <v>236</v>
      </c>
      <c r="G442" s="3">
        <v>635</v>
      </c>
      <c r="H442" s="3" t="s">
        <v>511</v>
      </c>
      <c r="I442" s="19">
        <v>210000</v>
      </c>
      <c r="J442" s="19"/>
      <c r="K442" s="19">
        <f t="shared" si="180"/>
        <v>210000</v>
      </c>
      <c r="M442" s="19"/>
      <c r="N442" s="19"/>
      <c r="O442" s="87">
        <f t="shared" si="181"/>
        <v>0</v>
      </c>
      <c r="Q442" s="294">
        <f t="shared" si="177"/>
        <v>210000</v>
      </c>
      <c r="R442" s="19">
        <f t="shared" si="178"/>
        <v>0</v>
      </c>
      <c r="S442" s="87">
        <f t="shared" si="178"/>
        <v>210000</v>
      </c>
    </row>
    <row r="443" spans="2:19" x14ac:dyDescent="0.2">
      <c r="B443" s="83">
        <f t="shared" si="182"/>
        <v>11</v>
      </c>
      <c r="C443" s="3"/>
      <c r="D443" s="3"/>
      <c r="E443" s="3"/>
      <c r="F443" s="26" t="s">
        <v>236</v>
      </c>
      <c r="G443" s="3">
        <v>635</v>
      </c>
      <c r="H443" s="3" t="s">
        <v>534</v>
      </c>
      <c r="I443" s="19">
        <v>20000</v>
      </c>
      <c r="J443" s="19"/>
      <c r="K443" s="19">
        <f t="shared" si="180"/>
        <v>20000</v>
      </c>
      <c r="M443" s="19"/>
      <c r="N443" s="19"/>
      <c r="O443" s="87">
        <f t="shared" si="181"/>
        <v>0</v>
      </c>
      <c r="Q443" s="294">
        <f t="shared" si="177"/>
        <v>20000</v>
      </c>
      <c r="R443" s="19">
        <f t="shared" si="178"/>
        <v>0</v>
      </c>
      <c r="S443" s="87">
        <f t="shared" si="178"/>
        <v>20000</v>
      </c>
    </row>
    <row r="444" spans="2:19" x14ac:dyDescent="0.2">
      <c r="B444" s="83">
        <f t="shared" si="182"/>
        <v>12</v>
      </c>
      <c r="C444" s="3"/>
      <c r="D444" s="3"/>
      <c r="E444" s="3"/>
      <c r="F444" s="26" t="s">
        <v>236</v>
      </c>
      <c r="G444" s="3">
        <v>636</v>
      </c>
      <c r="H444" s="3" t="s">
        <v>138</v>
      </c>
      <c r="I444" s="19">
        <v>3000</v>
      </c>
      <c r="J444" s="19"/>
      <c r="K444" s="19">
        <f t="shared" si="180"/>
        <v>3000</v>
      </c>
      <c r="M444" s="19"/>
      <c r="N444" s="19"/>
      <c r="O444" s="87">
        <f t="shared" si="181"/>
        <v>0</v>
      </c>
      <c r="Q444" s="294">
        <f t="shared" si="177"/>
        <v>3000</v>
      </c>
      <c r="R444" s="19">
        <f t="shared" si="178"/>
        <v>0</v>
      </c>
      <c r="S444" s="87">
        <f t="shared" si="178"/>
        <v>3000</v>
      </c>
    </row>
    <row r="445" spans="2:19" x14ac:dyDescent="0.2">
      <c r="B445" s="83">
        <f t="shared" si="182"/>
        <v>13</v>
      </c>
      <c r="C445" s="3"/>
      <c r="D445" s="3"/>
      <c r="E445" s="3"/>
      <c r="F445" s="26" t="s">
        <v>236</v>
      </c>
      <c r="G445" s="3">
        <v>637</v>
      </c>
      <c r="H445" s="3" t="s">
        <v>134</v>
      </c>
      <c r="I445" s="19">
        <v>22800</v>
      </c>
      <c r="J445" s="19"/>
      <c r="K445" s="19">
        <f t="shared" si="180"/>
        <v>22800</v>
      </c>
      <c r="M445" s="19"/>
      <c r="N445" s="19"/>
      <c r="O445" s="87">
        <f t="shared" si="181"/>
        <v>0</v>
      </c>
      <c r="Q445" s="294">
        <f t="shared" si="177"/>
        <v>22800</v>
      </c>
      <c r="R445" s="19">
        <f t="shared" si="178"/>
        <v>0</v>
      </c>
      <c r="S445" s="87">
        <f t="shared" si="178"/>
        <v>22800</v>
      </c>
    </row>
    <row r="446" spans="2:19" ht="15" x14ac:dyDescent="0.25">
      <c r="B446" s="83">
        <f t="shared" si="182"/>
        <v>14</v>
      </c>
      <c r="C446" s="10"/>
      <c r="D446" s="10"/>
      <c r="E446" s="10">
        <v>2</v>
      </c>
      <c r="F446" s="28"/>
      <c r="G446" s="10"/>
      <c r="H446" s="10" t="s">
        <v>415</v>
      </c>
      <c r="I446" s="38">
        <f>I447+I448+I449+I454</f>
        <v>791200</v>
      </c>
      <c r="J446" s="38">
        <f t="shared" ref="J446" si="187">J447+J448+J449+J454</f>
        <v>0</v>
      </c>
      <c r="K446" s="38">
        <f t="shared" si="180"/>
        <v>791200</v>
      </c>
      <c r="M446" s="38">
        <v>0</v>
      </c>
      <c r="N446" s="38">
        <v>0</v>
      </c>
      <c r="O446" s="94">
        <f t="shared" si="181"/>
        <v>0</v>
      </c>
      <c r="Q446" s="307">
        <f t="shared" si="177"/>
        <v>791200</v>
      </c>
      <c r="R446" s="38">
        <f t="shared" si="178"/>
        <v>0</v>
      </c>
      <c r="S446" s="94">
        <f t="shared" si="178"/>
        <v>791200</v>
      </c>
    </row>
    <row r="447" spans="2:19" x14ac:dyDescent="0.2">
      <c r="B447" s="83">
        <f t="shared" si="182"/>
        <v>15</v>
      </c>
      <c r="C447" s="7"/>
      <c r="D447" s="7"/>
      <c r="E447" s="7"/>
      <c r="F447" s="25" t="s">
        <v>236</v>
      </c>
      <c r="G447" s="7">
        <v>610</v>
      </c>
      <c r="H447" s="7" t="s">
        <v>143</v>
      </c>
      <c r="I447" s="23">
        <v>50795</v>
      </c>
      <c r="J447" s="23"/>
      <c r="K447" s="23">
        <f t="shared" si="180"/>
        <v>50795</v>
      </c>
      <c r="M447" s="23"/>
      <c r="N447" s="23"/>
      <c r="O447" s="86">
        <f t="shared" si="181"/>
        <v>0</v>
      </c>
      <c r="Q447" s="293">
        <f t="shared" si="177"/>
        <v>50795</v>
      </c>
      <c r="R447" s="23">
        <f t="shared" si="178"/>
        <v>0</v>
      </c>
      <c r="S447" s="86">
        <f t="shared" si="178"/>
        <v>50795</v>
      </c>
    </row>
    <row r="448" spans="2:19" x14ac:dyDescent="0.2">
      <c r="B448" s="83">
        <f t="shared" si="182"/>
        <v>16</v>
      </c>
      <c r="C448" s="7"/>
      <c r="D448" s="7"/>
      <c r="E448" s="7"/>
      <c r="F448" s="25" t="s">
        <v>236</v>
      </c>
      <c r="G448" s="7">
        <v>620</v>
      </c>
      <c r="H448" s="7" t="s">
        <v>136</v>
      </c>
      <c r="I448" s="23">
        <v>21860</v>
      </c>
      <c r="J448" s="23"/>
      <c r="K448" s="23">
        <f t="shared" si="180"/>
        <v>21860</v>
      </c>
      <c r="M448" s="23"/>
      <c r="N448" s="23"/>
      <c r="O448" s="86">
        <f t="shared" si="181"/>
        <v>0</v>
      </c>
      <c r="Q448" s="293">
        <f t="shared" si="177"/>
        <v>21860</v>
      </c>
      <c r="R448" s="23">
        <f t="shared" si="178"/>
        <v>0</v>
      </c>
      <c r="S448" s="86">
        <f t="shared" si="178"/>
        <v>21860</v>
      </c>
    </row>
    <row r="449" spans="2:19" x14ac:dyDescent="0.2">
      <c r="B449" s="83">
        <f t="shared" si="182"/>
        <v>17</v>
      </c>
      <c r="C449" s="7"/>
      <c r="D449" s="7"/>
      <c r="E449" s="7"/>
      <c r="F449" s="25" t="s">
        <v>236</v>
      </c>
      <c r="G449" s="7">
        <v>630</v>
      </c>
      <c r="H449" s="7" t="s">
        <v>133</v>
      </c>
      <c r="I449" s="23">
        <f>SUM(I450:I453)</f>
        <v>718195</v>
      </c>
      <c r="J449" s="23">
        <f t="shared" ref="J449" si="188">SUM(J450:J453)</f>
        <v>0</v>
      </c>
      <c r="K449" s="23">
        <f t="shared" si="180"/>
        <v>718195</v>
      </c>
      <c r="M449" s="23"/>
      <c r="N449" s="23"/>
      <c r="O449" s="86">
        <f t="shared" si="181"/>
        <v>0</v>
      </c>
      <c r="Q449" s="293">
        <f t="shared" si="177"/>
        <v>718195</v>
      </c>
      <c r="R449" s="23">
        <f t="shared" ref="R449:S464" si="189">J449+N449</f>
        <v>0</v>
      </c>
      <c r="S449" s="86">
        <f t="shared" si="189"/>
        <v>718195</v>
      </c>
    </row>
    <row r="450" spans="2:19" x14ac:dyDescent="0.2">
      <c r="B450" s="83">
        <f t="shared" si="182"/>
        <v>18</v>
      </c>
      <c r="C450" s="3"/>
      <c r="D450" s="3"/>
      <c r="E450" s="3"/>
      <c r="F450" s="26" t="s">
        <v>236</v>
      </c>
      <c r="G450" s="3">
        <v>633</v>
      </c>
      <c r="H450" s="3" t="s">
        <v>137</v>
      </c>
      <c r="I450" s="19">
        <v>23750</v>
      </c>
      <c r="J450" s="19"/>
      <c r="K450" s="19">
        <f t="shared" si="180"/>
        <v>23750</v>
      </c>
      <c r="M450" s="19"/>
      <c r="N450" s="19"/>
      <c r="O450" s="87">
        <f t="shared" si="181"/>
        <v>0</v>
      </c>
      <c r="Q450" s="294">
        <f t="shared" si="177"/>
        <v>23750</v>
      </c>
      <c r="R450" s="19">
        <f t="shared" si="189"/>
        <v>0</v>
      </c>
      <c r="S450" s="87">
        <f t="shared" si="189"/>
        <v>23750</v>
      </c>
    </row>
    <row r="451" spans="2:19" x14ac:dyDescent="0.2">
      <c r="B451" s="83">
        <f t="shared" si="182"/>
        <v>19</v>
      </c>
      <c r="C451" s="3"/>
      <c r="D451" s="3"/>
      <c r="E451" s="3"/>
      <c r="F451" s="26" t="s">
        <v>236</v>
      </c>
      <c r="G451" s="3">
        <v>634</v>
      </c>
      <c r="H451" s="3" t="s">
        <v>144</v>
      </c>
      <c r="I451" s="19">
        <v>17000</v>
      </c>
      <c r="J451" s="19"/>
      <c r="K451" s="19">
        <f t="shared" si="180"/>
        <v>17000</v>
      </c>
      <c r="M451" s="19"/>
      <c r="N451" s="19"/>
      <c r="O451" s="87">
        <f t="shared" si="181"/>
        <v>0</v>
      </c>
      <c r="Q451" s="294">
        <f t="shared" si="177"/>
        <v>17000</v>
      </c>
      <c r="R451" s="19">
        <f t="shared" si="189"/>
        <v>0</v>
      </c>
      <c r="S451" s="87">
        <f t="shared" si="189"/>
        <v>17000</v>
      </c>
    </row>
    <row r="452" spans="2:19" x14ac:dyDescent="0.2">
      <c r="B452" s="83">
        <f t="shared" si="182"/>
        <v>20</v>
      </c>
      <c r="C452" s="3"/>
      <c r="D452" s="3"/>
      <c r="E452" s="3"/>
      <c r="F452" s="26" t="s">
        <v>236</v>
      </c>
      <c r="G452" s="3">
        <v>635</v>
      </c>
      <c r="H452" s="3" t="s">
        <v>145</v>
      </c>
      <c r="I452" s="19">
        <f>1000+645345</f>
        <v>646345</v>
      </c>
      <c r="J452" s="19"/>
      <c r="K452" s="19">
        <f t="shared" si="180"/>
        <v>646345</v>
      </c>
      <c r="M452" s="19"/>
      <c r="N452" s="19"/>
      <c r="O452" s="87">
        <f t="shared" si="181"/>
        <v>0</v>
      </c>
      <c r="Q452" s="294">
        <f t="shared" si="177"/>
        <v>646345</v>
      </c>
      <c r="R452" s="19">
        <f t="shared" si="189"/>
        <v>0</v>
      </c>
      <c r="S452" s="87">
        <f t="shared" si="189"/>
        <v>646345</v>
      </c>
    </row>
    <row r="453" spans="2:19" x14ac:dyDescent="0.2">
      <c r="B453" s="83">
        <f t="shared" si="182"/>
        <v>21</v>
      </c>
      <c r="C453" s="3"/>
      <c r="D453" s="3"/>
      <c r="E453" s="3"/>
      <c r="F453" s="26" t="s">
        <v>236</v>
      </c>
      <c r="G453" s="3">
        <v>637</v>
      </c>
      <c r="H453" s="3" t="s">
        <v>134</v>
      </c>
      <c r="I453" s="19">
        <f>31100</f>
        <v>31100</v>
      </c>
      <c r="J453" s="19"/>
      <c r="K453" s="19">
        <f t="shared" si="180"/>
        <v>31100</v>
      </c>
      <c r="M453" s="19"/>
      <c r="N453" s="19"/>
      <c r="O453" s="87">
        <f t="shared" si="181"/>
        <v>0</v>
      </c>
      <c r="Q453" s="294">
        <f t="shared" si="177"/>
        <v>31100</v>
      </c>
      <c r="R453" s="19">
        <f t="shared" si="189"/>
        <v>0</v>
      </c>
      <c r="S453" s="87">
        <f t="shared" si="189"/>
        <v>31100</v>
      </c>
    </row>
    <row r="454" spans="2:19" x14ac:dyDescent="0.2">
      <c r="B454" s="83">
        <f t="shared" si="182"/>
        <v>22</v>
      </c>
      <c r="C454" s="7"/>
      <c r="D454" s="7"/>
      <c r="E454" s="7"/>
      <c r="F454" s="25" t="s">
        <v>236</v>
      </c>
      <c r="G454" s="7">
        <v>640</v>
      </c>
      <c r="H454" s="7" t="s">
        <v>141</v>
      </c>
      <c r="I454" s="23">
        <v>350</v>
      </c>
      <c r="J454" s="23"/>
      <c r="K454" s="23">
        <f t="shared" si="180"/>
        <v>350</v>
      </c>
      <c r="M454" s="23"/>
      <c r="N454" s="23"/>
      <c r="O454" s="86">
        <f t="shared" si="181"/>
        <v>0</v>
      </c>
      <c r="Q454" s="293">
        <f t="shared" si="177"/>
        <v>350</v>
      </c>
      <c r="R454" s="23">
        <f t="shared" si="189"/>
        <v>0</v>
      </c>
      <c r="S454" s="86">
        <f t="shared" si="189"/>
        <v>350</v>
      </c>
    </row>
    <row r="455" spans="2:19" ht="15" x14ac:dyDescent="0.25">
      <c r="B455" s="83">
        <f t="shared" si="182"/>
        <v>23</v>
      </c>
      <c r="C455" s="267"/>
      <c r="D455" s="267">
        <v>2</v>
      </c>
      <c r="E455" s="368" t="s">
        <v>312</v>
      </c>
      <c r="F455" s="361"/>
      <c r="G455" s="361"/>
      <c r="H455" s="362"/>
      <c r="I455" s="37">
        <f>I456+I462</f>
        <v>503000</v>
      </c>
      <c r="J455" s="37">
        <f t="shared" ref="J455" si="190">J456+J462</f>
        <v>0</v>
      </c>
      <c r="K455" s="37">
        <f t="shared" si="180"/>
        <v>503000</v>
      </c>
      <c r="M455" s="37">
        <f>M462</f>
        <v>100000</v>
      </c>
      <c r="N455" s="37">
        <f t="shared" ref="N455" si="191">N462</f>
        <v>0</v>
      </c>
      <c r="O455" s="85">
        <f t="shared" si="181"/>
        <v>100000</v>
      </c>
      <c r="Q455" s="292">
        <f t="shared" si="177"/>
        <v>603000</v>
      </c>
      <c r="R455" s="37">
        <f t="shared" si="189"/>
        <v>0</v>
      </c>
      <c r="S455" s="85">
        <f t="shared" si="189"/>
        <v>603000</v>
      </c>
    </row>
    <row r="456" spans="2:19" x14ac:dyDescent="0.2">
      <c r="B456" s="83">
        <f t="shared" si="182"/>
        <v>24</v>
      </c>
      <c r="C456" s="7"/>
      <c r="D456" s="7"/>
      <c r="E456" s="7"/>
      <c r="F456" s="25" t="s">
        <v>236</v>
      </c>
      <c r="G456" s="7">
        <v>630</v>
      </c>
      <c r="H456" s="7" t="s">
        <v>133</v>
      </c>
      <c r="I456" s="23">
        <f>I461+I460+I459+I458+I457</f>
        <v>503000</v>
      </c>
      <c r="J456" s="23">
        <f t="shared" ref="J456" si="192">J461+J460+J459+J458+J457</f>
        <v>0</v>
      </c>
      <c r="K456" s="23">
        <f t="shared" si="180"/>
        <v>503000</v>
      </c>
      <c r="M456" s="23"/>
      <c r="N456" s="23"/>
      <c r="O456" s="86">
        <f t="shared" si="181"/>
        <v>0</v>
      </c>
      <c r="Q456" s="293">
        <f t="shared" si="177"/>
        <v>503000</v>
      </c>
      <c r="R456" s="23">
        <f t="shared" si="189"/>
        <v>0</v>
      </c>
      <c r="S456" s="86">
        <f t="shared" si="189"/>
        <v>503000</v>
      </c>
    </row>
    <row r="457" spans="2:19" x14ac:dyDescent="0.2">
      <c r="B457" s="83">
        <f t="shared" si="182"/>
        <v>25</v>
      </c>
      <c r="C457" s="3"/>
      <c r="D457" s="3"/>
      <c r="E457" s="3"/>
      <c r="F457" s="26" t="s">
        <v>236</v>
      </c>
      <c r="G457" s="3">
        <v>632</v>
      </c>
      <c r="H457" s="3" t="s">
        <v>146</v>
      </c>
      <c r="I457" s="19">
        <v>102000</v>
      </c>
      <c r="J457" s="19"/>
      <c r="K457" s="19">
        <f t="shared" si="180"/>
        <v>102000</v>
      </c>
      <c r="M457" s="19"/>
      <c r="N457" s="19"/>
      <c r="O457" s="87">
        <f t="shared" si="181"/>
        <v>0</v>
      </c>
      <c r="Q457" s="294">
        <f t="shared" si="177"/>
        <v>102000</v>
      </c>
      <c r="R457" s="19">
        <f t="shared" si="189"/>
        <v>0</v>
      </c>
      <c r="S457" s="87">
        <f t="shared" si="189"/>
        <v>102000</v>
      </c>
    </row>
    <row r="458" spans="2:19" x14ac:dyDescent="0.2">
      <c r="B458" s="83">
        <f t="shared" si="182"/>
        <v>26</v>
      </c>
      <c r="C458" s="3"/>
      <c r="D458" s="3"/>
      <c r="E458" s="3"/>
      <c r="F458" s="26" t="s">
        <v>236</v>
      </c>
      <c r="G458" s="3">
        <v>633</v>
      </c>
      <c r="H458" s="3" t="s">
        <v>137</v>
      </c>
      <c r="I458" s="19">
        <v>2500</v>
      </c>
      <c r="J458" s="19"/>
      <c r="K458" s="19">
        <f t="shared" si="180"/>
        <v>2500</v>
      </c>
      <c r="M458" s="19"/>
      <c r="N458" s="19"/>
      <c r="O458" s="87">
        <f t="shared" si="181"/>
        <v>0</v>
      </c>
      <c r="Q458" s="294">
        <f t="shared" si="177"/>
        <v>2500</v>
      </c>
      <c r="R458" s="19">
        <f t="shared" si="189"/>
        <v>0</v>
      </c>
      <c r="S458" s="87">
        <f t="shared" si="189"/>
        <v>2500</v>
      </c>
    </row>
    <row r="459" spans="2:19" x14ac:dyDescent="0.2">
      <c r="B459" s="83">
        <f t="shared" si="182"/>
        <v>27</v>
      </c>
      <c r="C459" s="3"/>
      <c r="D459" s="3"/>
      <c r="E459" s="3"/>
      <c r="F459" s="26" t="s">
        <v>236</v>
      </c>
      <c r="G459" s="3">
        <v>635</v>
      </c>
      <c r="H459" s="3" t="s">
        <v>145</v>
      </c>
      <c r="I459" s="19">
        <f>210000+130000-13000-7000</f>
        <v>320000</v>
      </c>
      <c r="J459" s="19"/>
      <c r="K459" s="19">
        <f t="shared" si="180"/>
        <v>320000</v>
      </c>
      <c r="M459" s="19"/>
      <c r="N459" s="19"/>
      <c r="O459" s="87">
        <f t="shared" si="181"/>
        <v>0</v>
      </c>
      <c r="Q459" s="294">
        <f t="shared" si="177"/>
        <v>320000</v>
      </c>
      <c r="R459" s="19">
        <f t="shared" si="189"/>
        <v>0</v>
      </c>
      <c r="S459" s="87">
        <f t="shared" si="189"/>
        <v>320000</v>
      </c>
    </row>
    <row r="460" spans="2:19" x14ac:dyDescent="0.2">
      <c r="B460" s="83">
        <f t="shared" si="182"/>
        <v>28</v>
      </c>
      <c r="C460" s="3"/>
      <c r="D460" s="3"/>
      <c r="E460" s="3"/>
      <c r="F460" s="26" t="s">
        <v>236</v>
      </c>
      <c r="G460" s="3">
        <v>636</v>
      </c>
      <c r="H460" s="3" t="s">
        <v>138</v>
      </c>
      <c r="I460" s="19">
        <v>47000</v>
      </c>
      <c r="J460" s="19"/>
      <c r="K460" s="19">
        <f t="shared" si="180"/>
        <v>47000</v>
      </c>
      <c r="M460" s="19"/>
      <c r="N460" s="19"/>
      <c r="O460" s="87">
        <f t="shared" si="181"/>
        <v>0</v>
      </c>
      <c r="Q460" s="294">
        <f t="shared" si="177"/>
        <v>47000</v>
      </c>
      <c r="R460" s="19">
        <f t="shared" si="189"/>
        <v>0</v>
      </c>
      <c r="S460" s="87">
        <f t="shared" si="189"/>
        <v>47000</v>
      </c>
    </row>
    <row r="461" spans="2:19" x14ac:dyDescent="0.2">
      <c r="B461" s="83">
        <f t="shared" si="182"/>
        <v>29</v>
      </c>
      <c r="C461" s="3"/>
      <c r="D461" s="3"/>
      <c r="E461" s="3"/>
      <c r="F461" s="26" t="s">
        <v>236</v>
      </c>
      <c r="G461" s="3">
        <v>637</v>
      </c>
      <c r="H461" s="3" t="s">
        <v>134</v>
      </c>
      <c r="I461" s="19">
        <v>31500</v>
      </c>
      <c r="J461" s="19"/>
      <c r="K461" s="19">
        <f t="shared" si="180"/>
        <v>31500</v>
      </c>
      <c r="M461" s="19"/>
      <c r="N461" s="19"/>
      <c r="O461" s="87">
        <f t="shared" si="181"/>
        <v>0</v>
      </c>
      <c r="Q461" s="294">
        <f t="shared" si="177"/>
        <v>31500</v>
      </c>
      <c r="R461" s="19">
        <f t="shared" si="189"/>
        <v>0</v>
      </c>
      <c r="S461" s="87">
        <f t="shared" si="189"/>
        <v>31500</v>
      </c>
    </row>
    <row r="462" spans="2:19" x14ac:dyDescent="0.2">
      <c r="B462" s="83">
        <f t="shared" si="182"/>
        <v>30</v>
      </c>
      <c r="C462" s="7"/>
      <c r="D462" s="7"/>
      <c r="E462" s="7"/>
      <c r="F462" s="25" t="s">
        <v>236</v>
      </c>
      <c r="G462" s="7">
        <v>710</v>
      </c>
      <c r="H462" s="7" t="s">
        <v>188</v>
      </c>
      <c r="I462" s="23"/>
      <c r="J462" s="23"/>
      <c r="K462" s="23">
        <f t="shared" si="180"/>
        <v>0</v>
      </c>
      <c r="M462" s="23">
        <f>M463</f>
        <v>100000</v>
      </c>
      <c r="N462" s="23">
        <f t="shared" ref="N462:N463" si="193">N463</f>
        <v>0</v>
      </c>
      <c r="O462" s="86">
        <f t="shared" si="181"/>
        <v>100000</v>
      </c>
      <c r="Q462" s="293">
        <f t="shared" si="177"/>
        <v>100000</v>
      </c>
      <c r="R462" s="23">
        <f t="shared" si="189"/>
        <v>0</v>
      </c>
      <c r="S462" s="86">
        <f t="shared" si="189"/>
        <v>100000</v>
      </c>
    </row>
    <row r="463" spans="2:19" x14ac:dyDescent="0.2">
      <c r="B463" s="83">
        <f t="shared" si="182"/>
        <v>31</v>
      </c>
      <c r="C463" s="3"/>
      <c r="D463" s="3"/>
      <c r="E463" s="3"/>
      <c r="F463" s="26" t="s">
        <v>236</v>
      </c>
      <c r="G463" s="3">
        <v>713</v>
      </c>
      <c r="H463" s="3" t="s">
        <v>235</v>
      </c>
      <c r="I463" s="19"/>
      <c r="J463" s="19"/>
      <c r="K463" s="19">
        <f t="shared" si="180"/>
        <v>0</v>
      </c>
      <c r="M463" s="19">
        <f>M464</f>
        <v>100000</v>
      </c>
      <c r="N463" s="19">
        <f t="shared" si="193"/>
        <v>0</v>
      </c>
      <c r="O463" s="87">
        <f t="shared" si="181"/>
        <v>100000</v>
      </c>
      <c r="Q463" s="294">
        <f t="shared" si="177"/>
        <v>100000</v>
      </c>
      <c r="R463" s="19">
        <f t="shared" si="189"/>
        <v>0</v>
      </c>
      <c r="S463" s="87">
        <f t="shared" si="189"/>
        <v>100000</v>
      </c>
    </row>
    <row r="464" spans="2:19" x14ac:dyDescent="0.2">
      <c r="B464" s="83">
        <f t="shared" si="182"/>
        <v>32</v>
      </c>
      <c r="C464" s="4"/>
      <c r="D464" s="4"/>
      <c r="E464" s="4"/>
      <c r="F464" s="31"/>
      <c r="G464" s="4"/>
      <c r="H464" s="4" t="s">
        <v>376</v>
      </c>
      <c r="I464" s="21"/>
      <c r="J464" s="21"/>
      <c r="K464" s="21">
        <f t="shared" si="180"/>
        <v>0</v>
      </c>
      <c r="M464" s="21">
        <v>100000</v>
      </c>
      <c r="N464" s="21"/>
      <c r="O464" s="88">
        <f t="shared" si="181"/>
        <v>100000</v>
      </c>
      <c r="Q464" s="308">
        <f t="shared" si="177"/>
        <v>100000</v>
      </c>
      <c r="R464" s="21">
        <f t="shared" si="189"/>
        <v>0</v>
      </c>
      <c r="S464" s="88">
        <f t="shared" si="189"/>
        <v>100000</v>
      </c>
    </row>
    <row r="465" spans="2:19" ht="15" x14ac:dyDescent="0.2">
      <c r="B465" s="83">
        <f t="shared" si="182"/>
        <v>33</v>
      </c>
      <c r="C465" s="268">
        <v>3</v>
      </c>
      <c r="D465" s="360" t="s">
        <v>240</v>
      </c>
      <c r="E465" s="361"/>
      <c r="F465" s="361"/>
      <c r="G465" s="361"/>
      <c r="H465" s="362"/>
      <c r="I465" s="36">
        <v>0</v>
      </c>
      <c r="J465" s="36">
        <v>0</v>
      </c>
      <c r="K465" s="36">
        <v>0</v>
      </c>
      <c r="M465" s="36">
        <f>M466</f>
        <v>6382148</v>
      </c>
      <c r="N465" s="36">
        <f t="shared" ref="N465" si="194">N466</f>
        <v>0</v>
      </c>
      <c r="O465" s="84">
        <f t="shared" si="181"/>
        <v>6382148</v>
      </c>
      <c r="Q465" s="291">
        <f t="shared" ref="Q465:Q496" si="195">I465+M465</f>
        <v>6382148</v>
      </c>
      <c r="R465" s="36">
        <f t="shared" ref="R465:S480" si="196">J465+N465</f>
        <v>0</v>
      </c>
      <c r="S465" s="84">
        <f t="shared" si="196"/>
        <v>6382148</v>
      </c>
    </row>
    <row r="466" spans="2:19" x14ac:dyDescent="0.2">
      <c r="B466" s="83">
        <f t="shared" si="182"/>
        <v>34</v>
      </c>
      <c r="C466" s="7"/>
      <c r="D466" s="7"/>
      <c r="E466" s="7"/>
      <c r="F466" s="25" t="s">
        <v>236</v>
      </c>
      <c r="G466" s="7">
        <v>710</v>
      </c>
      <c r="H466" s="7" t="s">
        <v>188</v>
      </c>
      <c r="I466" s="23"/>
      <c r="J466" s="23"/>
      <c r="K466" s="23"/>
      <c r="M466" s="23">
        <f>M467+M480</f>
        <v>6382148</v>
      </c>
      <c r="N466" s="23">
        <f t="shared" ref="N466" si="197">N467+N480</f>
        <v>0</v>
      </c>
      <c r="O466" s="86">
        <f t="shared" si="181"/>
        <v>6382148</v>
      </c>
      <c r="Q466" s="293">
        <f t="shared" si="195"/>
        <v>6382148</v>
      </c>
      <c r="R466" s="23">
        <f t="shared" si="196"/>
        <v>0</v>
      </c>
      <c r="S466" s="86">
        <f t="shared" si="196"/>
        <v>6382148</v>
      </c>
    </row>
    <row r="467" spans="2:19" x14ac:dyDescent="0.2">
      <c r="B467" s="83">
        <f t="shared" si="182"/>
        <v>35</v>
      </c>
      <c r="C467" s="3"/>
      <c r="D467" s="3"/>
      <c r="E467" s="3"/>
      <c r="F467" s="26" t="s">
        <v>236</v>
      </c>
      <c r="G467" s="3">
        <v>716</v>
      </c>
      <c r="H467" s="3" t="s">
        <v>232</v>
      </c>
      <c r="I467" s="19"/>
      <c r="J467" s="19"/>
      <c r="K467" s="19"/>
      <c r="M467" s="19">
        <f>SUM(M468:M479)</f>
        <v>73799</v>
      </c>
      <c r="N467" s="19">
        <f t="shared" ref="N467" si="198">SUM(N468:N479)</f>
        <v>0</v>
      </c>
      <c r="O467" s="87">
        <f t="shared" si="181"/>
        <v>73799</v>
      </c>
      <c r="Q467" s="294">
        <f t="shared" si="195"/>
        <v>73799</v>
      </c>
      <c r="R467" s="19">
        <f t="shared" si="196"/>
        <v>0</v>
      </c>
      <c r="S467" s="87">
        <f t="shared" si="196"/>
        <v>73799</v>
      </c>
    </row>
    <row r="468" spans="2:19" x14ac:dyDescent="0.2">
      <c r="B468" s="83">
        <f t="shared" si="182"/>
        <v>36</v>
      </c>
      <c r="C468" s="4"/>
      <c r="D468" s="4"/>
      <c r="E468" s="4"/>
      <c r="F468" s="27"/>
      <c r="G468" s="4"/>
      <c r="H468" s="4" t="s">
        <v>390</v>
      </c>
      <c r="I468" s="21"/>
      <c r="J468" s="21"/>
      <c r="K468" s="21"/>
      <c r="M468" s="21">
        <v>19730</v>
      </c>
      <c r="N468" s="21"/>
      <c r="O468" s="88">
        <f t="shared" si="181"/>
        <v>19730</v>
      </c>
      <c r="Q468" s="308">
        <f t="shared" si="195"/>
        <v>19730</v>
      </c>
      <c r="R468" s="21">
        <f t="shared" si="196"/>
        <v>0</v>
      </c>
      <c r="S468" s="88">
        <f t="shared" si="196"/>
        <v>19730</v>
      </c>
    </row>
    <row r="469" spans="2:19" x14ac:dyDescent="0.2">
      <c r="B469" s="83">
        <f t="shared" si="182"/>
        <v>37</v>
      </c>
      <c r="C469" s="4"/>
      <c r="D469" s="4"/>
      <c r="E469" s="4"/>
      <c r="F469" s="27"/>
      <c r="G469" s="4"/>
      <c r="H469" s="4" t="s">
        <v>391</v>
      </c>
      <c r="I469" s="21"/>
      <c r="J469" s="21"/>
      <c r="K469" s="21"/>
      <c r="M469" s="21">
        <v>1250</v>
      </c>
      <c r="N469" s="21"/>
      <c r="O469" s="88">
        <f t="shared" si="181"/>
        <v>1250</v>
      </c>
      <c r="Q469" s="308">
        <f t="shared" si="195"/>
        <v>1250</v>
      </c>
      <c r="R469" s="21">
        <f t="shared" si="196"/>
        <v>0</v>
      </c>
      <c r="S469" s="88">
        <f t="shared" si="196"/>
        <v>1250</v>
      </c>
    </row>
    <row r="470" spans="2:19" x14ac:dyDescent="0.2">
      <c r="B470" s="83">
        <f t="shared" si="182"/>
        <v>38</v>
      </c>
      <c r="C470" s="4"/>
      <c r="D470" s="4"/>
      <c r="E470" s="4"/>
      <c r="F470" s="27"/>
      <c r="G470" s="4"/>
      <c r="H470" s="4" t="s">
        <v>493</v>
      </c>
      <c r="I470" s="21"/>
      <c r="J470" s="21"/>
      <c r="K470" s="21"/>
      <c r="M470" s="21">
        <v>5000</v>
      </c>
      <c r="N470" s="21"/>
      <c r="O470" s="88">
        <f t="shared" si="181"/>
        <v>5000</v>
      </c>
      <c r="Q470" s="308">
        <f t="shared" si="195"/>
        <v>5000</v>
      </c>
      <c r="R470" s="21">
        <f t="shared" si="196"/>
        <v>0</v>
      </c>
      <c r="S470" s="88">
        <f t="shared" si="196"/>
        <v>5000</v>
      </c>
    </row>
    <row r="471" spans="2:19" x14ac:dyDescent="0.2">
      <c r="B471" s="83">
        <f t="shared" si="182"/>
        <v>39</v>
      </c>
      <c r="C471" s="4"/>
      <c r="D471" s="4"/>
      <c r="E471" s="4"/>
      <c r="F471" s="27"/>
      <c r="G471" s="4"/>
      <c r="H471" s="4" t="s">
        <v>37</v>
      </c>
      <c r="I471" s="21"/>
      <c r="J471" s="21"/>
      <c r="K471" s="21"/>
      <c r="M471" s="21">
        <v>2000</v>
      </c>
      <c r="N471" s="21"/>
      <c r="O471" s="88">
        <f t="shared" si="181"/>
        <v>2000</v>
      </c>
      <c r="Q471" s="308">
        <f t="shared" si="195"/>
        <v>2000</v>
      </c>
      <c r="R471" s="21">
        <f t="shared" si="196"/>
        <v>0</v>
      </c>
      <c r="S471" s="88">
        <f t="shared" si="196"/>
        <v>2000</v>
      </c>
    </row>
    <row r="472" spans="2:19" x14ac:dyDescent="0.2">
      <c r="B472" s="83">
        <f t="shared" si="182"/>
        <v>40</v>
      </c>
      <c r="C472" s="4"/>
      <c r="D472" s="4"/>
      <c r="E472" s="4"/>
      <c r="F472" s="27"/>
      <c r="G472" s="4"/>
      <c r="H472" s="4" t="s">
        <v>500</v>
      </c>
      <c r="I472" s="21"/>
      <c r="J472" s="21"/>
      <c r="K472" s="21"/>
      <c r="M472" s="21">
        <v>10000</v>
      </c>
      <c r="N472" s="21"/>
      <c r="O472" s="88">
        <f t="shared" si="181"/>
        <v>10000</v>
      </c>
      <c r="Q472" s="308">
        <f t="shared" si="195"/>
        <v>10000</v>
      </c>
      <c r="R472" s="21">
        <f t="shared" si="196"/>
        <v>0</v>
      </c>
      <c r="S472" s="88">
        <f t="shared" si="196"/>
        <v>10000</v>
      </c>
    </row>
    <row r="473" spans="2:19" x14ac:dyDescent="0.2">
      <c r="B473" s="83">
        <f t="shared" si="182"/>
        <v>41</v>
      </c>
      <c r="C473" s="46"/>
      <c r="D473" s="46"/>
      <c r="E473" s="46"/>
      <c r="F473" s="172"/>
      <c r="G473" s="46"/>
      <c r="H473" s="46" t="s">
        <v>515</v>
      </c>
      <c r="I473" s="22"/>
      <c r="J473" s="22"/>
      <c r="K473" s="22"/>
      <c r="M473" s="22">
        <v>3000</v>
      </c>
      <c r="N473" s="22"/>
      <c r="O473" s="114">
        <f t="shared" si="181"/>
        <v>3000</v>
      </c>
      <c r="Q473" s="322">
        <f t="shared" si="195"/>
        <v>3000</v>
      </c>
      <c r="R473" s="22">
        <f t="shared" si="196"/>
        <v>0</v>
      </c>
      <c r="S473" s="114">
        <f t="shared" si="196"/>
        <v>3000</v>
      </c>
    </row>
    <row r="474" spans="2:19" x14ac:dyDescent="0.2">
      <c r="B474" s="83">
        <f t="shared" si="182"/>
        <v>42</v>
      </c>
      <c r="C474" s="4"/>
      <c r="D474" s="4"/>
      <c r="E474" s="4"/>
      <c r="F474" s="27"/>
      <c r="G474" s="4"/>
      <c r="H474" s="46" t="s">
        <v>393</v>
      </c>
      <c r="I474" s="22"/>
      <c r="J474" s="22"/>
      <c r="K474" s="22"/>
      <c r="M474" s="22">
        <v>25000</v>
      </c>
      <c r="N474" s="22"/>
      <c r="O474" s="114">
        <f t="shared" si="181"/>
        <v>25000</v>
      </c>
      <c r="Q474" s="322">
        <f t="shared" si="195"/>
        <v>25000</v>
      </c>
      <c r="R474" s="22">
        <f t="shared" si="196"/>
        <v>0</v>
      </c>
      <c r="S474" s="114">
        <f t="shared" si="196"/>
        <v>25000</v>
      </c>
    </row>
    <row r="475" spans="2:19" x14ac:dyDescent="0.2">
      <c r="B475" s="83">
        <f t="shared" si="182"/>
        <v>43</v>
      </c>
      <c r="C475" s="4"/>
      <c r="D475" s="4"/>
      <c r="E475" s="4"/>
      <c r="F475" s="27"/>
      <c r="G475" s="4"/>
      <c r="H475" s="4" t="s">
        <v>304</v>
      </c>
      <c r="I475" s="21"/>
      <c r="J475" s="21"/>
      <c r="K475" s="21"/>
      <c r="M475" s="21">
        <f>1480-388</f>
        <v>1092</v>
      </c>
      <c r="N475" s="21"/>
      <c r="O475" s="88">
        <f t="shared" si="181"/>
        <v>1092</v>
      </c>
      <c r="Q475" s="308">
        <f t="shared" si="195"/>
        <v>1092</v>
      </c>
      <c r="R475" s="21">
        <f t="shared" si="196"/>
        <v>0</v>
      </c>
      <c r="S475" s="88">
        <f t="shared" si="196"/>
        <v>1092</v>
      </c>
    </row>
    <row r="476" spans="2:19" x14ac:dyDescent="0.2">
      <c r="B476" s="83">
        <f t="shared" si="182"/>
        <v>44</v>
      </c>
      <c r="C476" s="4"/>
      <c r="D476" s="4"/>
      <c r="E476" s="4"/>
      <c r="F476" s="27"/>
      <c r="G476" s="4"/>
      <c r="H476" s="4" t="s">
        <v>522</v>
      </c>
      <c r="I476" s="21"/>
      <c r="J476" s="21"/>
      <c r="K476" s="21"/>
      <c r="M476" s="21">
        <v>227</v>
      </c>
      <c r="N476" s="21"/>
      <c r="O476" s="88">
        <f t="shared" si="181"/>
        <v>227</v>
      </c>
      <c r="Q476" s="308">
        <f t="shared" si="195"/>
        <v>227</v>
      </c>
      <c r="R476" s="21">
        <f t="shared" si="196"/>
        <v>0</v>
      </c>
      <c r="S476" s="88">
        <f t="shared" si="196"/>
        <v>227</v>
      </c>
    </row>
    <row r="477" spans="2:19" x14ac:dyDescent="0.2">
      <c r="B477" s="83">
        <f t="shared" si="182"/>
        <v>45</v>
      </c>
      <c r="C477" s="4"/>
      <c r="D477" s="4"/>
      <c r="E477" s="4"/>
      <c r="F477" s="27"/>
      <c r="G477" s="4"/>
      <c r="H477" s="46" t="s">
        <v>480</v>
      </c>
      <c r="I477" s="21"/>
      <c r="J477" s="21"/>
      <c r="K477" s="21"/>
      <c r="M477" s="21">
        <v>2500</v>
      </c>
      <c r="N477" s="21"/>
      <c r="O477" s="88">
        <f t="shared" si="181"/>
        <v>2500</v>
      </c>
      <c r="Q477" s="308">
        <f t="shared" si="195"/>
        <v>2500</v>
      </c>
      <c r="R477" s="21">
        <f t="shared" si="196"/>
        <v>0</v>
      </c>
      <c r="S477" s="88">
        <f t="shared" si="196"/>
        <v>2500</v>
      </c>
    </row>
    <row r="478" spans="2:19" x14ac:dyDescent="0.2">
      <c r="B478" s="83">
        <f t="shared" si="182"/>
        <v>46</v>
      </c>
      <c r="C478" s="4"/>
      <c r="D478" s="4"/>
      <c r="E478" s="4"/>
      <c r="F478" s="27"/>
      <c r="G478" s="4"/>
      <c r="H478" s="46" t="s">
        <v>538</v>
      </c>
      <c r="I478" s="21"/>
      <c r="J478" s="21"/>
      <c r="K478" s="21"/>
      <c r="M478" s="21">
        <v>1000</v>
      </c>
      <c r="N478" s="21"/>
      <c r="O478" s="88">
        <f t="shared" si="181"/>
        <v>1000</v>
      </c>
      <c r="Q478" s="308">
        <f t="shared" si="195"/>
        <v>1000</v>
      </c>
      <c r="R478" s="21">
        <f t="shared" si="196"/>
        <v>0</v>
      </c>
      <c r="S478" s="88">
        <f t="shared" si="196"/>
        <v>1000</v>
      </c>
    </row>
    <row r="479" spans="2:19" x14ac:dyDescent="0.2">
      <c r="B479" s="83">
        <f t="shared" si="182"/>
        <v>47</v>
      </c>
      <c r="C479" s="4"/>
      <c r="D479" s="4"/>
      <c r="E479" s="4"/>
      <c r="F479" s="27"/>
      <c r="G479" s="4"/>
      <c r="H479" s="46" t="s">
        <v>485</v>
      </c>
      <c r="I479" s="21"/>
      <c r="J479" s="21"/>
      <c r="K479" s="21"/>
      <c r="M479" s="21">
        <v>3000</v>
      </c>
      <c r="N479" s="21"/>
      <c r="O479" s="88">
        <f t="shared" si="181"/>
        <v>3000</v>
      </c>
      <c r="Q479" s="308">
        <f t="shared" si="195"/>
        <v>3000</v>
      </c>
      <c r="R479" s="21">
        <f t="shared" si="196"/>
        <v>0</v>
      </c>
      <c r="S479" s="88">
        <f t="shared" si="196"/>
        <v>3000</v>
      </c>
    </row>
    <row r="480" spans="2:19" x14ac:dyDescent="0.2">
      <c r="B480" s="83">
        <f t="shared" si="182"/>
        <v>48</v>
      </c>
      <c r="C480" s="3"/>
      <c r="D480" s="3"/>
      <c r="E480" s="3"/>
      <c r="F480" s="26" t="s">
        <v>236</v>
      </c>
      <c r="G480" s="3">
        <v>717</v>
      </c>
      <c r="H480" s="3" t="s">
        <v>198</v>
      </c>
      <c r="I480" s="19"/>
      <c r="J480" s="19"/>
      <c r="K480" s="19"/>
      <c r="M480" s="19">
        <f>SUM(M481:M539)</f>
        <v>6308349</v>
      </c>
      <c r="N480" s="19">
        <f t="shared" ref="N480" si="199">SUM(N481:N539)</f>
        <v>0</v>
      </c>
      <c r="O480" s="87">
        <f t="shared" si="181"/>
        <v>6308349</v>
      </c>
      <c r="Q480" s="294">
        <f t="shared" si="195"/>
        <v>6308349</v>
      </c>
      <c r="R480" s="19">
        <f t="shared" si="196"/>
        <v>0</v>
      </c>
      <c r="S480" s="87">
        <f t="shared" si="196"/>
        <v>6308349</v>
      </c>
    </row>
    <row r="481" spans="2:19" x14ac:dyDescent="0.2">
      <c r="B481" s="83">
        <f t="shared" si="182"/>
        <v>49</v>
      </c>
      <c r="C481" s="3"/>
      <c r="D481" s="3"/>
      <c r="E481" s="3"/>
      <c r="F481" s="26"/>
      <c r="G481" s="3"/>
      <c r="H481" s="4" t="s">
        <v>525</v>
      </c>
      <c r="I481" s="153"/>
      <c r="J481" s="153"/>
      <c r="K481" s="153"/>
      <c r="M481" s="21">
        <v>41000</v>
      </c>
      <c r="N481" s="21"/>
      <c r="O481" s="88">
        <f t="shared" si="181"/>
        <v>41000</v>
      </c>
      <c r="Q481" s="308">
        <f t="shared" si="195"/>
        <v>41000</v>
      </c>
      <c r="R481" s="21">
        <f t="shared" ref="R481:S496" si="200">J481+N481</f>
        <v>0</v>
      </c>
      <c r="S481" s="88">
        <f t="shared" si="200"/>
        <v>41000</v>
      </c>
    </row>
    <row r="482" spans="2:19" x14ac:dyDescent="0.2">
      <c r="B482" s="83">
        <f t="shared" si="182"/>
        <v>50</v>
      </c>
      <c r="C482" s="3"/>
      <c r="D482" s="3"/>
      <c r="E482" s="3"/>
      <c r="F482" s="26"/>
      <c r="G482" s="3"/>
      <c r="H482" s="4" t="s">
        <v>399</v>
      </c>
      <c r="I482" s="153"/>
      <c r="J482" s="153"/>
      <c r="K482" s="153"/>
      <c r="M482" s="21">
        <v>50000</v>
      </c>
      <c r="N482" s="21"/>
      <c r="O482" s="88">
        <f t="shared" si="181"/>
        <v>50000</v>
      </c>
      <c r="Q482" s="308">
        <f t="shared" si="195"/>
        <v>50000</v>
      </c>
      <c r="R482" s="21">
        <f t="shared" si="200"/>
        <v>0</v>
      </c>
      <c r="S482" s="88">
        <f t="shared" si="200"/>
        <v>50000</v>
      </c>
    </row>
    <row r="483" spans="2:19" x14ac:dyDescent="0.2">
      <c r="B483" s="83">
        <f t="shared" si="182"/>
        <v>51</v>
      </c>
      <c r="C483" s="4"/>
      <c r="D483" s="4"/>
      <c r="E483" s="4"/>
      <c r="F483" s="27"/>
      <c r="G483" s="4"/>
      <c r="H483" s="4" t="s">
        <v>479</v>
      </c>
      <c r="I483" s="21"/>
      <c r="J483" s="21"/>
      <c r="K483" s="21"/>
      <c r="M483" s="40">
        <v>100316</v>
      </c>
      <c r="N483" s="40"/>
      <c r="O483" s="312">
        <f t="shared" si="181"/>
        <v>100316</v>
      </c>
      <c r="Q483" s="308">
        <f t="shared" si="195"/>
        <v>100316</v>
      </c>
      <c r="R483" s="21">
        <f t="shared" si="200"/>
        <v>0</v>
      </c>
      <c r="S483" s="88">
        <f t="shared" si="200"/>
        <v>100316</v>
      </c>
    </row>
    <row r="484" spans="2:19" x14ac:dyDescent="0.2">
      <c r="B484" s="83">
        <f t="shared" si="182"/>
        <v>52</v>
      </c>
      <c r="C484" s="4"/>
      <c r="D484" s="4"/>
      <c r="E484" s="4"/>
      <c r="F484" s="27"/>
      <c r="G484" s="4"/>
      <c r="H484" s="4" t="s">
        <v>39</v>
      </c>
      <c r="I484" s="21"/>
      <c r="J484" s="21"/>
      <c r="K484" s="21"/>
      <c r="M484" s="40">
        <v>16900</v>
      </c>
      <c r="N484" s="40"/>
      <c r="O484" s="312">
        <f t="shared" si="181"/>
        <v>16900</v>
      </c>
      <c r="Q484" s="308">
        <f t="shared" si="195"/>
        <v>16900</v>
      </c>
      <c r="R484" s="21">
        <f t="shared" si="200"/>
        <v>0</v>
      </c>
      <c r="S484" s="88">
        <f t="shared" si="200"/>
        <v>16900</v>
      </c>
    </row>
    <row r="485" spans="2:19" x14ac:dyDescent="0.2">
      <c r="B485" s="83">
        <f t="shared" si="182"/>
        <v>53</v>
      </c>
      <c r="C485" s="4"/>
      <c r="D485" s="4"/>
      <c r="E485" s="4"/>
      <c r="F485" s="27"/>
      <c r="G485" s="4"/>
      <c r="H485" s="4" t="s">
        <v>38</v>
      </c>
      <c r="I485" s="21"/>
      <c r="J485" s="21"/>
      <c r="K485" s="21"/>
      <c r="M485" s="40">
        <v>13550</v>
      </c>
      <c r="N485" s="40"/>
      <c r="O485" s="312">
        <f t="shared" si="181"/>
        <v>13550</v>
      </c>
      <c r="Q485" s="308">
        <f t="shared" si="195"/>
        <v>13550</v>
      </c>
      <c r="R485" s="21">
        <f t="shared" si="200"/>
        <v>0</v>
      </c>
      <c r="S485" s="88">
        <f t="shared" si="200"/>
        <v>13550</v>
      </c>
    </row>
    <row r="486" spans="2:19" x14ac:dyDescent="0.2">
      <c r="B486" s="83">
        <f t="shared" si="182"/>
        <v>54</v>
      </c>
      <c r="C486" s="4"/>
      <c r="D486" s="4"/>
      <c r="E486" s="4"/>
      <c r="F486" s="27"/>
      <c r="G486" s="4"/>
      <c r="H486" s="4" t="s">
        <v>482</v>
      </c>
      <c r="I486" s="21"/>
      <c r="J486" s="21"/>
      <c r="K486" s="21"/>
      <c r="M486" s="40">
        <v>90000</v>
      </c>
      <c r="N486" s="40"/>
      <c r="O486" s="312">
        <f t="shared" si="181"/>
        <v>90000</v>
      </c>
      <c r="Q486" s="308">
        <f t="shared" si="195"/>
        <v>90000</v>
      </c>
      <c r="R486" s="21">
        <f t="shared" si="200"/>
        <v>0</v>
      </c>
      <c r="S486" s="88">
        <f t="shared" si="200"/>
        <v>90000</v>
      </c>
    </row>
    <row r="487" spans="2:19" x14ac:dyDescent="0.2">
      <c r="B487" s="83">
        <f t="shared" si="182"/>
        <v>55</v>
      </c>
      <c r="C487" s="4"/>
      <c r="D487" s="4"/>
      <c r="E487" s="4"/>
      <c r="F487" s="27"/>
      <c r="G487" s="4"/>
      <c r="H487" s="4" t="s">
        <v>494</v>
      </c>
      <c r="I487" s="21"/>
      <c r="J487" s="21"/>
      <c r="K487" s="21"/>
      <c r="M487" s="40">
        <v>60000</v>
      </c>
      <c r="N487" s="40"/>
      <c r="O487" s="312">
        <f t="shared" si="181"/>
        <v>60000</v>
      </c>
      <c r="Q487" s="308">
        <f t="shared" si="195"/>
        <v>60000</v>
      </c>
      <c r="R487" s="21">
        <f t="shared" si="200"/>
        <v>0</v>
      </c>
      <c r="S487" s="88">
        <f t="shared" si="200"/>
        <v>60000</v>
      </c>
    </row>
    <row r="488" spans="2:19" x14ac:dyDescent="0.2">
      <c r="B488" s="83">
        <f t="shared" si="182"/>
        <v>56</v>
      </c>
      <c r="C488" s="4"/>
      <c r="D488" s="4"/>
      <c r="E488" s="4"/>
      <c r="F488" s="27"/>
      <c r="G488" s="4"/>
      <c r="H488" s="4" t="s">
        <v>502</v>
      </c>
      <c r="I488" s="21"/>
      <c r="J488" s="21"/>
      <c r="K488" s="21"/>
      <c r="M488" s="40">
        <v>92000</v>
      </c>
      <c r="N488" s="40"/>
      <c r="O488" s="312">
        <f t="shared" si="181"/>
        <v>92000</v>
      </c>
      <c r="Q488" s="308">
        <f t="shared" si="195"/>
        <v>92000</v>
      </c>
      <c r="R488" s="21">
        <f t="shared" si="200"/>
        <v>0</v>
      </c>
      <c r="S488" s="88">
        <f t="shared" si="200"/>
        <v>92000</v>
      </c>
    </row>
    <row r="489" spans="2:19" x14ac:dyDescent="0.2">
      <c r="B489" s="83">
        <f t="shared" si="182"/>
        <v>57</v>
      </c>
      <c r="C489" s="4"/>
      <c r="D489" s="4"/>
      <c r="E489" s="4"/>
      <c r="F489" s="27"/>
      <c r="G489" s="4"/>
      <c r="H489" s="4" t="s">
        <v>538</v>
      </c>
      <c r="I489" s="21"/>
      <c r="J489" s="21"/>
      <c r="K489" s="21"/>
      <c r="M489" s="40">
        <v>13000</v>
      </c>
      <c r="N489" s="40"/>
      <c r="O489" s="312">
        <f t="shared" si="181"/>
        <v>13000</v>
      </c>
      <c r="Q489" s="308">
        <f t="shared" si="195"/>
        <v>13000</v>
      </c>
      <c r="R489" s="21">
        <f t="shared" si="200"/>
        <v>0</v>
      </c>
      <c r="S489" s="88">
        <f t="shared" si="200"/>
        <v>13000</v>
      </c>
    </row>
    <row r="490" spans="2:19" x14ac:dyDescent="0.2">
      <c r="B490" s="83">
        <f t="shared" si="182"/>
        <v>58</v>
      </c>
      <c r="C490" s="4"/>
      <c r="D490" s="4"/>
      <c r="E490" s="4"/>
      <c r="F490" s="27"/>
      <c r="G490" s="4"/>
      <c r="H490" s="4" t="s">
        <v>483</v>
      </c>
      <c r="I490" s="21"/>
      <c r="J490" s="21"/>
      <c r="K490" s="21"/>
      <c r="M490" s="40">
        <v>90000</v>
      </c>
      <c r="N490" s="40"/>
      <c r="O490" s="312">
        <f t="shared" si="181"/>
        <v>90000</v>
      </c>
      <c r="Q490" s="308">
        <f t="shared" si="195"/>
        <v>90000</v>
      </c>
      <c r="R490" s="21">
        <f t="shared" si="200"/>
        <v>0</v>
      </c>
      <c r="S490" s="88">
        <f t="shared" si="200"/>
        <v>90000</v>
      </c>
    </row>
    <row r="491" spans="2:19" x14ac:dyDescent="0.2">
      <c r="B491" s="83">
        <f t="shared" si="182"/>
        <v>59</v>
      </c>
      <c r="C491" s="4"/>
      <c r="D491" s="4"/>
      <c r="E491" s="4"/>
      <c r="F491" s="27"/>
      <c r="G491" s="4"/>
      <c r="H491" s="4" t="s">
        <v>455</v>
      </c>
      <c r="I491" s="21"/>
      <c r="J491" s="21"/>
      <c r="K491" s="21"/>
      <c r="M491" s="40">
        <v>70000</v>
      </c>
      <c r="N491" s="40"/>
      <c r="O491" s="312">
        <f t="shared" si="181"/>
        <v>70000</v>
      </c>
      <c r="Q491" s="308">
        <f t="shared" si="195"/>
        <v>70000</v>
      </c>
      <c r="R491" s="21">
        <f t="shared" si="200"/>
        <v>0</v>
      </c>
      <c r="S491" s="88">
        <f t="shared" si="200"/>
        <v>70000</v>
      </c>
    </row>
    <row r="492" spans="2:19" x14ac:dyDescent="0.2">
      <c r="B492" s="83">
        <f t="shared" si="182"/>
        <v>60</v>
      </c>
      <c r="C492" s="4"/>
      <c r="D492" s="4"/>
      <c r="E492" s="4"/>
      <c r="F492" s="27"/>
      <c r="G492" s="4"/>
      <c r="H492" s="4" t="s">
        <v>454</v>
      </c>
      <c r="I492" s="21"/>
      <c r="J492" s="21"/>
      <c r="K492" s="21"/>
      <c r="M492" s="40">
        <v>120000</v>
      </c>
      <c r="N492" s="40"/>
      <c r="O492" s="312">
        <f t="shared" si="181"/>
        <v>120000</v>
      </c>
      <c r="Q492" s="308">
        <f t="shared" si="195"/>
        <v>120000</v>
      </c>
      <c r="R492" s="21">
        <f t="shared" si="200"/>
        <v>0</v>
      </c>
      <c r="S492" s="88">
        <f t="shared" si="200"/>
        <v>120000</v>
      </c>
    </row>
    <row r="493" spans="2:19" x14ac:dyDescent="0.2">
      <c r="B493" s="83">
        <f t="shared" si="182"/>
        <v>61</v>
      </c>
      <c r="C493" s="4"/>
      <c r="D493" s="4"/>
      <c r="E493" s="4"/>
      <c r="F493" s="27"/>
      <c r="G493" s="4"/>
      <c r="H493" s="4" t="s">
        <v>492</v>
      </c>
      <c r="I493" s="21"/>
      <c r="J493" s="21"/>
      <c r="K493" s="21"/>
      <c r="M493" s="40">
        <f>1300+45000+388</f>
        <v>46688</v>
      </c>
      <c r="N493" s="40"/>
      <c r="O493" s="312">
        <f t="shared" si="181"/>
        <v>46688</v>
      </c>
      <c r="Q493" s="308">
        <f t="shared" si="195"/>
        <v>46688</v>
      </c>
      <c r="R493" s="21">
        <f t="shared" si="200"/>
        <v>0</v>
      </c>
      <c r="S493" s="88">
        <f t="shared" si="200"/>
        <v>46688</v>
      </c>
    </row>
    <row r="494" spans="2:19" x14ac:dyDescent="0.2">
      <c r="B494" s="83">
        <f t="shared" si="182"/>
        <v>62</v>
      </c>
      <c r="C494" s="3"/>
      <c r="D494" s="3"/>
      <c r="E494" s="3"/>
      <c r="F494" s="26"/>
      <c r="G494" s="3"/>
      <c r="H494" s="4" t="s">
        <v>472</v>
      </c>
      <c r="I494" s="153"/>
      <c r="J494" s="153"/>
      <c r="K494" s="153"/>
      <c r="M494" s="21">
        <v>300000</v>
      </c>
      <c r="N494" s="21"/>
      <c r="O494" s="88">
        <f t="shared" si="181"/>
        <v>300000</v>
      </c>
      <c r="Q494" s="308">
        <f t="shared" si="195"/>
        <v>300000</v>
      </c>
      <c r="R494" s="21">
        <f t="shared" si="200"/>
        <v>0</v>
      </c>
      <c r="S494" s="88">
        <f t="shared" si="200"/>
        <v>300000</v>
      </c>
    </row>
    <row r="495" spans="2:19" x14ac:dyDescent="0.2">
      <c r="B495" s="83">
        <f t="shared" si="182"/>
        <v>63</v>
      </c>
      <c r="C495" s="3"/>
      <c r="D495" s="3"/>
      <c r="E495" s="3"/>
      <c r="F495" s="26"/>
      <c r="G495" s="3"/>
      <c r="H495" s="4" t="s">
        <v>462</v>
      </c>
      <c r="I495" s="153"/>
      <c r="J495" s="153"/>
      <c r="K495" s="153"/>
      <c r="M495" s="21">
        <v>25000</v>
      </c>
      <c r="N495" s="21"/>
      <c r="O495" s="88">
        <f t="shared" si="181"/>
        <v>25000</v>
      </c>
      <c r="Q495" s="308">
        <f t="shared" si="195"/>
        <v>25000</v>
      </c>
      <c r="R495" s="21">
        <f t="shared" si="200"/>
        <v>0</v>
      </c>
      <c r="S495" s="88">
        <f t="shared" si="200"/>
        <v>25000</v>
      </c>
    </row>
    <row r="496" spans="2:19" x14ac:dyDescent="0.2">
      <c r="B496" s="83">
        <f t="shared" si="182"/>
        <v>64</v>
      </c>
      <c r="C496" s="4"/>
      <c r="D496" s="4"/>
      <c r="E496" s="4"/>
      <c r="F496" s="27"/>
      <c r="G496" s="4"/>
      <c r="H496" s="4" t="s">
        <v>37</v>
      </c>
      <c r="I496" s="21"/>
      <c r="J496" s="21"/>
      <c r="K496" s="21"/>
      <c r="M496" s="40">
        <v>19000</v>
      </c>
      <c r="N496" s="40"/>
      <c r="O496" s="312">
        <f t="shared" si="181"/>
        <v>19000</v>
      </c>
      <c r="Q496" s="308">
        <f t="shared" si="195"/>
        <v>19000</v>
      </c>
      <c r="R496" s="21">
        <f t="shared" si="200"/>
        <v>0</v>
      </c>
      <c r="S496" s="88">
        <f t="shared" si="200"/>
        <v>19000</v>
      </c>
    </row>
    <row r="497" spans="2:19" x14ac:dyDescent="0.2">
      <c r="B497" s="83">
        <f t="shared" si="182"/>
        <v>65</v>
      </c>
      <c r="C497" s="3"/>
      <c r="D497" s="3"/>
      <c r="E497" s="3"/>
      <c r="F497" s="26"/>
      <c r="G497" s="3"/>
      <c r="H497" s="46" t="s">
        <v>459</v>
      </c>
      <c r="I497" s="173"/>
      <c r="J497" s="173"/>
      <c r="K497" s="173"/>
      <c r="M497" s="22">
        <v>50000</v>
      </c>
      <c r="N497" s="22"/>
      <c r="O497" s="114">
        <f t="shared" si="181"/>
        <v>50000</v>
      </c>
      <c r="Q497" s="308">
        <f t="shared" ref="Q497:Q528" si="201">I497+M497</f>
        <v>50000</v>
      </c>
      <c r="R497" s="21">
        <f t="shared" ref="R497:S512" si="202">J497+N497</f>
        <v>0</v>
      </c>
      <c r="S497" s="88">
        <f t="shared" si="202"/>
        <v>50000</v>
      </c>
    </row>
    <row r="498" spans="2:19" x14ac:dyDescent="0.2">
      <c r="B498" s="83">
        <f t="shared" si="182"/>
        <v>66</v>
      </c>
      <c r="C498" s="3"/>
      <c r="D498" s="3"/>
      <c r="E498" s="3"/>
      <c r="F498" s="26"/>
      <c r="G498" s="3"/>
      <c r="H498" s="46" t="s">
        <v>527</v>
      </c>
      <c r="I498" s="173"/>
      <c r="J498" s="173"/>
      <c r="K498" s="173"/>
      <c r="M498" s="22">
        <v>71000</v>
      </c>
      <c r="N498" s="22"/>
      <c r="O498" s="114">
        <f t="shared" ref="O498:O539" si="203">M498+N498</f>
        <v>71000</v>
      </c>
      <c r="Q498" s="308">
        <f t="shared" si="201"/>
        <v>71000</v>
      </c>
      <c r="R498" s="21">
        <f t="shared" si="202"/>
        <v>0</v>
      </c>
      <c r="S498" s="88">
        <f t="shared" si="202"/>
        <v>71000</v>
      </c>
    </row>
    <row r="499" spans="2:19" x14ac:dyDescent="0.2">
      <c r="B499" s="83">
        <f t="shared" ref="B499:B539" si="204">B498+1</f>
        <v>67</v>
      </c>
      <c r="C499" s="3"/>
      <c r="D499" s="3"/>
      <c r="E499" s="3"/>
      <c r="F499" s="26"/>
      <c r="G499" s="3"/>
      <c r="H499" s="46" t="s">
        <v>305</v>
      </c>
      <c r="I499" s="173"/>
      <c r="J499" s="173"/>
      <c r="K499" s="173"/>
      <c r="M499" s="22">
        <f>41000+1050</f>
        <v>42050</v>
      </c>
      <c r="N499" s="22"/>
      <c r="O499" s="114">
        <f t="shared" si="203"/>
        <v>42050</v>
      </c>
      <c r="Q499" s="308">
        <f t="shared" si="201"/>
        <v>42050</v>
      </c>
      <c r="R499" s="21">
        <f t="shared" si="202"/>
        <v>0</v>
      </c>
      <c r="S499" s="88">
        <f t="shared" si="202"/>
        <v>42050</v>
      </c>
    </row>
    <row r="500" spans="2:19" x14ac:dyDescent="0.2">
      <c r="B500" s="83">
        <f t="shared" si="204"/>
        <v>68</v>
      </c>
      <c r="C500" s="4"/>
      <c r="D500" s="4"/>
      <c r="E500" s="4"/>
      <c r="F500" s="27"/>
      <c r="G500" s="4"/>
      <c r="H500" s="46" t="s">
        <v>41</v>
      </c>
      <c r="I500" s="22"/>
      <c r="J500" s="22"/>
      <c r="K500" s="22"/>
      <c r="M500" s="22">
        <v>140000</v>
      </c>
      <c r="N500" s="22"/>
      <c r="O500" s="114">
        <f t="shared" si="203"/>
        <v>140000</v>
      </c>
      <c r="Q500" s="308">
        <f t="shared" si="201"/>
        <v>140000</v>
      </c>
      <c r="R500" s="21">
        <f t="shared" si="202"/>
        <v>0</v>
      </c>
      <c r="S500" s="88">
        <f t="shared" si="202"/>
        <v>140000</v>
      </c>
    </row>
    <row r="501" spans="2:19" x14ac:dyDescent="0.2">
      <c r="B501" s="83">
        <f t="shared" si="204"/>
        <v>69</v>
      </c>
      <c r="C501" s="4"/>
      <c r="D501" s="4"/>
      <c r="E501" s="4"/>
      <c r="F501" s="27"/>
      <c r="G501" s="4"/>
      <c r="H501" s="46" t="s">
        <v>393</v>
      </c>
      <c r="I501" s="22"/>
      <c r="J501" s="22"/>
      <c r="K501" s="22"/>
      <c r="M501" s="22">
        <v>621000</v>
      </c>
      <c r="N501" s="22"/>
      <c r="O501" s="114">
        <f t="shared" si="203"/>
        <v>621000</v>
      </c>
      <c r="Q501" s="308">
        <f t="shared" si="201"/>
        <v>621000</v>
      </c>
      <c r="R501" s="21">
        <f t="shared" si="202"/>
        <v>0</v>
      </c>
      <c r="S501" s="88">
        <f t="shared" si="202"/>
        <v>621000</v>
      </c>
    </row>
    <row r="502" spans="2:19" x14ac:dyDescent="0.2">
      <c r="B502" s="83">
        <f t="shared" si="204"/>
        <v>70</v>
      </c>
      <c r="C502" s="4"/>
      <c r="D502" s="4"/>
      <c r="E502" s="4"/>
      <c r="F502" s="27"/>
      <c r="G502" s="4"/>
      <c r="H502" s="46" t="s">
        <v>47</v>
      </c>
      <c r="I502" s="22"/>
      <c r="J502" s="22"/>
      <c r="K502" s="22"/>
      <c r="M502" s="22">
        <v>40000</v>
      </c>
      <c r="N502" s="22"/>
      <c r="O502" s="114">
        <f t="shared" si="203"/>
        <v>40000</v>
      </c>
      <c r="Q502" s="308">
        <f t="shared" si="201"/>
        <v>40000</v>
      </c>
      <c r="R502" s="21">
        <f t="shared" si="202"/>
        <v>0</v>
      </c>
      <c r="S502" s="88">
        <f t="shared" si="202"/>
        <v>40000</v>
      </c>
    </row>
    <row r="503" spans="2:19" x14ac:dyDescent="0.2">
      <c r="B503" s="83">
        <f t="shared" si="204"/>
        <v>71</v>
      </c>
      <c r="C503" s="4"/>
      <c r="D503" s="4"/>
      <c r="E503" s="4"/>
      <c r="F503" s="27"/>
      <c r="G503" s="4"/>
      <c r="H503" s="46" t="s">
        <v>307</v>
      </c>
      <c r="I503" s="22"/>
      <c r="J503" s="22"/>
      <c r="K503" s="22"/>
      <c r="M503" s="22">
        <v>50000</v>
      </c>
      <c r="N503" s="22"/>
      <c r="O503" s="114">
        <f t="shared" si="203"/>
        <v>50000</v>
      </c>
      <c r="Q503" s="308">
        <f t="shared" si="201"/>
        <v>50000</v>
      </c>
      <c r="R503" s="21">
        <f t="shared" si="202"/>
        <v>0</v>
      </c>
      <c r="S503" s="88">
        <f t="shared" si="202"/>
        <v>50000</v>
      </c>
    </row>
    <row r="504" spans="2:19" x14ac:dyDescent="0.2">
      <c r="B504" s="83">
        <f t="shared" si="204"/>
        <v>72</v>
      </c>
      <c r="C504" s="4"/>
      <c r="D504" s="4"/>
      <c r="E504" s="4"/>
      <c r="F504" s="27"/>
      <c r="G504" s="4"/>
      <c r="H504" s="46" t="s">
        <v>526</v>
      </c>
      <c r="I504" s="22"/>
      <c r="J504" s="22"/>
      <c r="K504" s="22"/>
      <c r="M504" s="22">
        <v>11500</v>
      </c>
      <c r="N504" s="22"/>
      <c r="O504" s="114">
        <f t="shared" si="203"/>
        <v>11500</v>
      </c>
      <c r="Q504" s="308">
        <f t="shared" si="201"/>
        <v>11500</v>
      </c>
      <c r="R504" s="21">
        <f t="shared" si="202"/>
        <v>0</v>
      </c>
      <c r="S504" s="88">
        <f t="shared" si="202"/>
        <v>11500</v>
      </c>
    </row>
    <row r="505" spans="2:19" x14ac:dyDescent="0.2">
      <c r="B505" s="83">
        <f t="shared" si="204"/>
        <v>73</v>
      </c>
      <c r="C505" s="4"/>
      <c r="D505" s="4"/>
      <c r="E505" s="4"/>
      <c r="F505" s="27"/>
      <c r="G505" s="4"/>
      <c r="H505" s="46" t="s">
        <v>480</v>
      </c>
      <c r="I505" s="22"/>
      <c r="J505" s="22"/>
      <c r="K505" s="22"/>
      <c r="M505" s="22">
        <f>90000-2500</f>
        <v>87500</v>
      </c>
      <c r="N505" s="22"/>
      <c r="O505" s="114">
        <f t="shared" si="203"/>
        <v>87500</v>
      </c>
      <c r="Q505" s="308">
        <f t="shared" si="201"/>
        <v>87500</v>
      </c>
      <c r="R505" s="21">
        <f t="shared" si="202"/>
        <v>0</v>
      </c>
      <c r="S505" s="88">
        <f t="shared" si="202"/>
        <v>87500</v>
      </c>
    </row>
    <row r="506" spans="2:19" x14ac:dyDescent="0.2">
      <c r="B506" s="83">
        <f t="shared" si="204"/>
        <v>74</v>
      </c>
      <c r="C506" s="4"/>
      <c r="D506" s="4"/>
      <c r="E506" s="4"/>
      <c r="F506" s="27"/>
      <c r="G506" s="4"/>
      <c r="H506" s="46" t="s">
        <v>485</v>
      </c>
      <c r="I506" s="22"/>
      <c r="J506" s="22"/>
      <c r="K506" s="22"/>
      <c r="M506" s="22">
        <f>50000-3000</f>
        <v>47000</v>
      </c>
      <c r="N506" s="22"/>
      <c r="O506" s="114">
        <f t="shared" si="203"/>
        <v>47000</v>
      </c>
      <c r="Q506" s="308">
        <f t="shared" si="201"/>
        <v>47000</v>
      </c>
      <c r="R506" s="21">
        <f t="shared" si="202"/>
        <v>0</v>
      </c>
      <c r="S506" s="88">
        <f t="shared" si="202"/>
        <v>47000</v>
      </c>
    </row>
    <row r="507" spans="2:19" x14ac:dyDescent="0.2">
      <c r="B507" s="83">
        <f t="shared" si="204"/>
        <v>75</v>
      </c>
      <c r="C507" s="3"/>
      <c r="D507" s="3"/>
      <c r="E507" s="3"/>
      <c r="F507" s="26"/>
      <c r="G507" s="3"/>
      <c r="H507" s="46" t="s">
        <v>470</v>
      </c>
      <c r="I507" s="173"/>
      <c r="J507" s="173"/>
      <c r="K507" s="173"/>
      <c r="M507" s="22">
        <v>50000</v>
      </c>
      <c r="N507" s="22"/>
      <c r="O507" s="114">
        <f t="shared" si="203"/>
        <v>50000</v>
      </c>
      <c r="Q507" s="308">
        <f t="shared" si="201"/>
        <v>50000</v>
      </c>
      <c r="R507" s="21">
        <f t="shared" si="202"/>
        <v>0</v>
      </c>
      <c r="S507" s="88">
        <f t="shared" si="202"/>
        <v>50000</v>
      </c>
    </row>
    <row r="508" spans="2:19" x14ac:dyDescent="0.2">
      <c r="B508" s="83">
        <f t="shared" si="204"/>
        <v>76</v>
      </c>
      <c r="C508" s="4"/>
      <c r="D508" s="4"/>
      <c r="E508" s="4"/>
      <c r="F508" s="27"/>
      <c r="G508" s="4"/>
      <c r="H508" s="46" t="s">
        <v>308</v>
      </c>
      <c r="I508" s="22"/>
      <c r="J508" s="22"/>
      <c r="K508" s="22"/>
      <c r="M508" s="22">
        <v>30000</v>
      </c>
      <c r="N508" s="22"/>
      <c r="O508" s="114">
        <f t="shared" si="203"/>
        <v>30000</v>
      </c>
      <c r="Q508" s="308">
        <f t="shared" si="201"/>
        <v>30000</v>
      </c>
      <c r="R508" s="21">
        <f t="shared" si="202"/>
        <v>0</v>
      </c>
      <c r="S508" s="88">
        <f t="shared" si="202"/>
        <v>30000</v>
      </c>
    </row>
    <row r="509" spans="2:19" x14ac:dyDescent="0.2">
      <c r="B509" s="83">
        <f t="shared" si="204"/>
        <v>77</v>
      </c>
      <c r="C509" s="4"/>
      <c r="D509" s="4"/>
      <c r="E509" s="4"/>
      <c r="F509" s="27"/>
      <c r="G509" s="4"/>
      <c r="H509" s="46" t="s">
        <v>501</v>
      </c>
      <c r="I509" s="22"/>
      <c r="J509" s="22"/>
      <c r="K509" s="22"/>
      <c r="M509" s="22">
        <v>35000</v>
      </c>
      <c r="N509" s="22"/>
      <c r="O509" s="114">
        <f t="shared" si="203"/>
        <v>35000</v>
      </c>
      <c r="Q509" s="308">
        <f t="shared" si="201"/>
        <v>35000</v>
      </c>
      <c r="R509" s="21">
        <f t="shared" si="202"/>
        <v>0</v>
      </c>
      <c r="S509" s="88">
        <f t="shared" si="202"/>
        <v>35000</v>
      </c>
    </row>
    <row r="510" spans="2:19" x14ac:dyDescent="0.2">
      <c r="B510" s="83">
        <f t="shared" si="204"/>
        <v>78</v>
      </c>
      <c r="C510" s="4"/>
      <c r="D510" s="4"/>
      <c r="E510" s="4"/>
      <c r="F510" s="27"/>
      <c r="G510" s="4"/>
      <c r="H510" s="4" t="s">
        <v>510</v>
      </c>
      <c r="I510" s="21"/>
      <c r="J510" s="21"/>
      <c r="K510" s="21"/>
      <c r="M510" s="40">
        <v>15000</v>
      </c>
      <c r="N510" s="40"/>
      <c r="O510" s="312">
        <f t="shared" si="203"/>
        <v>15000</v>
      </c>
      <c r="Q510" s="308">
        <f t="shared" si="201"/>
        <v>15000</v>
      </c>
      <c r="R510" s="21">
        <f t="shared" si="202"/>
        <v>0</v>
      </c>
      <c r="S510" s="88">
        <f t="shared" si="202"/>
        <v>15000</v>
      </c>
    </row>
    <row r="511" spans="2:19" x14ac:dyDescent="0.2">
      <c r="B511" s="83">
        <f t="shared" si="204"/>
        <v>79</v>
      </c>
      <c r="C511" s="4"/>
      <c r="D511" s="4"/>
      <c r="E511" s="4"/>
      <c r="F511" s="27"/>
      <c r="G511" s="4"/>
      <c r="H511" s="4" t="s">
        <v>394</v>
      </c>
      <c r="I511" s="21"/>
      <c r="J511" s="21"/>
      <c r="K511" s="21"/>
      <c r="M511" s="40">
        <v>2000</v>
      </c>
      <c r="N511" s="40"/>
      <c r="O511" s="312">
        <f t="shared" si="203"/>
        <v>2000</v>
      </c>
      <c r="Q511" s="308">
        <f t="shared" si="201"/>
        <v>2000</v>
      </c>
      <c r="R511" s="21">
        <f t="shared" si="202"/>
        <v>0</v>
      </c>
      <c r="S511" s="88">
        <f t="shared" si="202"/>
        <v>2000</v>
      </c>
    </row>
    <row r="512" spans="2:19" x14ac:dyDescent="0.2">
      <c r="B512" s="83">
        <f t="shared" si="204"/>
        <v>80</v>
      </c>
      <c r="C512" s="4"/>
      <c r="D512" s="4"/>
      <c r="E512" s="4"/>
      <c r="F512" s="27"/>
      <c r="G512" s="4"/>
      <c r="H512" s="4" t="s">
        <v>484</v>
      </c>
      <c r="I512" s="21"/>
      <c r="J512" s="21"/>
      <c r="K512" s="21"/>
      <c r="M512" s="40">
        <f>80000-37000</f>
        <v>43000</v>
      </c>
      <c r="N512" s="40"/>
      <c r="O512" s="312">
        <f t="shared" si="203"/>
        <v>43000</v>
      </c>
      <c r="Q512" s="308">
        <f t="shared" si="201"/>
        <v>43000</v>
      </c>
      <c r="R512" s="21">
        <f t="shared" si="202"/>
        <v>0</v>
      </c>
      <c r="S512" s="88">
        <f t="shared" si="202"/>
        <v>43000</v>
      </c>
    </row>
    <row r="513" spans="2:19" x14ac:dyDescent="0.2">
      <c r="B513" s="83">
        <f t="shared" si="204"/>
        <v>81</v>
      </c>
      <c r="C513" s="4"/>
      <c r="D513" s="4"/>
      <c r="E513" s="4"/>
      <c r="F513" s="27"/>
      <c r="G513" s="4"/>
      <c r="H513" s="4" t="s">
        <v>481</v>
      </c>
      <c r="I513" s="21"/>
      <c r="J513" s="21"/>
      <c r="K513" s="21"/>
      <c r="M513" s="40">
        <v>700000</v>
      </c>
      <c r="N513" s="40"/>
      <c r="O513" s="312">
        <f t="shared" si="203"/>
        <v>700000</v>
      </c>
      <c r="Q513" s="308">
        <f t="shared" si="201"/>
        <v>700000</v>
      </c>
      <c r="R513" s="21">
        <f t="shared" ref="R513:S528" si="205">J513+N513</f>
        <v>0</v>
      </c>
      <c r="S513" s="88">
        <f t="shared" si="205"/>
        <v>700000</v>
      </c>
    </row>
    <row r="514" spans="2:19" x14ac:dyDescent="0.2">
      <c r="B514" s="83">
        <f t="shared" si="204"/>
        <v>82</v>
      </c>
      <c r="C514" s="4"/>
      <c r="D514" s="4"/>
      <c r="E514" s="4"/>
      <c r="F514" s="27"/>
      <c r="G514" s="4"/>
      <c r="H514" s="4" t="s">
        <v>40</v>
      </c>
      <c r="I514" s="21"/>
      <c r="J514" s="21"/>
      <c r="K514" s="21"/>
      <c r="M514" s="21">
        <f>1645700+20645</f>
        <v>1666345</v>
      </c>
      <c r="N514" s="21"/>
      <c r="O514" s="88">
        <f t="shared" si="203"/>
        <v>1666345</v>
      </c>
      <c r="Q514" s="308">
        <f t="shared" si="201"/>
        <v>1666345</v>
      </c>
      <c r="R514" s="21">
        <f t="shared" si="205"/>
        <v>0</v>
      </c>
      <c r="S514" s="88">
        <f t="shared" si="205"/>
        <v>1666345</v>
      </c>
    </row>
    <row r="515" spans="2:19" x14ac:dyDescent="0.2">
      <c r="B515" s="83">
        <f t="shared" si="204"/>
        <v>83</v>
      </c>
      <c r="C515" s="4"/>
      <c r="D515" s="4"/>
      <c r="E515" s="4"/>
      <c r="F515" s="27"/>
      <c r="G515" s="4"/>
      <c r="H515" s="4" t="s">
        <v>508</v>
      </c>
      <c r="I515" s="21"/>
      <c r="J515" s="21"/>
      <c r="K515" s="21"/>
      <c r="M515" s="21">
        <v>20000</v>
      </c>
      <c r="N515" s="21"/>
      <c r="O515" s="88">
        <f t="shared" si="203"/>
        <v>20000</v>
      </c>
      <c r="Q515" s="308">
        <f t="shared" si="201"/>
        <v>20000</v>
      </c>
      <c r="R515" s="21">
        <f t="shared" si="205"/>
        <v>0</v>
      </c>
      <c r="S515" s="88">
        <f t="shared" si="205"/>
        <v>20000</v>
      </c>
    </row>
    <row r="516" spans="2:19" x14ac:dyDescent="0.2">
      <c r="B516" s="83">
        <f t="shared" si="204"/>
        <v>84</v>
      </c>
      <c r="C516" s="4"/>
      <c r="D516" s="4"/>
      <c r="E516" s="4"/>
      <c r="F516" s="27"/>
      <c r="G516" s="4"/>
      <c r="H516" s="4" t="s">
        <v>504</v>
      </c>
      <c r="I516" s="21"/>
      <c r="J516" s="21"/>
      <c r="K516" s="21"/>
      <c r="M516" s="21">
        <v>35000</v>
      </c>
      <c r="N516" s="21"/>
      <c r="O516" s="88">
        <f t="shared" si="203"/>
        <v>35000</v>
      </c>
      <c r="Q516" s="308">
        <f t="shared" si="201"/>
        <v>35000</v>
      </c>
      <c r="R516" s="21">
        <f t="shared" si="205"/>
        <v>0</v>
      </c>
      <c r="S516" s="88">
        <f t="shared" si="205"/>
        <v>35000</v>
      </c>
    </row>
    <row r="517" spans="2:19" x14ac:dyDescent="0.2">
      <c r="B517" s="83">
        <f t="shared" si="204"/>
        <v>85</v>
      </c>
      <c r="C517" s="3"/>
      <c r="D517" s="3"/>
      <c r="E517" s="3"/>
      <c r="F517" s="26"/>
      <c r="G517" s="3"/>
      <c r="H517" s="4" t="s">
        <v>409</v>
      </c>
      <c r="I517" s="153"/>
      <c r="J517" s="153"/>
      <c r="K517" s="153"/>
      <c r="M517" s="21">
        <v>55000</v>
      </c>
      <c r="N517" s="21"/>
      <c r="O517" s="88">
        <f t="shared" si="203"/>
        <v>55000</v>
      </c>
      <c r="Q517" s="308">
        <f t="shared" si="201"/>
        <v>55000</v>
      </c>
      <c r="R517" s="21">
        <f t="shared" si="205"/>
        <v>0</v>
      </c>
      <c r="S517" s="88">
        <f t="shared" si="205"/>
        <v>55000</v>
      </c>
    </row>
    <row r="518" spans="2:19" x14ac:dyDescent="0.2">
      <c r="B518" s="83">
        <f t="shared" si="204"/>
        <v>86</v>
      </c>
      <c r="C518" s="3"/>
      <c r="D518" s="3"/>
      <c r="E518" s="3"/>
      <c r="F518" s="26"/>
      <c r="G518" s="3"/>
      <c r="H518" s="4" t="s">
        <v>410</v>
      </c>
      <c r="I518" s="153"/>
      <c r="J518" s="153"/>
      <c r="K518" s="153"/>
      <c r="M518" s="21">
        <v>42000</v>
      </c>
      <c r="N518" s="21"/>
      <c r="O518" s="88">
        <f t="shared" si="203"/>
        <v>42000</v>
      </c>
      <c r="Q518" s="308">
        <f t="shared" si="201"/>
        <v>42000</v>
      </c>
      <c r="R518" s="21">
        <f t="shared" si="205"/>
        <v>0</v>
      </c>
      <c r="S518" s="88">
        <f t="shared" si="205"/>
        <v>42000</v>
      </c>
    </row>
    <row r="519" spans="2:19" x14ac:dyDescent="0.2">
      <c r="B519" s="83">
        <f t="shared" si="204"/>
        <v>87</v>
      </c>
      <c r="C519" s="3"/>
      <c r="D519" s="3"/>
      <c r="E519" s="3"/>
      <c r="F519" s="26"/>
      <c r="G519" s="3"/>
      <c r="H519" s="4" t="s">
        <v>467</v>
      </c>
      <c r="I519" s="153"/>
      <c r="J519" s="153"/>
      <c r="K519" s="153"/>
      <c r="M519" s="21">
        <v>52000</v>
      </c>
      <c r="N519" s="21"/>
      <c r="O519" s="88">
        <f t="shared" si="203"/>
        <v>52000</v>
      </c>
      <c r="Q519" s="308">
        <f t="shared" si="201"/>
        <v>52000</v>
      </c>
      <c r="R519" s="21">
        <f t="shared" si="205"/>
        <v>0</v>
      </c>
      <c r="S519" s="88">
        <f t="shared" si="205"/>
        <v>52000</v>
      </c>
    </row>
    <row r="520" spans="2:19" x14ac:dyDescent="0.2">
      <c r="B520" s="83">
        <f t="shared" si="204"/>
        <v>88</v>
      </c>
      <c r="C520" s="3"/>
      <c r="D520" s="3"/>
      <c r="E520" s="3"/>
      <c r="F520" s="26"/>
      <c r="G520" s="3"/>
      <c r="H520" s="4" t="s">
        <v>468</v>
      </c>
      <c r="I520" s="153"/>
      <c r="J520" s="153"/>
      <c r="K520" s="153"/>
      <c r="M520" s="21">
        <v>80000</v>
      </c>
      <c r="N520" s="21"/>
      <c r="O520" s="88">
        <f t="shared" si="203"/>
        <v>80000</v>
      </c>
      <c r="Q520" s="308">
        <f t="shared" si="201"/>
        <v>80000</v>
      </c>
      <c r="R520" s="21">
        <f t="shared" si="205"/>
        <v>0</v>
      </c>
      <c r="S520" s="88">
        <f t="shared" si="205"/>
        <v>80000</v>
      </c>
    </row>
    <row r="521" spans="2:19" x14ac:dyDescent="0.2">
      <c r="B521" s="83">
        <f t="shared" si="204"/>
        <v>89</v>
      </c>
      <c r="C521" s="3"/>
      <c r="D521" s="3"/>
      <c r="E521" s="3"/>
      <c r="F521" s="26"/>
      <c r="G521" s="3"/>
      <c r="H521" s="4" t="s">
        <v>469</v>
      </c>
      <c r="I521" s="153"/>
      <c r="J521" s="153"/>
      <c r="K521" s="153"/>
      <c r="M521" s="21">
        <v>40000</v>
      </c>
      <c r="N521" s="21"/>
      <c r="O521" s="88">
        <f t="shared" si="203"/>
        <v>40000</v>
      </c>
      <c r="Q521" s="308">
        <f t="shared" si="201"/>
        <v>40000</v>
      </c>
      <c r="R521" s="21">
        <f t="shared" si="205"/>
        <v>0</v>
      </c>
      <c r="S521" s="88">
        <f t="shared" si="205"/>
        <v>40000</v>
      </c>
    </row>
    <row r="522" spans="2:19" x14ac:dyDescent="0.2">
      <c r="B522" s="83">
        <f t="shared" si="204"/>
        <v>90</v>
      </c>
      <c r="C522" s="3"/>
      <c r="D522" s="3"/>
      <c r="E522" s="3"/>
      <c r="F522" s="26"/>
      <c r="G522" s="3"/>
      <c r="H522" s="4" t="s">
        <v>411</v>
      </c>
      <c r="I522" s="153"/>
      <c r="J522" s="153"/>
      <c r="K522" s="153"/>
      <c r="M522" s="21">
        <v>16000</v>
      </c>
      <c r="N522" s="21"/>
      <c r="O522" s="88">
        <f t="shared" si="203"/>
        <v>16000</v>
      </c>
      <c r="Q522" s="308">
        <f t="shared" si="201"/>
        <v>16000</v>
      </c>
      <c r="R522" s="21">
        <f t="shared" si="205"/>
        <v>0</v>
      </c>
      <c r="S522" s="88">
        <f t="shared" si="205"/>
        <v>16000</v>
      </c>
    </row>
    <row r="523" spans="2:19" x14ac:dyDescent="0.2">
      <c r="B523" s="83">
        <f t="shared" si="204"/>
        <v>91</v>
      </c>
      <c r="C523" s="3"/>
      <c r="D523" s="3"/>
      <c r="E523" s="3"/>
      <c r="F523" s="26"/>
      <c r="G523" s="3"/>
      <c r="H523" s="4" t="s">
        <v>471</v>
      </c>
      <c r="I523" s="153"/>
      <c r="J523" s="153"/>
      <c r="K523" s="153"/>
      <c r="M523" s="21">
        <v>92500</v>
      </c>
      <c r="N523" s="21"/>
      <c r="O523" s="88">
        <f t="shared" si="203"/>
        <v>92500</v>
      </c>
      <c r="Q523" s="308">
        <f t="shared" si="201"/>
        <v>92500</v>
      </c>
      <c r="R523" s="21">
        <f t="shared" si="205"/>
        <v>0</v>
      </c>
      <c r="S523" s="88">
        <f t="shared" si="205"/>
        <v>92500</v>
      </c>
    </row>
    <row r="524" spans="2:19" x14ac:dyDescent="0.2">
      <c r="B524" s="83">
        <f t="shared" si="204"/>
        <v>92</v>
      </c>
      <c r="C524" s="3"/>
      <c r="D524" s="3"/>
      <c r="E524" s="3"/>
      <c r="F524" s="26"/>
      <c r="G524" s="3"/>
      <c r="H524" s="4" t="s">
        <v>466</v>
      </c>
      <c r="I524" s="153"/>
      <c r="J524" s="153"/>
      <c r="K524" s="153"/>
      <c r="M524" s="21">
        <v>26000</v>
      </c>
      <c r="N524" s="21"/>
      <c r="O524" s="88">
        <f t="shared" si="203"/>
        <v>26000</v>
      </c>
      <c r="Q524" s="308">
        <f t="shared" si="201"/>
        <v>26000</v>
      </c>
      <c r="R524" s="21">
        <f t="shared" si="205"/>
        <v>0</v>
      </c>
      <c r="S524" s="88">
        <f t="shared" si="205"/>
        <v>26000</v>
      </c>
    </row>
    <row r="525" spans="2:19" x14ac:dyDescent="0.2">
      <c r="B525" s="83">
        <f t="shared" si="204"/>
        <v>93</v>
      </c>
      <c r="C525" s="3"/>
      <c r="D525" s="3"/>
      <c r="E525" s="3"/>
      <c r="F525" s="26"/>
      <c r="G525" s="3"/>
      <c r="H525" s="4" t="s">
        <v>474</v>
      </c>
      <c r="I525" s="153"/>
      <c r="J525" s="153"/>
      <c r="K525" s="153"/>
      <c r="M525" s="21">
        <v>47000</v>
      </c>
      <c r="N525" s="21"/>
      <c r="O525" s="88">
        <f t="shared" si="203"/>
        <v>47000</v>
      </c>
      <c r="Q525" s="308">
        <f t="shared" si="201"/>
        <v>47000</v>
      </c>
      <c r="R525" s="21">
        <f t="shared" si="205"/>
        <v>0</v>
      </c>
      <c r="S525" s="88">
        <f t="shared" si="205"/>
        <v>47000</v>
      </c>
    </row>
    <row r="526" spans="2:19" x14ac:dyDescent="0.2">
      <c r="B526" s="83">
        <f t="shared" si="204"/>
        <v>94</v>
      </c>
      <c r="C526" s="3"/>
      <c r="D526" s="3"/>
      <c r="E526" s="3"/>
      <c r="F526" s="26"/>
      <c r="G526" s="3"/>
      <c r="H526" s="4" t="s">
        <v>476</v>
      </c>
      <c r="I526" s="153"/>
      <c r="J526" s="153"/>
      <c r="K526" s="153"/>
      <c r="M526" s="21">
        <v>39000</v>
      </c>
      <c r="N526" s="21"/>
      <c r="O526" s="88">
        <f t="shared" si="203"/>
        <v>39000</v>
      </c>
      <c r="Q526" s="308">
        <f t="shared" si="201"/>
        <v>39000</v>
      </c>
      <c r="R526" s="21">
        <f t="shared" si="205"/>
        <v>0</v>
      </c>
      <c r="S526" s="88">
        <f t="shared" si="205"/>
        <v>39000</v>
      </c>
    </row>
    <row r="527" spans="2:19" x14ac:dyDescent="0.2">
      <c r="B527" s="83">
        <f t="shared" si="204"/>
        <v>95</v>
      </c>
      <c r="C527" s="3"/>
      <c r="D527" s="3"/>
      <c r="E527" s="3"/>
      <c r="F527" s="26"/>
      <c r="G527" s="3"/>
      <c r="H527" s="4" t="s">
        <v>404</v>
      </c>
      <c r="I527" s="153"/>
      <c r="J527" s="153"/>
      <c r="K527" s="153"/>
      <c r="M527" s="21">
        <v>78000</v>
      </c>
      <c r="N527" s="21"/>
      <c r="O527" s="88">
        <f t="shared" si="203"/>
        <v>78000</v>
      </c>
      <c r="Q527" s="308">
        <f t="shared" si="201"/>
        <v>78000</v>
      </c>
      <c r="R527" s="21">
        <f t="shared" si="205"/>
        <v>0</v>
      </c>
      <c r="S527" s="88">
        <f t="shared" si="205"/>
        <v>78000</v>
      </c>
    </row>
    <row r="528" spans="2:19" x14ac:dyDescent="0.2">
      <c r="B528" s="83">
        <f t="shared" si="204"/>
        <v>96</v>
      </c>
      <c r="C528" s="3"/>
      <c r="D528" s="3"/>
      <c r="E528" s="3"/>
      <c r="F528" s="26"/>
      <c r="G528" s="3"/>
      <c r="H528" s="4" t="s">
        <v>412</v>
      </c>
      <c r="I528" s="153"/>
      <c r="J528" s="153"/>
      <c r="K528" s="153"/>
      <c r="M528" s="21">
        <v>18000</v>
      </c>
      <c r="N528" s="21"/>
      <c r="O528" s="88">
        <f t="shared" si="203"/>
        <v>18000</v>
      </c>
      <c r="Q528" s="308">
        <f t="shared" si="201"/>
        <v>18000</v>
      </c>
      <c r="R528" s="21">
        <f t="shared" si="205"/>
        <v>0</v>
      </c>
      <c r="S528" s="88">
        <f t="shared" si="205"/>
        <v>18000</v>
      </c>
    </row>
    <row r="529" spans="2:19" x14ac:dyDescent="0.2">
      <c r="B529" s="83">
        <f t="shared" si="204"/>
        <v>97</v>
      </c>
      <c r="C529" s="3"/>
      <c r="D529" s="3"/>
      <c r="E529" s="3"/>
      <c r="F529" s="26"/>
      <c r="G529" s="3"/>
      <c r="H529" s="4" t="s">
        <v>407</v>
      </c>
      <c r="I529" s="153"/>
      <c r="J529" s="153"/>
      <c r="K529" s="153"/>
      <c r="M529" s="21">
        <v>29000</v>
      </c>
      <c r="N529" s="21"/>
      <c r="O529" s="88">
        <f t="shared" si="203"/>
        <v>29000</v>
      </c>
      <c r="Q529" s="308">
        <f t="shared" ref="Q529:Q539" si="206">I529+M529</f>
        <v>29000</v>
      </c>
      <c r="R529" s="21">
        <f t="shared" ref="R529:S539" si="207">J529+N529</f>
        <v>0</v>
      </c>
      <c r="S529" s="88">
        <f t="shared" si="207"/>
        <v>29000</v>
      </c>
    </row>
    <row r="530" spans="2:19" x14ac:dyDescent="0.2">
      <c r="B530" s="83">
        <f t="shared" si="204"/>
        <v>98</v>
      </c>
      <c r="C530" s="3"/>
      <c r="D530" s="3"/>
      <c r="E530" s="3"/>
      <c r="F530" s="26"/>
      <c r="G530" s="3"/>
      <c r="H530" s="4" t="s">
        <v>396</v>
      </c>
      <c r="I530" s="153"/>
      <c r="J530" s="153"/>
      <c r="K530" s="153"/>
      <c r="M530" s="21">
        <v>24000</v>
      </c>
      <c r="N530" s="21"/>
      <c r="O530" s="88">
        <f t="shared" si="203"/>
        <v>24000</v>
      </c>
      <c r="Q530" s="308">
        <f t="shared" si="206"/>
        <v>24000</v>
      </c>
      <c r="R530" s="21">
        <f t="shared" si="207"/>
        <v>0</v>
      </c>
      <c r="S530" s="88">
        <f t="shared" si="207"/>
        <v>24000</v>
      </c>
    </row>
    <row r="531" spans="2:19" x14ac:dyDescent="0.2">
      <c r="B531" s="83">
        <f t="shared" si="204"/>
        <v>99</v>
      </c>
      <c r="C531" s="3"/>
      <c r="D531" s="3"/>
      <c r="E531" s="3"/>
      <c r="F531" s="26"/>
      <c r="G531" s="3"/>
      <c r="H531" s="4" t="s">
        <v>397</v>
      </c>
      <c r="I531" s="153"/>
      <c r="J531" s="153"/>
      <c r="K531" s="153"/>
      <c r="M531" s="21">
        <v>300000</v>
      </c>
      <c r="N531" s="21"/>
      <c r="O531" s="88">
        <f t="shared" si="203"/>
        <v>300000</v>
      </c>
      <c r="Q531" s="308">
        <f t="shared" si="206"/>
        <v>300000</v>
      </c>
      <c r="R531" s="21">
        <f t="shared" si="207"/>
        <v>0</v>
      </c>
      <c r="S531" s="88">
        <f t="shared" si="207"/>
        <v>300000</v>
      </c>
    </row>
    <row r="532" spans="2:19" x14ac:dyDescent="0.2">
      <c r="B532" s="83">
        <f t="shared" si="204"/>
        <v>100</v>
      </c>
      <c r="C532" s="3"/>
      <c r="D532" s="3"/>
      <c r="E532" s="3"/>
      <c r="F532" s="26"/>
      <c r="G532" s="3"/>
      <c r="H532" s="4" t="s">
        <v>398</v>
      </c>
      <c r="I532" s="153"/>
      <c r="J532" s="153"/>
      <c r="K532" s="153"/>
      <c r="M532" s="21">
        <v>40000</v>
      </c>
      <c r="N532" s="21"/>
      <c r="O532" s="88">
        <f t="shared" si="203"/>
        <v>40000</v>
      </c>
      <c r="Q532" s="308">
        <f t="shared" si="206"/>
        <v>40000</v>
      </c>
      <c r="R532" s="21">
        <f t="shared" si="207"/>
        <v>0</v>
      </c>
      <c r="S532" s="88">
        <f t="shared" si="207"/>
        <v>40000</v>
      </c>
    </row>
    <row r="533" spans="2:19" x14ac:dyDescent="0.2">
      <c r="B533" s="83">
        <f t="shared" si="204"/>
        <v>101</v>
      </c>
      <c r="C533" s="3"/>
      <c r="D533" s="3"/>
      <c r="E533" s="3"/>
      <c r="F533" s="26"/>
      <c r="G533" s="3"/>
      <c r="H533" s="4" t="s">
        <v>473</v>
      </c>
      <c r="I533" s="153"/>
      <c r="J533" s="153"/>
      <c r="K533" s="153"/>
      <c r="M533" s="21">
        <v>47000</v>
      </c>
      <c r="N533" s="21"/>
      <c r="O533" s="88">
        <f t="shared" si="203"/>
        <v>47000</v>
      </c>
      <c r="Q533" s="308">
        <f t="shared" si="206"/>
        <v>47000</v>
      </c>
      <c r="R533" s="21">
        <f t="shared" si="207"/>
        <v>0</v>
      </c>
      <c r="S533" s="88">
        <f t="shared" si="207"/>
        <v>47000</v>
      </c>
    </row>
    <row r="534" spans="2:19" x14ac:dyDescent="0.2">
      <c r="B534" s="83">
        <f t="shared" si="204"/>
        <v>102</v>
      </c>
      <c r="C534" s="3"/>
      <c r="D534" s="3"/>
      <c r="E534" s="3"/>
      <c r="F534" s="26"/>
      <c r="G534" s="3"/>
      <c r="H534" s="4" t="s">
        <v>475</v>
      </c>
      <c r="I534" s="153"/>
      <c r="J534" s="153"/>
      <c r="K534" s="153"/>
      <c r="M534" s="21">
        <v>47000</v>
      </c>
      <c r="N534" s="21"/>
      <c r="O534" s="88">
        <f t="shared" si="203"/>
        <v>47000</v>
      </c>
      <c r="Q534" s="308">
        <f t="shared" si="206"/>
        <v>47000</v>
      </c>
      <c r="R534" s="21">
        <f t="shared" si="207"/>
        <v>0</v>
      </c>
      <c r="S534" s="88">
        <f t="shared" si="207"/>
        <v>47000</v>
      </c>
    </row>
    <row r="535" spans="2:19" x14ac:dyDescent="0.2">
      <c r="B535" s="83">
        <f t="shared" si="204"/>
        <v>103</v>
      </c>
      <c r="C535" s="3"/>
      <c r="D535" s="3"/>
      <c r="E535" s="3"/>
      <c r="F535" s="26"/>
      <c r="G535" s="3"/>
      <c r="H535" s="4" t="s">
        <v>477</v>
      </c>
      <c r="I535" s="153"/>
      <c r="J535" s="153"/>
      <c r="K535" s="153"/>
      <c r="M535" s="21">
        <v>45000</v>
      </c>
      <c r="N535" s="21"/>
      <c r="O535" s="88">
        <f t="shared" si="203"/>
        <v>45000</v>
      </c>
      <c r="Q535" s="308">
        <f t="shared" si="206"/>
        <v>45000</v>
      </c>
      <c r="R535" s="21">
        <f t="shared" si="207"/>
        <v>0</v>
      </c>
      <c r="S535" s="88">
        <f t="shared" si="207"/>
        <v>45000</v>
      </c>
    </row>
    <row r="536" spans="2:19" x14ac:dyDescent="0.2">
      <c r="B536" s="83">
        <f t="shared" si="204"/>
        <v>104</v>
      </c>
      <c r="C536" s="3"/>
      <c r="D536" s="3"/>
      <c r="E536" s="3"/>
      <c r="F536" s="26"/>
      <c r="G536" s="3"/>
      <c r="H536" s="4" t="s">
        <v>406</v>
      </c>
      <c r="I536" s="153"/>
      <c r="J536" s="153"/>
      <c r="K536" s="153"/>
      <c r="M536" s="21">
        <v>16000</v>
      </c>
      <c r="N536" s="21"/>
      <c r="O536" s="88">
        <f t="shared" si="203"/>
        <v>16000</v>
      </c>
      <c r="Q536" s="308">
        <f t="shared" si="206"/>
        <v>16000</v>
      </c>
      <c r="R536" s="21">
        <f t="shared" si="207"/>
        <v>0</v>
      </c>
      <c r="S536" s="88">
        <f t="shared" si="207"/>
        <v>16000</v>
      </c>
    </row>
    <row r="537" spans="2:19" x14ac:dyDescent="0.2">
      <c r="B537" s="83">
        <f t="shared" si="204"/>
        <v>105</v>
      </c>
      <c r="C537" s="3"/>
      <c r="D537" s="3"/>
      <c r="E537" s="3"/>
      <c r="F537" s="26"/>
      <c r="G537" s="3"/>
      <c r="H537" s="4" t="s">
        <v>408</v>
      </c>
      <c r="I537" s="153"/>
      <c r="J537" s="153"/>
      <c r="K537" s="153"/>
      <c r="M537" s="21">
        <v>200000</v>
      </c>
      <c r="N537" s="21"/>
      <c r="O537" s="88">
        <f t="shared" si="203"/>
        <v>200000</v>
      </c>
      <c r="Q537" s="308">
        <f t="shared" si="206"/>
        <v>200000</v>
      </c>
      <c r="R537" s="21">
        <f t="shared" si="207"/>
        <v>0</v>
      </c>
      <c r="S537" s="88">
        <f t="shared" si="207"/>
        <v>200000</v>
      </c>
    </row>
    <row r="538" spans="2:19" x14ac:dyDescent="0.2">
      <c r="B538" s="83">
        <f t="shared" si="204"/>
        <v>106</v>
      </c>
      <c r="C538" s="3"/>
      <c r="D538" s="3"/>
      <c r="E538" s="3"/>
      <c r="F538" s="26"/>
      <c r="G538" s="3"/>
      <c r="H538" s="4" t="s">
        <v>395</v>
      </c>
      <c r="I538" s="153"/>
      <c r="J538" s="153"/>
      <c r="K538" s="153"/>
      <c r="M538" s="21">
        <v>16000</v>
      </c>
      <c r="N538" s="21"/>
      <c r="O538" s="88">
        <f t="shared" si="203"/>
        <v>16000</v>
      </c>
      <c r="Q538" s="308">
        <f t="shared" si="206"/>
        <v>16000</v>
      </c>
      <c r="R538" s="21">
        <f t="shared" si="207"/>
        <v>0</v>
      </c>
      <c r="S538" s="88">
        <f t="shared" si="207"/>
        <v>16000</v>
      </c>
    </row>
    <row r="539" spans="2:19" ht="13.5" thickBot="1" x14ac:dyDescent="0.25">
      <c r="B539" s="89">
        <f t="shared" si="204"/>
        <v>107</v>
      </c>
      <c r="C539" s="14"/>
      <c r="D539" s="14"/>
      <c r="E539" s="14"/>
      <c r="F539" s="90"/>
      <c r="G539" s="14"/>
      <c r="H539" s="95" t="s">
        <v>405</v>
      </c>
      <c r="I539" s="180"/>
      <c r="J539" s="180"/>
      <c r="K539" s="180"/>
      <c r="L539" s="270"/>
      <c r="M539" s="98">
        <v>55000</v>
      </c>
      <c r="N539" s="98"/>
      <c r="O539" s="99">
        <f t="shared" si="203"/>
        <v>55000</v>
      </c>
      <c r="Q539" s="296">
        <f t="shared" si="206"/>
        <v>55000</v>
      </c>
      <c r="R539" s="98">
        <f t="shared" si="207"/>
        <v>0</v>
      </c>
      <c r="S539" s="99">
        <f t="shared" si="207"/>
        <v>55000</v>
      </c>
    </row>
    <row r="591" spans="2:19" ht="27.75" thickBot="1" x14ac:dyDescent="0.4">
      <c r="B591" s="352" t="s">
        <v>28</v>
      </c>
      <c r="C591" s="353"/>
      <c r="D591" s="353"/>
      <c r="E591" s="353"/>
      <c r="F591" s="353"/>
      <c r="G591" s="353"/>
      <c r="H591" s="353"/>
      <c r="I591" s="353"/>
      <c r="J591" s="353"/>
      <c r="K591" s="353"/>
      <c r="L591" s="353"/>
      <c r="M591" s="353"/>
      <c r="N591" s="353"/>
      <c r="O591" s="353"/>
      <c r="P591" s="353"/>
      <c r="Q591" s="353"/>
    </row>
    <row r="592" spans="2:19" ht="13.5" customHeight="1" thickBot="1" x14ac:dyDescent="0.25">
      <c r="B592" s="378" t="s">
        <v>364</v>
      </c>
      <c r="C592" s="379"/>
      <c r="D592" s="379"/>
      <c r="E592" s="379"/>
      <c r="F592" s="379"/>
      <c r="G592" s="379"/>
      <c r="H592" s="379"/>
      <c r="I592" s="379"/>
      <c r="J592" s="379"/>
      <c r="K592" s="379"/>
      <c r="L592" s="379"/>
      <c r="M592" s="379"/>
      <c r="N592" s="379"/>
      <c r="O592" s="380"/>
      <c r="P592" s="271"/>
      <c r="Q592" s="354" t="s">
        <v>571</v>
      </c>
      <c r="R592" s="392" t="s">
        <v>565</v>
      </c>
      <c r="S592" s="395" t="s">
        <v>569</v>
      </c>
    </row>
    <row r="593" spans="2:19" ht="13.5" customHeight="1" thickBot="1" x14ac:dyDescent="0.25">
      <c r="B593" s="366"/>
      <c r="C593" s="357" t="s">
        <v>126</v>
      </c>
      <c r="D593" s="357" t="s">
        <v>127</v>
      </c>
      <c r="E593" s="357"/>
      <c r="F593" s="357" t="s">
        <v>128</v>
      </c>
      <c r="G593" s="371" t="s">
        <v>129</v>
      </c>
      <c r="H593" s="374" t="s">
        <v>130</v>
      </c>
      <c r="I593" s="363" t="s">
        <v>566</v>
      </c>
      <c r="J593" s="377" t="s">
        <v>565</v>
      </c>
      <c r="K593" s="376" t="s">
        <v>567</v>
      </c>
      <c r="M593" s="363" t="s">
        <v>568</v>
      </c>
      <c r="N593" s="377" t="s">
        <v>565</v>
      </c>
      <c r="O593" s="376" t="s">
        <v>570</v>
      </c>
      <c r="Q593" s="355"/>
      <c r="R593" s="393"/>
      <c r="S593" s="396"/>
    </row>
    <row r="594" spans="2:19" ht="13.5" thickBot="1" x14ac:dyDescent="0.25">
      <c r="B594" s="367"/>
      <c r="C594" s="358"/>
      <c r="D594" s="358"/>
      <c r="E594" s="358"/>
      <c r="F594" s="358"/>
      <c r="G594" s="372"/>
      <c r="H594" s="375"/>
      <c r="I594" s="363"/>
      <c r="J594" s="377"/>
      <c r="K594" s="376"/>
      <c r="M594" s="363"/>
      <c r="N594" s="377"/>
      <c r="O594" s="376"/>
      <c r="Q594" s="355"/>
      <c r="R594" s="393"/>
      <c r="S594" s="396"/>
    </row>
    <row r="595" spans="2:19" ht="13.5" thickBot="1" x14ac:dyDescent="0.25">
      <c r="B595" s="367"/>
      <c r="C595" s="358"/>
      <c r="D595" s="358"/>
      <c r="E595" s="358"/>
      <c r="F595" s="358"/>
      <c r="G595" s="372"/>
      <c r="H595" s="375"/>
      <c r="I595" s="363"/>
      <c r="J595" s="377"/>
      <c r="K595" s="376"/>
      <c r="M595" s="363"/>
      <c r="N595" s="377"/>
      <c r="O595" s="376"/>
      <c r="Q595" s="355"/>
      <c r="R595" s="393"/>
      <c r="S595" s="396"/>
    </row>
    <row r="596" spans="2:19" ht="13.5" thickBot="1" x14ac:dyDescent="0.25">
      <c r="B596" s="367"/>
      <c r="C596" s="359"/>
      <c r="D596" s="359"/>
      <c r="E596" s="359"/>
      <c r="F596" s="359"/>
      <c r="G596" s="373"/>
      <c r="H596" s="375"/>
      <c r="I596" s="363"/>
      <c r="J596" s="377"/>
      <c r="K596" s="376"/>
      <c r="M596" s="363"/>
      <c r="N596" s="377"/>
      <c r="O596" s="376"/>
      <c r="Q596" s="356"/>
      <c r="R596" s="394"/>
      <c r="S596" s="397"/>
    </row>
    <row r="597" spans="2:19" ht="16.5" thickTop="1" x14ac:dyDescent="0.2">
      <c r="B597" s="83">
        <v>1</v>
      </c>
      <c r="C597" s="385" t="s">
        <v>28</v>
      </c>
      <c r="D597" s="390"/>
      <c r="E597" s="390"/>
      <c r="F597" s="390"/>
      <c r="G597" s="390"/>
      <c r="H597" s="391"/>
      <c r="I597" s="35">
        <f>I598+I761+I940+I1044+I1283</f>
        <v>17906140</v>
      </c>
      <c r="J597" s="35">
        <f t="shared" ref="J597" si="208">J598+J761+J940+J1044+J1283</f>
        <v>-54820</v>
      </c>
      <c r="K597" s="35">
        <f>I597+J597</f>
        <v>17851320</v>
      </c>
      <c r="M597" s="35">
        <f>M598+M761+M940+M1044+M1283</f>
        <v>2695138</v>
      </c>
      <c r="N597" s="35">
        <f t="shared" ref="N597" si="209">N598+N761+N940+N1044+N1283</f>
        <v>0</v>
      </c>
      <c r="O597" s="93">
        <f>M597+N597</f>
        <v>2695138</v>
      </c>
      <c r="Q597" s="314">
        <f t="shared" ref="Q597:Q660" si="210">I597+M597</f>
        <v>20601278</v>
      </c>
      <c r="R597" s="93">
        <f t="shared" ref="R597:S612" si="211">J597+N597</f>
        <v>-54820</v>
      </c>
      <c r="S597" s="93">
        <f t="shared" si="211"/>
        <v>20546458</v>
      </c>
    </row>
    <row r="598" spans="2:19" ht="15" x14ac:dyDescent="0.2">
      <c r="B598" s="83">
        <f>B597+1</f>
        <v>2</v>
      </c>
      <c r="C598" s="268">
        <v>1</v>
      </c>
      <c r="D598" s="360" t="s">
        <v>204</v>
      </c>
      <c r="E598" s="361"/>
      <c r="F598" s="361"/>
      <c r="G598" s="361"/>
      <c r="H598" s="362"/>
      <c r="I598" s="36">
        <f>I599+I601+I613+I626</f>
        <v>4336795</v>
      </c>
      <c r="J598" s="36">
        <f t="shared" ref="J598" si="212">J599+J601+J613+J626</f>
        <v>-194</v>
      </c>
      <c r="K598" s="36">
        <f t="shared" ref="K598:K661" si="213">I598+J598</f>
        <v>4336601</v>
      </c>
      <c r="M598" s="36">
        <f>M613+M626</f>
        <v>2221555</v>
      </c>
      <c r="N598" s="36">
        <f t="shared" ref="N598" si="214">N613+N626</f>
        <v>0</v>
      </c>
      <c r="O598" s="84">
        <f t="shared" ref="O598:O661" si="215">M598+N598</f>
        <v>2221555</v>
      </c>
      <c r="Q598" s="272">
        <f t="shared" si="210"/>
        <v>6558350</v>
      </c>
      <c r="R598" s="84">
        <f t="shared" si="211"/>
        <v>-194</v>
      </c>
      <c r="S598" s="84">
        <f t="shared" si="211"/>
        <v>6558156</v>
      </c>
    </row>
    <row r="599" spans="2:19" x14ac:dyDescent="0.2">
      <c r="B599" s="83">
        <f t="shared" ref="B599:B662" si="216">B598+1</f>
        <v>3</v>
      </c>
      <c r="C599" s="7"/>
      <c r="D599" s="7"/>
      <c r="E599" s="7"/>
      <c r="F599" s="25" t="s">
        <v>203</v>
      </c>
      <c r="G599" s="7">
        <v>630</v>
      </c>
      <c r="H599" s="7" t="s">
        <v>133</v>
      </c>
      <c r="I599" s="23">
        <f>I600</f>
        <v>27000</v>
      </c>
      <c r="J599" s="23">
        <f t="shared" ref="J599" si="217">J600</f>
        <v>0</v>
      </c>
      <c r="K599" s="23">
        <f t="shared" si="213"/>
        <v>27000</v>
      </c>
      <c r="M599" s="23"/>
      <c r="N599" s="23"/>
      <c r="O599" s="86">
        <f t="shared" si="215"/>
        <v>0</v>
      </c>
      <c r="Q599" s="273">
        <f t="shared" si="210"/>
        <v>27000</v>
      </c>
      <c r="R599" s="86">
        <f t="shared" si="211"/>
        <v>0</v>
      </c>
      <c r="S599" s="86">
        <f t="shared" si="211"/>
        <v>27000</v>
      </c>
    </row>
    <row r="600" spans="2:19" x14ac:dyDescent="0.2">
      <c r="B600" s="83">
        <f t="shared" si="216"/>
        <v>4</v>
      </c>
      <c r="C600" s="3"/>
      <c r="D600" s="3"/>
      <c r="E600" s="3"/>
      <c r="F600" s="26" t="s">
        <v>203</v>
      </c>
      <c r="G600" s="3">
        <v>635</v>
      </c>
      <c r="H600" s="3" t="s">
        <v>145</v>
      </c>
      <c r="I600" s="19">
        <f>30000-3000</f>
        <v>27000</v>
      </c>
      <c r="J600" s="19"/>
      <c r="K600" s="19">
        <f t="shared" si="213"/>
        <v>27000</v>
      </c>
      <c r="M600" s="19"/>
      <c r="N600" s="19"/>
      <c r="O600" s="87">
        <f t="shared" si="215"/>
        <v>0</v>
      </c>
      <c r="Q600" s="274">
        <f t="shared" si="210"/>
        <v>27000</v>
      </c>
      <c r="R600" s="87">
        <f t="shared" si="211"/>
        <v>0</v>
      </c>
      <c r="S600" s="87">
        <f t="shared" si="211"/>
        <v>27000</v>
      </c>
    </row>
    <row r="601" spans="2:19" x14ac:dyDescent="0.2">
      <c r="B601" s="83">
        <f t="shared" si="216"/>
        <v>5</v>
      </c>
      <c r="C601" s="7"/>
      <c r="D601" s="7"/>
      <c r="E601" s="7"/>
      <c r="F601" s="25" t="s">
        <v>203</v>
      </c>
      <c r="G601" s="7">
        <v>640</v>
      </c>
      <c r="H601" s="7" t="s">
        <v>141</v>
      </c>
      <c r="I601" s="23">
        <f>I602+I604</f>
        <v>597554</v>
      </c>
      <c r="J601" s="23">
        <f t="shared" ref="J601" si="218">J602+J604</f>
        <v>0</v>
      </c>
      <c r="K601" s="23">
        <f t="shared" si="213"/>
        <v>597554</v>
      </c>
      <c r="M601" s="23"/>
      <c r="N601" s="23"/>
      <c r="O601" s="86">
        <f t="shared" si="215"/>
        <v>0</v>
      </c>
      <c r="Q601" s="273">
        <f t="shared" si="210"/>
        <v>597554</v>
      </c>
      <c r="R601" s="86">
        <f t="shared" si="211"/>
        <v>0</v>
      </c>
      <c r="S601" s="86">
        <f t="shared" si="211"/>
        <v>597554</v>
      </c>
    </row>
    <row r="602" spans="2:19" x14ac:dyDescent="0.2">
      <c r="B602" s="83">
        <f t="shared" si="216"/>
        <v>6</v>
      </c>
      <c r="C602" s="3"/>
      <c r="D602" s="3"/>
      <c r="E602" s="3"/>
      <c r="F602" s="26" t="s">
        <v>203</v>
      </c>
      <c r="G602" s="3">
        <v>641</v>
      </c>
      <c r="H602" s="3" t="s">
        <v>195</v>
      </c>
      <c r="I602" s="19">
        <f>I603</f>
        <v>3050</v>
      </c>
      <c r="J602" s="19">
        <f t="shared" ref="J602" si="219">J603</f>
        <v>0</v>
      </c>
      <c r="K602" s="19">
        <f t="shared" si="213"/>
        <v>3050</v>
      </c>
      <c r="M602" s="19"/>
      <c r="N602" s="19"/>
      <c r="O602" s="87">
        <f t="shared" si="215"/>
        <v>0</v>
      </c>
      <c r="Q602" s="274">
        <f t="shared" si="210"/>
        <v>3050</v>
      </c>
      <c r="R602" s="87">
        <f t="shared" si="211"/>
        <v>0</v>
      </c>
      <c r="S602" s="87">
        <f t="shared" si="211"/>
        <v>3050</v>
      </c>
    </row>
    <row r="603" spans="2:19" x14ac:dyDescent="0.2">
      <c r="B603" s="83">
        <f t="shared" si="216"/>
        <v>7</v>
      </c>
      <c r="C603" s="4"/>
      <c r="D603" s="4"/>
      <c r="E603" s="4"/>
      <c r="F603" s="27"/>
      <c r="G603" s="4"/>
      <c r="H603" s="4" t="s">
        <v>302</v>
      </c>
      <c r="I603" s="21">
        <v>3050</v>
      </c>
      <c r="J603" s="21"/>
      <c r="K603" s="21">
        <f t="shared" si="213"/>
        <v>3050</v>
      </c>
      <c r="M603" s="21"/>
      <c r="N603" s="21"/>
      <c r="O603" s="88">
        <f t="shared" si="215"/>
        <v>0</v>
      </c>
      <c r="Q603" s="275">
        <f t="shared" si="210"/>
        <v>3050</v>
      </c>
      <c r="R603" s="88">
        <f t="shared" si="211"/>
        <v>0</v>
      </c>
      <c r="S603" s="88">
        <f t="shared" si="211"/>
        <v>3050</v>
      </c>
    </row>
    <row r="604" spans="2:19" x14ac:dyDescent="0.2">
      <c r="B604" s="83">
        <f t="shared" si="216"/>
        <v>8</v>
      </c>
      <c r="C604" s="3"/>
      <c r="D604" s="3"/>
      <c r="E604" s="3"/>
      <c r="F604" s="26" t="s">
        <v>203</v>
      </c>
      <c r="G604" s="3">
        <v>642</v>
      </c>
      <c r="H604" s="3" t="s">
        <v>142</v>
      </c>
      <c r="I604" s="64">
        <f>SUM(I605:I612)</f>
        <v>594504</v>
      </c>
      <c r="J604" s="64">
        <f t="shared" ref="J604" si="220">SUM(J605:J612)</f>
        <v>0</v>
      </c>
      <c r="K604" s="64">
        <f t="shared" si="213"/>
        <v>594504</v>
      </c>
      <c r="M604" s="19"/>
      <c r="N604" s="19"/>
      <c r="O604" s="87">
        <f t="shared" si="215"/>
        <v>0</v>
      </c>
      <c r="Q604" s="274">
        <f t="shared" si="210"/>
        <v>594504</v>
      </c>
      <c r="R604" s="87">
        <f t="shared" si="211"/>
        <v>0</v>
      </c>
      <c r="S604" s="87">
        <f t="shared" si="211"/>
        <v>594504</v>
      </c>
    </row>
    <row r="605" spans="2:19" x14ac:dyDescent="0.2">
      <c r="B605" s="83">
        <f t="shared" si="216"/>
        <v>9</v>
      </c>
      <c r="C605" s="4"/>
      <c r="D605" s="4"/>
      <c r="E605" s="4"/>
      <c r="F605" s="27"/>
      <c r="G605" s="4"/>
      <c r="H605" s="4" t="s">
        <v>564</v>
      </c>
      <c r="I605" s="40">
        <f>148800+837</f>
        <v>149637</v>
      </c>
      <c r="J605" s="40"/>
      <c r="K605" s="40">
        <f t="shared" si="213"/>
        <v>149637</v>
      </c>
      <c r="M605" s="21"/>
      <c r="N605" s="21"/>
      <c r="O605" s="88">
        <f t="shared" si="215"/>
        <v>0</v>
      </c>
      <c r="Q605" s="275">
        <f t="shared" si="210"/>
        <v>149637</v>
      </c>
      <c r="R605" s="88">
        <f t="shared" si="211"/>
        <v>0</v>
      </c>
      <c r="S605" s="88">
        <f t="shared" si="211"/>
        <v>149637</v>
      </c>
    </row>
    <row r="606" spans="2:19" x14ac:dyDescent="0.2">
      <c r="B606" s="83">
        <f t="shared" si="216"/>
        <v>10</v>
      </c>
      <c r="C606" s="4"/>
      <c r="D606" s="4"/>
      <c r="E606" s="4"/>
      <c r="F606" s="27"/>
      <c r="G606" s="4"/>
      <c r="H606" s="46" t="s">
        <v>544</v>
      </c>
      <c r="I606" s="40">
        <f>66357+373</f>
        <v>66730</v>
      </c>
      <c r="J606" s="40"/>
      <c r="K606" s="40">
        <f t="shared" si="213"/>
        <v>66730</v>
      </c>
      <c r="M606" s="21"/>
      <c r="N606" s="21"/>
      <c r="O606" s="88">
        <f t="shared" si="215"/>
        <v>0</v>
      </c>
      <c r="Q606" s="275">
        <f t="shared" si="210"/>
        <v>66730</v>
      </c>
      <c r="R606" s="88">
        <f t="shared" si="211"/>
        <v>0</v>
      </c>
      <c r="S606" s="88">
        <f t="shared" si="211"/>
        <v>66730</v>
      </c>
    </row>
    <row r="607" spans="2:19" x14ac:dyDescent="0.2">
      <c r="B607" s="83">
        <f t="shared" si="216"/>
        <v>11</v>
      </c>
      <c r="C607" s="4"/>
      <c r="D607" s="4"/>
      <c r="E607" s="4"/>
      <c r="F607" s="27"/>
      <c r="G607" s="4"/>
      <c r="H607" s="46" t="s">
        <v>545</v>
      </c>
      <c r="I607" s="40">
        <f>52282+293</f>
        <v>52575</v>
      </c>
      <c r="J607" s="40"/>
      <c r="K607" s="40">
        <f t="shared" si="213"/>
        <v>52575</v>
      </c>
      <c r="M607" s="21"/>
      <c r="N607" s="21"/>
      <c r="O607" s="88">
        <f t="shared" si="215"/>
        <v>0</v>
      </c>
      <c r="Q607" s="275">
        <f t="shared" si="210"/>
        <v>52575</v>
      </c>
      <c r="R607" s="88">
        <f t="shared" si="211"/>
        <v>0</v>
      </c>
      <c r="S607" s="88">
        <f t="shared" si="211"/>
        <v>52575</v>
      </c>
    </row>
    <row r="608" spans="2:19" x14ac:dyDescent="0.2">
      <c r="B608" s="83">
        <f t="shared" si="216"/>
        <v>12</v>
      </c>
      <c r="C608" s="4"/>
      <c r="D608" s="4"/>
      <c r="E608" s="4"/>
      <c r="F608" s="27"/>
      <c r="G608" s="4"/>
      <c r="H608" s="4" t="s">
        <v>546</v>
      </c>
      <c r="I608" s="40">
        <f>22119+125</f>
        <v>22244</v>
      </c>
      <c r="J608" s="40"/>
      <c r="K608" s="40">
        <f t="shared" si="213"/>
        <v>22244</v>
      </c>
      <c r="M608" s="21"/>
      <c r="N608" s="21"/>
      <c r="O608" s="88">
        <f t="shared" si="215"/>
        <v>0</v>
      </c>
      <c r="Q608" s="275">
        <f t="shared" si="210"/>
        <v>22244</v>
      </c>
      <c r="R608" s="88">
        <f t="shared" si="211"/>
        <v>0</v>
      </c>
      <c r="S608" s="88">
        <f t="shared" si="211"/>
        <v>22244</v>
      </c>
    </row>
    <row r="609" spans="2:19" x14ac:dyDescent="0.2">
      <c r="B609" s="83">
        <f t="shared" si="216"/>
        <v>13</v>
      </c>
      <c r="C609" s="4"/>
      <c r="D609" s="4"/>
      <c r="E609" s="4"/>
      <c r="F609" s="27"/>
      <c r="G609" s="4"/>
      <c r="H609" s="4" t="s">
        <v>547</v>
      </c>
      <c r="I609" s="40">
        <f>76411+430</f>
        <v>76841</v>
      </c>
      <c r="J609" s="40"/>
      <c r="K609" s="40">
        <f t="shared" si="213"/>
        <v>76841</v>
      </c>
      <c r="M609" s="21"/>
      <c r="N609" s="21"/>
      <c r="O609" s="88">
        <f t="shared" si="215"/>
        <v>0</v>
      </c>
      <c r="Q609" s="275">
        <f t="shared" si="210"/>
        <v>76841</v>
      </c>
      <c r="R609" s="88">
        <f t="shared" si="211"/>
        <v>0</v>
      </c>
      <c r="S609" s="88">
        <f t="shared" si="211"/>
        <v>76841</v>
      </c>
    </row>
    <row r="610" spans="2:19" x14ac:dyDescent="0.2">
      <c r="B610" s="83">
        <f t="shared" si="216"/>
        <v>14</v>
      </c>
      <c r="C610" s="4"/>
      <c r="D610" s="4"/>
      <c r="E610" s="4"/>
      <c r="F610" s="27"/>
      <c r="G610" s="4"/>
      <c r="H610" s="4" t="s">
        <v>548</v>
      </c>
      <c r="I610" s="40">
        <f>90487+508</f>
        <v>90995</v>
      </c>
      <c r="J610" s="40"/>
      <c r="K610" s="40">
        <f t="shared" si="213"/>
        <v>90995</v>
      </c>
      <c r="M610" s="21"/>
      <c r="N610" s="21"/>
      <c r="O610" s="88">
        <f t="shared" si="215"/>
        <v>0</v>
      </c>
      <c r="Q610" s="275">
        <f t="shared" si="210"/>
        <v>90995</v>
      </c>
      <c r="R610" s="88">
        <f t="shared" si="211"/>
        <v>0</v>
      </c>
      <c r="S610" s="88">
        <f t="shared" si="211"/>
        <v>90995</v>
      </c>
    </row>
    <row r="611" spans="2:19" x14ac:dyDescent="0.2">
      <c r="B611" s="83">
        <f t="shared" si="216"/>
        <v>15</v>
      </c>
      <c r="C611" s="4"/>
      <c r="D611" s="4"/>
      <c r="E611" s="4"/>
      <c r="F611" s="27"/>
      <c r="G611" s="4"/>
      <c r="H611" s="4" t="s">
        <v>549</v>
      </c>
      <c r="I611" s="40">
        <f>88476+497</f>
        <v>88973</v>
      </c>
      <c r="J611" s="40"/>
      <c r="K611" s="40">
        <f t="shared" si="213"/>
        <v>88973</v>
      </c>
      <c r="M611" s="21"/>
      <c r="N611" s="21"/>
      <c r="O611" s="88">
        <f t="shared" si="215"/>
        <v>0</v>
      </c>
      <c r="Q611" s="275">
        <f t="shared" si="210"/>
        <v>88973</v>
      </c>
      <c r="R611" s="88">
        <f t="shared" si="211"/>
        <v>0</v>
      </c>
      <c r="S611" s="88">
        <f t="shared" si="211"/>
        <v>88973</v>
      </c>
    </row>
    <row r="612" spans="2:19" x14ac:dyDescent="0.2">
      <c r="B612" s="83">
        <f t="shared" si="216"/>
        <v>16</v>
      </c>
      <c r="C612" s="4"/>
      <c r="D612" s="4"/>
      <c r="E612" s="4"/>
      <c r="F612" s="27"/>
      <c r="G612" s="4"/>
      <c r="H612" s="4" t="s">
        <v>550</v>
      </c>
      <c r="I612" s="40">
        <f>46249+260</f>
        <v>46509</v>
      </c>
      <c r="J612" s="40"/>
      <c r="K612" s="40">
        <f t="shared" si="213"/>
        <v>46509</v>
      </c>
      <c r="M612" s="21"/>
      <c r="N612" s="21"/>
      <c r="O612" s="88">
        <f t="shared" si="215"/>
        <v>0</v>
      </c>
      <c r="Q612" s="275">
        <f t="shared" si="210"/>
        <v>46509</v>
      </c>
      <c r="R612" s="88">
        <f t="shared" si="211"/>
        <v>0</v>
      </c>
      <c r="S612" s="88">
        <f t="shared" si="211"/>
        <v>46509</v>
      </c>
    </row>
    <row r="613" spans="2:19" ht="15" x14ac:dyDescent="0.25">
      <c r="B613" s="83">
        <f t="shared" si="216"/>
        <v>17</v>
      </c>
      <c r="C613" s="10"/>
      <c r="D613" s="10"/>
      <c r="E613" s="10">
        <v>3</v>
      </c>
      <c r="F613" s="28"/>
      <c r="G613" s="10"/>
      <c r="H613" s="10" t="s">
        <v>416</v>
      </c>
      <c r="I613" s="38">
        <f>I614+I615+I616+I622</f>
        <v>504356</v>
      </c>
      <c r="J613" s="38">
        <f t="shared" ref="J613" si="221">J614+J615+J616+J622</f>
        <v>-105</v>
      </c>
      <c r="K613" s="38">
        <f t="shared" si="213"/>
        <v>504251</v>
      </c>
      <c r="M613" s="38">
        <f>M623</f>
        <v>1264848</v>
      </c>
      <c r="N613" s="38">
        <f t="shared" ref="N613" si="222">N623</f>
        <v>0</v>
      </c>
      <c r="O613" s="94">
        <f t="shared" si="215"/>
        <v>1264848</v>
      </c>
      <c r="Q613" s="315">
        <f t="shared" si="210"/>
        <v>1769204</v>
      </c>
      <c r="R613" s="94">
        <f t="shared" ref="R613:S628" si="223">J613+N613</f>
        <v>-105</v>
      </c>
      <c r="S613" s="94">
        <f t="shared" si="223"/>
        <v>1769099</v>
      </c>
    </row>
    <row r="614" spans="2:19" x14ac:dyDescent="0.2">
      <c r="B614" s="83">
        <f t="shared" si="216"/>
        <v>18</v>
      </c>
      <c r="C614" s="7"/>
      <c r="D614" s="7"/>
      <c r="E614" s="7"/>
      <c r="F614" s="25" t="s">
        <v>203</v>
      </c>
      <c r="G614" s="7">
        <v>610</v>
      </c>
      <c r="H614" s="7" t="s">
        <v>143</v>
      </c>
      <c r="I614" s="23">
        <f>271673+19076+2398+3000</f>
        <v>296147</v>
      </c>
      <c r="J614" s="23">
        <v>50</v>
      </c>
      <c r="K614" s="23">
        <f t="shared" si="213"/>
        <v>296197</v>
      </c>
      <c r="M614" s="23"/>
      <c r="N614" s="23"/>
      <c r="O614" s="86">
        <f t="shared" si="215"/>
        <v>0</v>
      </c>
      <c r="Q614" s="273">
        <f t="shared" si="210"/>
        <v>296147</v>
      </c>
      <c r="R614" s="86">
        <f t="shared" si="223"/>
        <v>50</v>
      </c>
      <c r="S614" s="86">
        <f t="shared" si="223"/>
        <v>296197</v>
      </c>
    </row>
    <row r="615" spans="2:19" x14ac:dyDescent="0.2">
      <c r="B615" s="83">
        <f t="shared" si="216"/>
        <v>19</v>
      </c>
      <c r="C615" s="7"/>
      <c r="D615" s="7"/>
      <c r="E615" s="7"/>
      <c r="F615" s="25" t="s">
        <v>203</v>
      </c>
      <c r="G615" s="7">
        <v>620</v>
      </c>
      <c r="H615" s="7" t="s">
        <v>136</v>
      </c>
      <c r="I615" s="23">
        <f>102430+7049+886</f>
        <v>110365</v>
      </c>
      <c r="J615" s="23">
        <v>10</v>
      </c>
      <c r="K615" s="23">
        <f t="shared" si="213"/>
        <v>110375</v>
      </c>
      <c r="M615" s="23"/>
      <c r="N615" s="23"/>
      <c r="O615" s="86">
        <f t="shared" si="215"/>
        <v>0</v>
      </c>
      <c r="Q615" s="273">
        <f t="shared" si="210"/>
        <v>110365</v>
      </c>
      <c r="R615" s="86">
        <f t="shared" si="223"/>
        <v>10</v>
      </c>
      <c r="S615" s="86">
        <f t="shared" si="223"/>
        <v>110375</v>
      </c>
    </row>
    <row r="616" spans="2:19" x14ac:dyDescent="0.2">
      <c r="B616" s="83">
        <f t="shared" si="216"/>
        <v>20</v>
      </c>
      <c r="C616" s="7"/>
      <c r="D616" s="7"/>
      <c r="E616" s="7"/>
      <c r="F616" s="25" t="s">
        <v>203</v>
      </c>
      <c r="G616" s="7">
        <v>630</v>
      </c>
      <c r="H616" s="7" t="s">
        <v>133</v>
      </c>
      <c r="I616" s="23">
        <f>SUM(I617:I621)</f>
        <v>91980</v>
      </c>
      <c r="J616" s="23">
        <f t="shared" ref="J616" si="224">SUM(J617:J621)</f>
        <v>-165</v>
      </c>
      <c r="K616" s="23">
        <f t="shared" si="213"/>
        <v>91815</v>
      </c>
      <c r="M616" s="23"/>
      <c r="N616" s="23"/>
      <c r="O616" s="86">
        <f t="shared" si="215"/>
        <v>0</v>
      </c>
      <c r="Q616" s="273">
        <f t="shared" si="210"/>
        <v>91980</v>
      </c>
      <c r="R616" s="86">
        <f t="shared" si="223"/>
        <v>-165</v>
      </c>
      <c r="S616" s="86">
        <f t="shared" si="223"/>
        <v>91815</v>
      </c>
    </row>
    <row r="617" spans="2:19" x14ac:dyDescent="0.2">
      <c r="B617" s="83">
        <f t="shared" si="216"/>
        <v>21</v>
      </c>
      <c r="C617" s="3"/>
      <c r="D617" s="3"/>
      <c r="E617" s="3"/>
      <c r="F617" s="26" t="s">
        <v>203</v>
      </c>
      <c r="G617" s="3">
        <v>632</v>
      </c>
      <c r="H617" s="3" t="s">
        <v>146</v>
      </c>
      <c r="I617" s="19">
        <v>49600</v>
      </c>
      <c r="J617" s="19"/>
      <c r="K617" s="19">
        <f t="shared" si="213"/>
        <v>49600</v>
      </c>
      <c r="M617" s="19"/>
      <c r="N617" s="19"/>
      <c r="O617" s="87">
        <f t="shared" si="215"/>
        <v>0</v>
      </c>
      <c r="Q617" s="274">
        <f t="shared" si="210"/>
        <v>49600</v>
      </c>
      <c r="R617" s="87">
        <f t="shared" si="223"/>
        <v>0</v>
      </c>
      <c r="S617" s="87">
        <f t="shared" si="223"/>
        <v>49600</v>
      </c>
    </row>
    <row r="618" spans="2:19" x14ac:dyDescent="0.2">
      <c r="B618" s="83">
        <f t="shared" si="216"/>
        <v>22</v>
      </c>
      <c r="C618" s="3"/>
      <c r="D618" s="3"/>
      <c r="E618" s="3"/>
      <c r="F618" s="26" t="s">
        <v>203</v>
      </c>
      <c r="G618" s="3">
        <v>633</v>
      </c>
      <c r="H618" s="3" t="s">
        <v>137</v>
      </c>
      <c r="I618" s="19">
        <v>24830</v>
      </c>
      <c r="J618" s="19">
        <v>-165</v>
      </c>
      <c r="K618" s="19">
        <f t="shared" si="213"/>
        <v>24665</v>
      </c>
      <c r="M618" s="19"/>
      <c r="N618" s="19"/>
      <c r="O618" s="87">
        <f t="shared" si="215"/>
        <v>0</v>
      </c>
      <c r="Q618" s="274">
        <f t="shared" si="210"/>
        <v>24830</v>
      </c>
      <c r="R618" s="87">
        <f t="shared" si="223"/>
        <v>-165</v>
      </c>
      <c r="S618" s="87">
        <f t="shared" si="223"/>
        <v>24665</v>
      </c>
    </row>
    <row r="619" spans="2:19" x14ac:dyDescent="0.2">
      <c r="B619" s="83">
        <f t="shared" si="216"/>
        <v>23</v>
      </c>
      <c r="C619" s="3"/>
      <c r="D619" s="3"/>
      <c r="E619" s="3"/>
      <c r="F619" s="26" t="s">
        <v>203</v>
      </c>
      <c r="G619" s="3">
        <v>635</v>
      </c>
      <c r="H619" s="3" t="s">
        <v>145</v>
      </c>
      <c r="I619" s="19">
        <v>2000</v>
      </c>
      <c r="J619" s="19"/>
      <c r="K619" s="19">
        <f t="shared" si="213"/>
        <v>2000</v>
      </c>
      <c r="M619" s="19"/>
      <c r="N619" s="19"/>
      <c r="O619" s="87">
        <f t="shared" si="215"/>
        <v>0</v>
      </c>
      <c r="Q619" s="274">
        <f t="shared" si="210"/>
        <v>2000</v>
      </c>
      <c r="R619" s="87">
        <f t="shared" si="223"/>
        <v>0</v>
      </c>
      <c r="S619" s="87">
        <f t="shared" si="223"/>
        <v>2000</v>
      </c>
    </row>
    <row r="620" spans="2:19" x14ac:dyDescent="0.2">
      <c r="B620" s="83">
        <f t="shared" si="216"/>
        <v>24</v>
      </c>
      <c r="C620" s="3"/>
      <c r="D620" s="3"/>
      <c r="E620" s="3"/>
      <c r="F620" s="26" t="s">
        <v>203</v>
      </c>
      <c r="G620" s="3">
        <v>636</v>
      </c>
      <c r="H620" s="3" t="s">
        <v>138</v>
      </c>
      <c r="I620" s="19">
        <v>7200</v>
      </c>
      <c r="J620" s="19"/>
      <c r="K620" s="19">
        <f t="shared" si="213"/>
        <v>7200</v>
      </c>
      <c r="M620" s="19"/>
      <c r="N620" s="19"/>
      <c r="O620" s="87">
        <f t="shared" si="215"/>
        <v>0</v>
      </c>
      <c r="Q620" s="274">
        <f t="shared" si="210"/>
        <v>7200</v>
      </c>
      <c r="R620" s="87">
        <f t="shared" si="223"/>
        <v>0</v>
      </c>
      <c r="S620" s="87">
        <f t="shared" si="223"/>
        <v>7200</v>
      </c>
    </row>
    <row r="621" spans="2:19" x14ac:dyDescent="0.2">
      <c r="B621" s="83">
        <f t="shared" si="216"/>
        <v>25</v>
      </c>
      <c r="C621" s="3"/>
      <c r="D621" s="3"/>
      <c r="E621" s="3"/>
      <c r="F621" s="26" t="s">
        <v>203</v>
      </c>
      <c r="G621" s="3">
        <v>637</v>
      </c>
      <c r="H621" s="3" t="s">
        <v>134</v>
      </c>
      <c r="I621" s="19">
        <v>8350</v>
      </c>
      <c r="J621" s="19"/>
      <c r="K621" s="19">
        <f t="shared" si="213"/>
        <v>8350</v>
      </c>
      <c r="M621" s="19"/>
      <c r="N621" s="19"/>
      <c r="O621" s="87">
        <f t="shared" si="215"/>
        <v>0</v>
      </c>
      <c r="Q621" s="274">
        <f t="shared" si="210"/>
        <v>8350</v>
      </c>
      <c r="R621" s="87">
        <f t="shared" si="223"/>
        <v>0</v>
      </c>
      <c r="S621" s="87">
        <f t="shared" si="223"/>
        <v>8350</v>
      </c>
    </row>
    <row r="622" spans="2:19" x14ac:dyDescent="0.2">
      <c r="B622" s="83">
        <f t="shared" si="216"/>
        <v>26</v>
      </c>
      <c r="C622" s="7"/>
      <c r="D622" s="7"/>
      <c r="E622" s="7"/>
      <c r="F622" s="25" t="s">
        <v>203</v>
      </c>
      <c r="G622" s="7">
        <v>640</v>
      </c>
      <c r="H622" s="7" t="s">
        <v>141</v>
      </c>
      <c r="I622" s="23">
        <v>5864</v>
      </c>
      <c r="J622" s="23"/>
      <c r="K622" s="23">
        <f t="shared" si="213"/>
        <v>5864</v>
      </c>
      <c r="M622" s="23"/>
      <c r="N622" s="23"/>
      <c r="O622" s="86">
        <f t="shared" si="215"/>
        <v>0</v>
      </c>
      <c r="Q622" s="273">
        <f t="shared" si="210"/>
        <v>5864</v>
      </c>
      <c r="R622" s="86">
        <f t="shared" si="223"/>
        <v>0</v>
      </c>
      <c r="S622" s="86">
        <f t="shared" si="223"/>
        <v>5864</v>
      </c>
    </row>
    <row r="623" spans="2:19" x14ac:dyDescent="0.2">
      <c r="B623" s="83">
        <f t="shared" si="216"/>
        <v>27</v>
      </c>
      <c r="C623" s="7"/>
      <c r="D623" s="7"/>
      <c r="E623" s="7"/>
      <c r="F623" s="25" t="s">
        <v>203</v>
      </c>
      <c r="G623" s="7">
        <v>710</v>
      </c>
      <c r="H623" s="7" t="s">
        <v>188</v>
      </c>
      <c r="I623" s="23"/>
      <c r="J623" s="23"/>
      <c r="K623" s="23">
        <f t="shared" si="213"/>
        <v>0</v>
      </c>
      <c r="M623" s="23">
        <f>M624</f>
        <v>1264848</v>
      </c>
      <c r="N623" s="23">
        <f t="shared" ref="N623:N624" si="225">N624</f>
        <v>0</v>
      </c>
      <c r="O623" s="86">
        <f t="shared" si="215"/>
        <v>1264848</v>
      </c>
      <c r="Q623" s="273">
        <f t="shared" si="210"/>
        <v>1264848</v>
      </c>
      <c r="R623" s="86">
        <f t="shared" si="223"/>
        <v>0</v>
      </c>
      <c r="S623" s="86">
        <f t="shared" si="223"/>
        <v>1264848</v>
      </c>
    </row>
    <row r="624" spans="2:19" x14ac:dyDescent="0.2">
      <c r="B624" s="83">
        <f t="shared" si="216"/>
        <v>28</v>
      </c>
      <c r="C624" s="3"/>
      <c r="D624" s="3"/>
      <c r="E624" s="3"/>
      <c r="F624" s="26" t="s">
        <v>203</v>
      </c>
      <c r="G624" s="3">
        <v>717</v>
      </c>
      <c r="H624" s="3" t="s">
        <v>198</v>
      </c>
      <c r="I624" s="19"/>
      <c r="J624" s="19"/>
      <c r="K624" s="19">
        <f t="shared" si="213"/>
        <v>0</v>
      </c>
      <c r="M624" s="19">
        <f>M625</f>
        <v>1264848</v>
      </c>
      <c r="N624" s="19">
        <f t="shared" si="225"/>
        <v>0</v>
      </c>
      <c r="O624" s="87">
        <f t="shared" si="215"/>
        <v>1264848</v>
      </c>
      <c r="Q624" s="316">
        <f t="shared" si="210"/>
        <v>1264848</v>
      </c>
      <c r="R624" s="113">
        <f t="shared" si="223"/>
        <v>0</v>
      </c>
      <c r="S624" s="113">
        <f t="shared" si="223"/>
        <v>1264848</v>
      </c>
    </row>
    <row r="625" spans="2:19" x14ac:dyDescent="0.2">
      <c r="B625" s="83">
        <f t="shared" si="216"/>
        <v>29</v>
      </c>
      <c r="C625" s="4"/>
      <c r="D625" s="4"/>
      <c r="E625" s="4"/>
      <c r="F625" s="31"/>
      <c r="G625" s="4"/>
      <c r="H625" s="4" t="s">
        <v>377</v>
      </c>
      <c r="I625" s="21"/>
      <c r="J625" s="21"/>
      <c r="K625" s="21">
        <f t="shared" si="213"/>
        <v>0</v>
      </c>
      <c r="M625" s="21">
        <f>1253208+11640</f>
        <v>1264848</v>
      </c>
      <c r="N625" s="21"/>
      <c r="O625" s="88">
        <f t="shared" si="215"/>
        <v>1264848</v>
      </c>
      <c r="Q625" s="317">
        <f t="shared" si="210"/>
        <v>1264848</v>
      </c>
      <c r="R625" s="114">
        <f t="shared" si="223"/>
        <v>0</v>
      </c>
      <c r="S625" s="114">
        <f t="shared" si="223"/>
        <v>1264848</v>
      </c>
    </row>
    <row r="626" spans="2:19" ht="15" x14ac:dyDescent="0.25">
      <c r="B626" s="83">
        <f t="shared" si="216"/>
        <v>30</v>
      </c>
      <c r="C626" s="10"/>
      <c r="D626" s="10"/>
      <c r="E626" s="10">
        <v>4</v>
      </c>
      <c r="F626" s="28"/>
      <c r="G626" s="10"/>
      <c r="H626" s="10" t="s">
        <v>417</v>
      </c>
      <c r="I626" s="38">
        <f>I627+I636+I645+I653+I661+I670+I679+I688+I697+I709+I717+I725+I733+I741+I751</f>
        <v>3207885</v>
      </c>
      <c r="J626" s="38">
        <f t="shared" ref="J626" si="226">J627+J636+J645+J653+J661+J670+J679+J688+J697+J709+J717+J725+J733+J741+J751</f>
        <v>-89</v>
      </c>
      <c r="K626" s="38">
        <f t="shared" si="213"/>
        <v>3207796</v>
      </c>
      <c r="M626" s="38">
        <f>M627+M636+M645+M653+M661+M670+M679+M688+M697+M709+M717+M725+M733+M741+M751</f>
        <v>956707</v>
      </c>
      <c r="N626" s="38">
        <f t="shared" ref="N626" si="227">N627+N636+N645+N653+N661+N670+N679+N688+N697+N709+N717+N725+N733+N741+N751</f>
        <v>0</v>
      </c>
      <c r="O626" s="94">
        <f t="shared" si="215"/>
        <v>956707</v>
      </c>
      <c r="Q626" s="315">
        <f t="shared" si="210"/>
        <v>4164592</v>
      </c>
      <c r="R626" s="94">
        <f t="shared" si="223"/>
        <v>-89</v>
      </c>
      <c r="S626" s="94">
        <f t="shared" si="223"/>
        <v>4164503</v>
      </c>
    </row>
    <row r="627" spans="2:19" x14ac:dyDescent="0.2">
      <c r="B627" s="83">
        <f t="shared" si="216"/>
        <v>31</v>
      </c>
      <c r="C627" s="6"/>
      <c r="D627" s="6"/>
      <c r="E627" s="6" t="s">
        <v>101</v>
      </c>
      <c r="F627" s="29"/>
      <c r="G627" s="6"/>
      <c r="H627" s="6" t="s">
        <v>72</v>
      </c>
      <c r="I627" s="41">
        <f>I628+I629+I630+I635</f>
        <v>157863</v>
      </c>
      <c r="J627" s="41">
        <f t="shared" ref="J627" si="228">J628+J629+J630+J635</f>
        <v>436</v>
      </c>
      <c r="K627" s="41">
        <f t="shared" si="213"/>
        <v>158299</v>
      </c>
      <c r="M627" s="41">
        <v>0</v>
      </c>
      <c r="N627" s="41">
        <v>0</v>
      </c>
      <c r="O627" s="100">
        <f t="shared" si="215"/>
        <v>0</v>
      </c>
      <c r="Q627" s="318">
        <f t="shared" si="210"/>
        <v>157863</v>
      </c>
      <c r="R627" s="100">
        <f t="shared" si="223"/>
        <v>436</v>
      </c>
      <c r="S627" s="100">
        <f t="shared" si="223"/>
        <v>158299</v>
      </c>
    </row>
    <row r="628" spans="2:19" x14ac:dyDescent="0.2">
      <c r="B628" s="83">
        <f t="shared" si="216"/>
        <v>32</v>
      </c>
      <c r="C628" s="7"/>
      <c r="D628" s="7"/>
      <c r="E628" s="7"/>
      <c r="F628" s="25" t="s">
        <v>203</v>
      </c>
      <c r="G628" s="7">
        <v>610</v>
      </c>
      <c r="H628" s="7" t="s">
        <v>143</v>
      </c>
      <c r="I628" s="23">
        <f>87139+5602</f>
        <v>92741</v>
      </c>
      <c r="J628" s="23">
        <v>-1093</v>
      </c>
      <c r="K628" s="23">
        <f t="shared" si="213"/>
        <v>91648</v>
      </c>
      <c r="M628" s="23"/>
      <c r="N628" s="23"/>
      <c r="O628" s="86">
        <f t="shared" si="215"/>
        <v>0</v>
      </c>
      <c r="Q628" s="273">
        <f t="shared" si="210"/>
        <v>92741</v>
      </c>
      <c r="R628" s="86">
        <f t="shared" si="223"/>
        <v>-1093</v>
      </c>
      <c r="S628" s="86">
        <f t="shared" si="223"/>
        <v>91648</v>
      </c>
    </row>
    <row r="629" spans="2:19" x14ac:dyDescent="0.2">
      <c r="B629" s="83">
        <f t="shared" si="216"/>
        <v>33</v>
      </c>
      <c r="C629" s="7"/>
      <c r="D629" s="7"/>
      <c r="E629" s="7"/>
      <c r="F629" s="25" t="s">
        <v>203</v>
      </c>
      <c r="G629" s="7">
        <v>620</v>
      </c>
      <c r="H629" s="7" t="s">
        <v>136</v>
      </c>
      <c r="I629" s="23">
        <f>33362+2070</f>
        <v>35432</v>
      </c>
      <c r="J629" s="23">
        <v>-273</v>
      </c>
      <c r="K629" s="23">
        <f t="shared" si="213"/>
        <v>35159</v>
      </c>
      <c r="M629" s="23"/>
      <c r="N629" s="23"/>
      <c r="O629" s="86">
        <f t="shared" si="215"/>
        <v>0</v>
      </c>
      <c r="Q629" s="273">
        <f t="shared" si="210"/>
        <v>35432</v>
      </c>
      <c r="R629" s="86">
        <f t="shared" ref="R629:S644" si="229">J629+N629</f>
        <v>-273</v>
      </c>
      <c r="S629" s="86">
        <f t="shared" si="229"/>
        <v>35159</v>
      </c>
    </row>
    <row r="630" spans="2:19" x14ac:dyDescent="0.2">
      <c r="B630" s="83">
        <f t="shared" si="216"/>
        <v>34</v>
      </c>
      <c r="C630" s="7"/>
      <c r="D630" s="7"/>
      <c r="E630" s="7"/>
      <c r="F630" s="25" t="s">
        <v>203</v>
      </c>
      <c r="G630" s="7">
        <v>630</v>
      </c>
      <c r="H630" s="7" t="s">
        <v>133</v>
      </c>
      <c r="I630" s="23">
        <f>SUM(I631:I634)</f>
        <v>26076</v>
      </c>
      <c r="J630" s="23">
        <f t="shared" ref="J630" si="230">SUM(J631:J634)</f>
        <v>1802</v>
      </c>
      <c r="K630" s="23">
        <f t="shared" si="213"/>
        <v>27878</v>
      </c>
      <c r="M630" s="23"/>
      <c r="N630" s="23"/>
      <c r="O630" s="86">
        <f t="shared" si="215"/>
        <v>0</v>
      </c>
      <c r="Q630" s="273">
        <f t="shared" si="210"/>
        <v>26076</v>
      </c>
      <c r="R630" s="86">
        <f t="shared" si="229"/>
        <v>1802</v>
      </c>
      <c r="S630" s="86">
        <f t="shared" si="229"/>
        <v>27878</v>
      </c>
    </row>
    <row r="631" spans="2:19" x14ac:dyDescent="0.2">
      <c r="B631" s="83">
        <f t="shared" si="216"/>
        <v>35</v>
      </c>
      <c r="C631" s="3"/>
      <c r="D631" s="3"/>
      <c r="E631" s="3"/>
      <c r="F631" s="26" t="s">
        <v>203</v>
      </c>
      <c r="G631" s="3">
        <v>632</v>
      </c>
      <c r="H631" s="3" t="s">
        <v>146</v>
      </c>
      <c r="I631" s="19">
        <v>15100</v>
      </c>
      <c r="J631" s="19"/>
      <c r="K631" s="19">
        <f t="shared" si="213"/>
        <v>15100</v>
      </c>
      <c r="M631" s="19"/>
      <c r="N631" s="19"/>
      <c r="O631" s="87">
        <f t="shared" si="215"/>
        <v>0</v>
      </c>
      <c r="Q631" s="274">
        <f t="shared" si="210"/>
        <v>15100</v>
      </c>
      <c r="R631" s="87">
        <f t="shared" si="229"/>
        <v>0</v>
      </c>
      <c r="S631" s="87">
        <f t="shared" si="229"/>
        <v>15100</v>
      </c>
    </row>
    <row r="632" spans="2:19" x14ac:dyDescent="0.2">
      <c r="B632" s="83">
        <f t="shared" si="216"/>
        <v>36</v>
      </c>
      <c r="C632" s="3"/>
      <c r="D632" s="3"/>
      <c r="E632" s="3"/>
      <c r="F632" s="26" t="s">
        <v>203</v>
      </c>
      <c r="G632" s="3">
        <v>633</v>
      </c>
      <c r="H632" s="3" t="s">
        <v>137</v>
      </c>
      <c r="I632" s="19">
        <v>6536</v>
      </c>
      <c r="J632" s="19">
        <v>1802</v>
      </c>
      <c r="K632" s="19">
        <f t="shared" si="213"/>
        <v>8338</v>
      </c>
      <c r="M632" s="19"/>
      <c r="N632" s="19"/>
      <c r="O632" s="87">
        <f t="shared" si="215"/>
        <v>0</v>
      </c>
      <c r="Q632" s="274">
        <f t="shared" si="210"/>
        <v>6536</v>
      </c>
      <c r="R632" s="87">
        <f t="shared" si="229"/>
        <v>1802</v>
      </c>
      <c r="S632" s="87">
        <f t="shared" si="229"/>
        <v>8338</v>
      </c>
    </row>
    <row r="633" spans="2:19" x14ac:dyDescent="0.2">
      <c r="B633" s="83">
        <f t="shared" si="216"/>
        <v>37</v>
      </c>
      <c r="C633" s="3"/>
      <c r="D633" s="3"/>
      <c r="E633" s="3"/>
      <c r="F633" s="26" t="s">
        <v>203</v>
      </c>
      <c r="G633" s="3">
        <v>635</v>
      </c>
      <c r="H633" s="3" t="s">
        <v>145</v>
      </c>
      <c r="I633" s="19">
        <v>1700</v>
      </c>
      <c r="J633" s="19"/>
      <c r="K633" s="19">
        <f t="shared" si="213"/>
        <v>1700</v>
      </c>
      <c r="M633" s="19"/>
      <c r="N633" s="19"/>
      <c r="O633" s="87">
        <f t="shared" si="215"/>
        <v>0</v>
      </c>
      <c r="Q633" s="274">
        <f t="shared" si="210"/>
        <v>1700</v>
      </c>
      <c r="R633" s="87">
        <f t="shared" si="229"/>
        <v>0</v>
      </c>
      <c r="S633" s="87">
        <f t="shared" si="229"/>
        <v>1700</v>
      </c>
    </row>
    <row r="634" spans="2:19" x14ac:dyDescent="0.2">
      <c r="B634" s="83">
        <f t="shared" si="216"/>
        <v>38</v>
      </c>
      <c r="C634" s="3"/>
      <c r="D634" s="3"/>
      <c r="E634" s="3"/>
      <c r="F634" s="26" t="s">
        <v>203</v>
      </c>
      <c r="G634" s="3">
        <v>637</v>
      </c>
      <c r="H634" s="3" t="s">
        <v>134</v>
      </c>
      <c r="I634" s="19">
        <v>2740</v>
      </c>
      <c r="J634" s="19"/>
      <c r="K634" s="19">
        <f t="shared" si="213"/>
        <v>2740</v>
      </c>
      <c r="M634" s="19"/>
      <c r="N634" s="19"/>
      <c r="O634" s="87">
        <f t="shared" si="215"/>
        <v>0</v>
      </c>
      <c r="Q634" s="274">
        <f t="shared" si="210"/>
        <v>2740</v>
      </c>
      <c r="R634" s="87">
        <f t="shared" si="229"/>
        <v>0</v>
      </c>
      <c r="S634" s="87">
        <f t="shared" si="229"/>
        <v>2740</v>
      </c>
    </row>
    <row r="635" spans="2:19" x14ac:dyDescent="0.2">
      <c r="B635" s="83">
        <f t="shared" si="216"/>
        <v>39</v>
      </c>
      <c r="C635" s="7"/>
      <c r="D635" s="7"/>
      <c r="E635" s="7"/>
      <c r="F635" s="25" t="s">
        <v>203</v>
      </c>
      <c r="G635" s="7">
        <v>640</v>
      </c>
      <c r="H635" s="7" t="s">
        <v>141</v>
      </c>
      <c r="I635" s="23">
        <v>3614</v>
      </c>
      <c r="J635" s="23"/>
      <c r="K635" s="23">
        <f t="shared" si="213"/>
        <v>3614</v>
      </c>
      <c r="M635" s="23"/>
      <c r="N635" s="23"/>
      <c r="O635" s="86">
        <f t="shared" si="215"/>
        <v>0</v>
      </c>
      <c r="Q635" s="273">
        <f t="shared" si="210"/>
        <v>3614</v>
      </c>
      <c r="R635" s="86">
        <f t="shared" si="229"/>
        <v>0</v>
      </c>
      <c r="S635" s="86">
        <f t="shared" si="229"/>
        <v>3614</v>
      </c>
    </row>
    <row r="636" spans="2:19" x14ac:dyDescent="0.2">
      <c r="B636" s="83">
        <f t="shared" si="216"/>
        <v>40</v>
      </c>
      <c r="C636" s="6"/>
      <c r="D636" s="6"/>
      <c r="E636" s="6" t="s">
        <v>100</v>
      </c>
      <c r="F636" s="29"/>
      <c r="G636" s="6"/>
      <c r="H636" s="6" t="s">
        <v>241</v>
      </c>
      <c r="I636" s="41">
        <f>I637+I638+I639+I644</f>
        <v>298920</v>
      </c>
      <c r="J636" s="41">
        <f t="shared" ref="J636" si="231">J637+J638+J639+J644</f>
        <v>387</v>
      </c>
      <c r="K636" s="41">
        <f t="shared" si="213"/>
        <v>299307</v>
      </c>
      <c r="M636" s="41">
        <v>0</v>
      </c>
      <c r="N636" s="41">
        <v>0</v>
      </c>
      <c r="O636" s="100">
        <f t="shared" si="215"/>
        <v>0</v>
      </c>
      <c r="Q636" s="318">
        <f t="shared" si="210"/>
        <v>298920</v>
      </c>
      <c r="R636" s="100">
        <f t="shared" si="229"/>
        <v>387</v>
      </c>
      <c r="S636" s="100">
        <f t="shared" si="229"/>
        <v>299307</v>
      </c>
    </row>
    <row r="637" spans="2:19" x14ac:dyDescent="0.2">
      <c r="B637" s="83">
        <f t="shared" si="216"/>
        <v>41</v>
      </c>
      <c r="C637" s="7"/>
      <c r="D637" s="7"/>
      <c r="E637" s="7"/>
      <c r="F637" s="25" t="s">
        <v>203</v>
      </c>
      <c r="G637" s="7">
        <v>610</v>
      </c>
      <c r="H637" s="7" t="s">
        <v>143</v>
      </c>
      <c r="I637" s="23">
        <f>154811+10432</f>
        <v>165243</v>
      </c>
      <c r="J637" s="23">
        <f>50-3134</f>
        <v>-3084</v>
      </c>
      <c r="K637" s="23">
        <f t="shared" si="213"/>
        <v>162159</v>
      </c>
      <c r="M637" s="23"/>
      <c r="N637" s="23"/>
      <c r="O637" s="86">
        <f t="shared" si="215"/>
        <v>0</v>
      </c>
      <c r="Q637" s="273">
        <f t="shared" si="210"/>
        <v>165243</v>
      </c>
      <c r="R637" s="86">
        <f t="shared" si="229"/>
        <v>-3084</v>
      </c>
      <c r="S637" s="86">
        <f t="shared" si="229"/>
        <v>162159</v>
      </c>
    </row>
    <row r="638" spans="2:19" x14ac:dyDescent="0.2">
      <c r="B638" s="83">
        <f t="shared" si="216"/>
        <v>42</v>
      </c>
      <c r="C638" s="7"/>
      <c r="D638" s="7"/>
      <c r="E638" s="7"/>
      <c r="F638" s="25" t="s">
        <v>203</v>
      </c>
      <c r="G638" s="7">
        <v>620</v>
      </c>
      <c r="H638" s="7" t="s">
        <v>136</v>
      </c>
      <c r="I638" s="23">
        <f>60222+3855</f>
        <v>64077</v>
      </c>
      <c r="J638" s="23">
        <f>10-1096</f>
        <v>-1086</v>
      </c>
      <c r="K638" s="23">
        <f t="shared" si="213"/>
        <v>62991</v>
      </c>
      <c r="M638" s="23"/>
      <c r="N638" s="23"/>
      <c r="O638" s="86">
        <f t="shared" si="215"/>
        <v>0</v>
      </c>
      <c r="Q638" s="273">
        <f t="shared" si="210"/>
        <v>64077</v>
      </c>
      <c r="R638" s="86">
        <f t="shared" si="229"/>
        <v>-1086</v>
      </c>
      <c r="S638" s="86">
        <f t="shared" si="229"/>
        <v>62991</v>
      </c>
    </row>
    <row r="639" spans="2:19" x14ac:dyDescent="0.2">
      <c r="B639" s="83">
        <f t="shared" si="216"/>
        <v>43</v>
      </c>
      <c r="C639" s="7"/>
      <c r="D639" s="7"/>
      <c r="E639" s="7"/>
      <c r="F639" s="25" t="s">
        <v>203</v>
      </c>
      <c r="G639" s="7">
        <v>630</v>
      </c>
      <c r="H639" s="7" t="s">
        <v>133</v>
      </c>
      <c r="I639" s="23">
        <f>SUM(I640:I643)</f>
        <v>61159</v>
      </c>
      <c r="J639" s="23">
        <f t="shared" ref="J639" si="232">SUM(J640:J643)</f>
        <v>4557</v>
      </c>
      <c r="K639" s="23">
        <f t="shared" si="213"/>
        <v>65716</v>
      </c>
      <c r="M639" s="23"/>
      <c r="N639" s="23"/>
      <c r="O639" s="86">
        <f t="shared" si="215"/>
        <v>0</v>
      </c>
      <c r="Q639" s="273">
        <f t="shared" si="210"/>
        <v>61159</v>
      </c>
      <c r="R639" s="86">
        <f t="shared" si="229"/>
        <v>4557</v>
      </c>
      <c r="S639" s="86">
        <f t="shared" si="229"/>
        <v>65716</v>
      </c>
    </row>
    <row r="640" spans="2:19" x14ac:dyDescent="0.2">
      <c r="B640" s="83">
        <f t="shared" si="216"/>
        <v>44</v>
      </c>
      <c r="C640" s="3"/>
      <c r="D640" s="3"/>
      <c r="E640" s="3"/>
      <c r="F640" s="26" t="s">
        <v>203</v>
      </c>
      <c r="G640" s="3">
        <v>632</v>
      </c>
      <c r="H640" s="3" t="s">
        <v>146</v>
      </c>
      <c r="I640" s="19">
        <v>36700</v>
      </c>
      <c r="J640" s="19"/>
      <c r="K640" s="19">
        <f t="shared" si="213"/>
        <v>36700</v>
      </c>
      <c r="M640" s="19"/>
      <c r="N640" s="19"/>
      <c r="O640" s="87">
        <f t="shared" si="215"/>
        <v>0</v>
      </c>
      <c r="Q640" s="274">
        <f t="shared" si="210"/>
        <v>36700</v>
      </c>
      <c r="R640" s="87">
        <f t="shared" si="229"/>
        <v>0</v>
      </c>
      <c r="S640" s="87">
        <f t="shared" si="229"/>
        <v>36700</v>
      </c>
    </row>
    <row r="641" spans="2:19" x14ac:dyDescent="0.2">
      <c r="B641" s="83">
        <f t="shared" si="216"/>
        <v>45</v>
      </c>
      <c r="C641" s="3"/>
      <c r="D641" s="3"/>
      <c r="E641" s="3"/>
      <c r="F641" s="26" t="s">
        <v>203</v>
      </c>
      <c r="G641" s="3">
        <v>633</v>
      </c>
      <c r="H641" s="3" t="s">
        <v>137</v>
      </c>
      <c r="I641" s="19">
        <v>14399</v>
      </c>
      <c r="J641" s="19">
        <v>4557</v>
      </c>
      <c r="K641" s="19">
        <f t="shared" si="213"/>
        <v>18956</v>
      </c>
      <c r="M641" s="19"/>
      <c r="N641" s="19"/>
      <c r="O641" s="87">
        <f t="shared" si="215"/>
        <v>0</v>
      </c>
      <c r="Q641" s="274">
        <f t="shared" si="210"/>
        <v>14399</v>
      </c>
      <c r="R641" s="87">
        <f t="shared" si="229"/>
        <v>4557</v>
      </c>
      <c r="S641" s="87">
        <f t="shared" si="229"/>
        <v>18956</v>
      </c>
    </row>
    <row r="642" spans="2:19" x14ac:dyDescent="0.2">
      <c r="B642" s="83">
        <f t="shared" si="216"/>
        <v>46</v>
      </c>
      <c r="C642" s="3"/>
      <c r="D642" s="3"/>
      <c r="E642" s="3"/>
      <c r="F642" s="26" t="s">
        <v>203</v>
      </c>
      <c r="G642" s="3">
        <v>635</v>
      </c>
      <c r="H642" s="3" t="s">
        <v>145</v>
      </c>
      <c r="I642" s="19">
        <v>5000</v>
      </c>
      <c r="J642" s="19"/>
      <c r="K642" s="19">
        <f t="shared" si="213"/>
        <v>5000</v>
      </c>
      <c r="M642" s="19"/>
      <c r="N642" s="19"/>
      <c r="O642" s="87">
        <f t="shared" si="215"/>
        <v>0</v>
      </c>
      <c r="Q642" s="274">
        <f t="shared" si="210"/>
        <v>5000</v>
      </c>
      <c r="R642" s="87">
        <f t="shared" si="229"/>
        <v>0</v>
      </c>
      <c r="S642" s="87">
        <f t="shared" si="229"/>
        <v>5000</v>
      </c>
    </row>
    <row r="643" spans="2:19" x14ac:dyDescent="0.2">
      <c r="B643" s="83">
        <f t="shared" si="216"/>
        <v>47</v>
      </c>
      <c r="C643" s="3"/>
      <c r="D643" s="3"/>
      <c r="E643" s="3"/>
      <c r="F643" s="26" t="s">
        <v>203</v>
      </c>
      <c r="G643" s="3">
        <v>637</v>
      </c>
      <c r="H643" s="3" t="s">
        <v>134</v>
      </c>
      <c r="I643" s="19">
        <v>5060</v>
      </c>
      <c r="J643" s="19"/>
      <c r="K643" s="19">
        <f t="shared" si="213"/>
        <v>5060</v>
      </c>
      <c r="M643" s="19"/>
      <c r="N643" s="19"/>
      <c r="O643" s="87">
        <f t="shared" si="215"/>
        <v>0</v>
      </c>
      <c r="Q643" s="274">
        <f t="shared" si="210"/>
        <v>5060</v>
      </c>
      <c r="R643" s="87">
        <f t="shared" si="229"/>
        <v>0</v>
      </c>
      <c r="S643" s="87">
        <f t="shared" si="229"/>
        <v>5060</v>
      </c>
    </row>
    <row r="644" spans="2:19" x14ac:dyDescent="0.2">
      <c r="B644" s="83">
        <f t="shared" si="216"/>
        <v>48</v>
      </c>
      <c r="C644" s="7"/>
      <c r="D644" s="7"/>
      <c r="E644" s="7"/>
      <c r="F644" s="25" t="s">
        <v>203</v>
      </c>
      <c r="G644" s="7">
        <v>640</v>
      </c>
      <c r="H644" s="7" t="s">
        <v>141</v>
      </c>
      <c r="I644" s="23">
        <v>8441</v>
      </c>
      <c r="J644" s="23"/>
      <c r="K644" s="23">
        <f t="shared" si="213"/>
        <v>8441</v>
      </c>
      <c r="M644" s="23"/>
      <c r="N644" s="23"/>
      <c r="O644" s="86">
        <f t="shared" si="215"/>
        <v>0</v>
      </c>
      <c r="Q644" s="273">
        <f t="shared" si="210"/>
        <v>8441</v>
      </c>
      <c r="R644" s="86">
        <f t="shared" si="229"/>
        <v>0</v>
      </c>
      <c r="S644" s="86">
        <f t="shared" si="229"/>
        <v>8441</v>
      </c>
    </row>
    <row r="645" spans="2:19" x14ac:dyDescent="0.2">
      <c r="B645" s="83">
        <f t="shared" si="216"/>
        <v>49</v>
      </c>
      <c r="C645" s="6"/>
      <c r="D645" s="6"/>
      <c r="E645" s="6" t="s">
        <v>93</v>
      </c>
      <c r="F645" s="29"/>
      <c r="G645" s="6"/>
      <c r="H645" s="6" t="s">
        <v>71</v>
      </c>
      <c r="I645" s="41">
        <f>I646+I647+I648</f>
        <v>164802</v>
      </c>
      <c r="J645" s="41">
        <f t="shared" ref="J645" si="233">J646+J647+J648</f>
        <v>0</v>
      </c>
      <c r="K645" s="41">
        <f t="shared" si="213"/>
        <v>164802</v>
      </c>
      <c r="M645" s="41">
        <v>0</v>
      </c>
      <c r="N645" s="41">
        <v>0</v>
      </c>
      <c r="O645" s="100">
        <f t="shared" si="215"/>
        <v>0</v>
      </c>
      <c r="Q645" s="318">
        <f t="shared" si="210"/>
        <v>164802</v>
      </c>
      <c r="R645" s="100">
        <f t="shared" ref="R645:S660" si="234">J645+N645</f>
        <v>0</v>
      </c>
      <c r="S645" s="100">
        <f t="shared" si="234"/>
        <v>164802</v>
      </c>
    </row>
    <row r="646" spans="2:19" x14ac:dyDescent="0.2">
      <c r="B646" s="83">
        <f t="shared" si="216"/>
        <v>50</v>
      </c>
      <c r="C646" s="7"/>
      <c r="D646" s="7"/>
      <c r="E646" s="7"/>
      <c r="F646" s="25" t="s">
        <v>203</v>
      </c>
      <c r="G646" s="7">
        <v>610</v>
      </c>
      <c r="H646" s="7" t="s">
        <v>143</v>
      </c>
      <c r="I646" s="23">
        <f>86333+5222</f>
        <v>91555</v>
      </c>
      <c r="J646" s="23">
        <v>-1749</v>
      </c>
      <c r="K646" s="23">
        <f t="shared" si="213"/>
        <v>89806</v>
      </c>
      <c r="M646" s="23"/>
      <c r="N646" s="23"/>
      <c r="O646" s="86">
        <f t="shared" si="215"/>
        <v>0</v>
      </c>
      <c r="Q646" s="273">
        <f t="shared" si="210"/>
        <v>91555</v>
      </c>
      <c r="R646" s="86">
        <f t="shared" si="234"/>
        <v>-1749</v>
      </c>
      <c r="S646" s="86">
        <f t="shared" si="234"/>
        <v>89806</v>
      </c>
    </row>
    <row r="647" spans="2:19" x14ac:dyDescent="0.2">
      <c r="B647" s="83">
        <f t="shared" si="216"/>
        <v>51</v>
      </c>
      <c r="C647" s="7"/>
      <c r="D647" s="7"/>
      <c r="E647" s="7"/>
      <c r="F647" s="25" t="s">
        <v>203</v>
      </c>
      <c r="G647" s="7">
        <v>620</v>
      </c>
      <c r="H647" s="7" t="s">
        <v>136</v>
      </c>
      <c r="I647" s="23">
        <f>31793+1930</f>
        <v>33723</v>
      </c>
      <c r="J647" s="23">
        <v>-611</v>
      </c>
      <c r="K647" s="23">
        <f t="shared" si="213"/>
        <v>33112</v>
      </c>
      <c r="M647" s="23"/>
      <c r="N647" s="23"/>
      <c r="O647" s="86">
        <f t="shared" si="215"/>
        <v>0</v>
      </c>
      <c r="Q647" s="273">
        <f t="shared" si="210"/>
        <v>33723</v>
      </c>
      <c r="R647" s="86">
        <f t="shared" si="234"/>
        <v>-611</v>
      </c>
      <c r="S647" s="86">
        <f t="shared" si="234"/>
        <v>33112</v>
      </c>
    </row>
    <row r="648" spans="2:19" x14ac:dyDescent="0.2">
      <c r="B648" s="83">
        <f t="shared" si="216"/>
        <v>52</v>
      </c>
      <c r="C648" s="7"/>
      <c r="D648" s="7"/>
      <c r="E648" s="7"/>
      <c r="F648" s="25" t="s">
        <v>203</v>
      </c>
      <c r="G648" s="7">
        <v>630</v>
      </c>
      <c r="H648" s="7" t="s">
        <v>133</v>
      </c>
      <c r="I648" s="23">
        <f>SUM(I649:I652)</f>
        <v>39524</v>
      </c>
      <c r="J648" s="23">
        <f t="shared" ref="J648" si="235">SUM(J649:J652)</f>
        <v>2360</v>
      </c>
      <c r="K648" s="23">
        <f t="shared" si="213"/>
        <v>41884</v>
      </c>
      <c r="M648" s="23"/>
      <c r="N648" s="23"/>
      <c r="O648" s="86">
        <f t="shared" si="215"/>
        <v>0</v>
      </c>
      <c r="Q648" s="273">
        <f t="shared" si="210"/>
        <v>39524</v>
      </c>
      <c r="R648" s="86">
        <f t="shared" si="234"/>
        <v>2360</v>
      </c>
      <c r="S648" s="86">
        <f t="shared" si="234"/>
        <v>41884</v>
      </c>
    </row>
    <row r="649" spans="2:19" x14ac:dyDescent="0.2">
      <c r="B649" s="83">
        <f t="shared" si="216"/>
        <v>53</v>
      </c>
      <c r="C649" s="3"/>
      <c r="D649" s="3"/>
      <c r="E649" s="3"/>
      <c r="F649" s="26" t="s">
        <v>203</v>
      </c>
      <c r="G649" s="3">
        <v>632</v>
      </c>
      <c r="H649" s="3" t="s">
        <v>146</v>
      </c>
      <c r="I649" s="19">
        <v>18320</v>
      </c>
      <c r="J649" s="19"/>
      <c r="K649" s="19">
        <f t="shared" si="213"/>
        <v>18320</v>
      </c>
      <c r="M649" s="19"/>
      <c r="N649" s="19"/>
      <c r="O649" s="87">
        <f t="shared" si="215"/>
        <v>0</v>
      </c>
      <c r="Q649" s="274">
        <f t="shared" si="210"/>
        <v>18320</v>
      </c>
      <c r="R649" s="87">
        <f t="shared" si="234"/>
        <v>0</v>
      </c>
      <c r="S649" s="87">
        <f t="shared" si="234"/>
        <v>18320</v>
      </c>
    </row>
    <row r="650" spans="2:19" x14ac:dyDescent="0.2">
      <c r="B650" s="83">
        <f t="shared" si="216"/>
        <v>54</v>
      </c>
      <c r="C650" s="3"/>
      <c r="D650" s="3"/>
      <c r="E650" s="3"/>
      <c r="F650" s="26" t="s">
        <v>203</v>
      </c>
      <c r="G650" s="3">
        <v>633</v>
      </c>
      <c r="H650" s="3" t="s">
        <v>137</v>
      </c>
      <c r="I650" s="19">
        <v>9424</v>
      </c>
      <c r="J650" s="19">
        <v>2360</v>
      </c>
      <c r="K650" s="19">
        <f t="shared" si="213"/>
        <v>11784</v>
      </c>
      <c r="M650" s="19"/>
      <c r="N650" s="19"/>
      <c r="O650" s="87">
        <f t="shared" si="215"/>
        <v>0</v>
      </c>
      <c r="Q650" s="274">
        <f t="shared" si="210"/>
        <v>9424</v>
      </c>
      <c r="R650" s="87">
        <f t="shared" si="234"/>
        <v>2360</v>
      </c>
      <c r="S650" s="87">
        <f t="shared" si="234"/>
        <v>11784</v>
      </c>
    </row>
    <row r="651" spans="2:19" x14ac:dyDescent="0.2">
      <c r="B651" s="83">
        <f t="shared" si="216"/>
        <v>55</v>
      </c>
      <c r="C651" s="3"/>
      <c r="D651" s="3"/>
      <c r="E651" s="3"/>
      <c r="F651" s="26" t="s">
        <v>203</v>
      </c>
      <c r="G651" s="3">
        <v>635</v>
      </c>
      <c r="H651" s="3" t="s">
        <v>145</v>
      </c>
      <c r="I651" s="19">
        <f>6300+3000</f>
        <v>9300</v>
      </c>
      <c r="J651" s="19"/>
      <c r="K651" s="19">
        <f t="shared" si="213"/>
        <v>9300</v>
      </c>
      <c r="M651" s="19"/>
      <c r="N651" s="19"/>
      <c r="O651" s="87">
        <f t="shared" si="215"/>
        <v>0</v>
      </c>
      <c r="Q651" s="274">
        <f t="shared" si="210"/>
        <v>9300</v>
      </c>
      <c r="R651" s="87">
        <f t="shared" si="234"/>
        <v>0</v>
      </c>
      <c r="S651" s="87">
        <f t="shared" si="234"/>
        <v>9300</v>
      </c>
    </row>
    <row r="652" spans="2:19" x14ac:dyDescent="0.2">
      <c r="B652" s="83">
        <f t="shared" si="216"/>
        <v>56</v>
      </c>
      <c r="C652" s="3"/>
      <c r="D652" s="3"/>
      <c r="E652" s="3"/>
      <c r="F652" s="26" t="s">
        <v>203</v>
      </c>
      <c r="G652" s="3">
        <v>637</v>
      </c>
      <c r="H652" s="3" t="s">
        <v>134</v>
      </c>
      <c r="I652" s="19">
        <v>2480</v>
      </c>
      <c r="J652" s="19"/>
      <c r="K652" s="19">
        <f t="shared" si="213"/>
        <v>2480</v>
      </c>
      <c r="M652" s="19"/>
      <c r="N652" s="19"/>
      <c r="O652" s="87">
        <f t="shared" si="215"/>
        <v>0</v>
      </c>
      <c r="Q652" s="274">
        <f t="shared" si="210"/>
        <v>2480</v>
      </c>
      <c r="R652" s="87">
        <f t="shared" si="234"/>
        <v>0</v>
      </c>
      <c r="S652" s="87">
        <f t="shared" si="234"/>
        <v>2480</v>
      </c>
    </row>
    <row r="653" spans="2:19" x14ac:dyDescent="0.2">
      <c r="B653" s="83">
        <f t="shared" si="216"/>
        <v>57</v>
      </c>
      <c r="C653" s="6"/>
      <c r="D653" s="6"/>
      <c r="E653" s="6" t="s">
        <v>104</v>
      </c>
      <c r="F653" s="29"/>
      <c r="G653" s="6"/>
      <c r="H653" s="6" t="s">
        <v>105</v>
      </c>
      <c r="I653" s="41">
        <f>I654+I655+I656</f>
        <v>206142</v>
      </c>
      <c r="J653" s="41">
        <f t="shared" ref="J653" si="236">J654+J655+J656</f>
        <v>-1</v>
      </c>
      <c r="K653" s="41">
        <f t="shared" si="213"/>
        <v>206141</v>
      </c>
      <c r="M653" s="41">
        <v>0</v>
      </c>
      <c r="N653" s="41">
        <v>0</v>
      </c>
      <c r="O653" s="100">
        <f t="shared" si="215"/>
        <v>0</v>
      </c>
      <c r="Q653" s="318">
        <f t="shared" si="210"/>
        <v>206142</v>
      </c>
      <c r="R653" s="100">
        <f t="shared" si="234"/>
        <v>-1</v>
      </c>
      <c r="S653" s="100">
        <f t="shared" si="234"/>
        <v>206141</v>
      </c>
    </row>
    <row r="654" spans="2:19" x14ac:dyDescent="0.2">
      <c r="B654" s="83">
        <f t="shared" si="216"/>
        <v>58</v>
      </c>
      <c r="C654" s="7"/>
      <c r="D654" s="7"/>
      <c r="E654" s="7"/>
      <c r="F654" s="25" t="s">
        <v>203</v>
      </c>
      <c r="G654" s="7">
        <v>610</v>
      </c>
      <c r="H654" s="7" t="s">
        <v>143</v>
      </c>
      <c r="I654" s="23">
        <f>105495+7419</f>
        <v>112914</v>
      </c>
      <c r="J654" s="23">
        <v>-2114</v>
      </c>
      <c r="K654" s="23">
        <f t="shared" si="213"/>
        <v>110800</v>
      </c>
      <c r="M654" s="23"/>
      <c r="N654" s="23"/>
      <c r="O654" s="86">
        <f t="shared" si="215"/>
        <v>0</v>
      </c>
      <c r="Q654" s="273">
        <f t="shared" si="210"/>
        <v>112914</v>
      </c>
      <c r="R654" s="86">
        <f t="shared" si="234"/>
        <v>-2114</v>
      </c>
      <c r="S654" s="86">
        <f t="shared" si="234"/>
        <v>110800</v>
      </c>
    </row>
    <row r="655" spans="2:19" x14ac:dyDescent="0.2">
      <c r="B655" s="83">
        <f t="shared" si="216"/>
        <v>59</v>
      </c>
      <c r="C655" s="7"/>
      <c r="D655" s="7"/>
      <c r="E655" s="7"/>
      <c r="F655" s="25" t="s">
        <v>203</v>
      </c>
      <c r="G655" s="7">
        <v>620</v>
      </c>
      <c r="H655" s="7" t="s">
        <v>136</v>
      </c>
      <c r="I655" s="23">
        <f>38866+2741</f>
        <v>41607</v>
      </c>
      <c r="J655" s="23">
        <v>-739</v>
      </c>
      <c r="K655" s="23">
        <f t="shared" si="213"/>
        <v>40868</v>
      </c>
      <c r="M655" s="23"/>
      <c r="N655" s="23"/>
      <c r="O655" s="86">
        <f t="shared" si="215"/>
        <v>0</v>
      </c>
      <c r="Q655" s="273">
        <f t="shared" si="210"/>
        <v>41607</v>
      </c>
      <c r="R655" s="86">
        <f t="shared" si="234"/>
        <v>-739</v>
      </c>
      <c r="S655" s="86">
        <f t="shared" si="234"/>
        <v>40868</v>
      </c>
    </row>
    <row r="656" spans="2:19" x14ac:dyDescent="0.2">
      <c r="B656" s="83">
        <f t="shared" si="216"/>
        <v>60</v>
      </c>
      <c r="C656" s="7"/>
      <c r="D656" s="7"/>
      <c r="E656" s="7"/>
      <c r="F656" s="25" t="s">
        <v>203</v>
      </c>
      <c r="G656" s="7">
        <v>630</v>
      </c>
      <c r="H656" s="7" t="s">
        <v>133</v>
      </c>
      <c r="I656" s="23">
        <f>SUM(I657:I660)</f>
        <v>51621</v>
      </c>
      <c r="J656" s="23">
        <f t="shared" ref="J656" si="237">SUM(J657:J660)</f>
        <v>2852</v>
      </c>
      <c r="K656" s="23">
        <f t="shared" si="213"/>
        <v>54473</v>
      </c>
      <c r="M656" s="23"/>
      <c r="N656" s="23"/>
      <c r="O656" s="86">
        <f t="shared" si="215"/>
        <v>0</v>
      </c>
      <c r="Q656" s="273">
        <f t="shared" si="210"/>
        <v>51621</v>
      </c>
      <c r="R656" s="86">
        <f t="shared" si="234"/>
        <v>2852</v>
      </c>
      <c r="S656" s="86">
        <f t="shared" si="234"/>
        <v>54473</v>
      </c>
    </row>
    <row r="657" spans="2:19" x14ac:dyDescent="0.2">
      <c r="B657" s="83">
        <f t="shared" si="216"/>
        <v>61</v>
      </c>
      <c r="C657" s="3"/>
      <c r="D657" s="3"/>
      <c r="E657" s="3"/>
      <c r="F657" s="26" t="s">
        <v>203</v>
      </c>
      <c r="G657" s="3">
        <v>632</v>
      </c>
      <c r="H657" s="3" t="s">
        <v>146</v>
      </c>
      <c r="I657" s="19">
        <v>32500</v>
      </c>
      <c r="J657" s="19"/>
      <c r="K657" s="19">
        <f t="shared" si="213"/>
        <v>32500</v>
      </c>
      <c r="M657" s="19"/>
      <c r="N657" s="19"/>
      <c r="O657" s="87">
        <f t="shared" si="215"/>
        <v>0</v>
      </c>
      <c r="Q657" s="274">
        <f t="shared" si="210"/>
        <v>32500</v>
      </c>
      <c r="R657" s="87">
        <f t="shared" si="234"/>
        <v>0</v>
      </c>
      <c r="S657" s="87">
        <f t="shared" si="234"/>
        <v>32500</v>
      </c>
    </row>
    <row r="658" spans="2:19" x14ac:dyDescent="0.2">
      <c r="B658" s="83">
        <f t="shared" si="216"/>
        <v>62</v>
      </c>
      <c r="C658" s="3"/>
      <c r="D658" s="3"/>
      <c r="E658" s="3"/>
      <c r="F658" s="26" t="s">
        <v>203</v>
      </c>
      <c r="G658" s="3">
        <v>633</v>
      </c>
      <c r="H658" s="3" t="s">
        <v>137</v>
      </c>
      <c r="I658" s="19">
        <v>9021</v>
      </c>
      <c r="J658" s="19">
        <v>2852</v>
      </c>
      <c r="K658" s="19">
        <f t="shared" si="213"/>
        <v>11873</v>
      </c>
      <c r="M658" s="19"/>
      <c r="N658" s="19"/>
      <c r="O658" s="87">
        <f t="shared" si="215"/>
        <v>0</v>
      </c>
      <c r="Q658" s="274">
        <f t="shared" si="210"/>
        <v>9021</v>
      </c>
      <c r="R658" s="87">
        <f t="shared" si="234"/>
        <v>2852</v>
      </c>
      <c r="S658" s="87">
        <f t="shared" si="234"/>
        <v>11873</v>
      </c>
    </row>
    <row r="659" spans="2:19" x14ac:dyDescent="0.2">
      <c r="B659" s="83">
        <f t="shared" si="216"/>
        <v>63</v>
      </c>
      <c r="C659" s="3"/>
      <c r="D659" s="3"/>
      <c r="E659" s="3"/>
      <c r="F659" s="26" t="s">
        <v>203</v>
      </c>
      <c r="G659" s="3">
        <v>635</v>
      </c>
      <c r="H659" s="3" t="s">
        <v>145</v>
      </c>
      <c r="I659" s="19">
        <v>7150</v>
      </c>
      <c r="J659" s="19"/>
      <c r="K659" s="19">
        <f t="shared" si="213"/>
        <v>7150</v>
      </c>
      <c r="M659" s="19"/>
      <c r="N659" s="19"/>
      <c r="O659" s="87">
        <f t="shared" si="215"/>
        <v>0</v>
      </c>
      <c r="Q659" s="274">
        <f t="shared" si="210"/>
        <v>7150</v>
      </c>
      <c r="R659" s="87">
        <f t="shared" si="234"/>
        <v>0</v>
      </c>
      <c r="S659" s="87">
        <f t="shared" si="234"/>
        <v>7150</v>
      </c>
    </row>
    <row r="660" spans="2:19" x14ac:dyDescent="0.2">
      <c r="B660" s="83">
        <f t="shared" si="216"/>
        <v>64</v>
      </c>
      <c r="C660" s="3"/>
      <c r="D660" s="3"/>
      <c r="E660" s="3"/>
      <c r="F660" s="26" t="s">
        <v>203</v>
      </c>
      <c r="G660" s="3">
        <v>637</v>
      </c>
      <c r="H660" s="3" t="s">
        <v>134</v>
      </c>
      <c r="I660" s="19">
        <v>2950</v>
      </c>
      <c r="J660" s="19"/>
      <c r="K660" s="19">
        <f t="shared" si="213"/>
        <v>2950</v>
      </c>
      <c r="M660" s="19"/>
      <c r="N660" s="19"/>
      <c r="O660" s="87">
        <f t="shared" si="215"/>
        <v>0</v>
      </c>
      <c r="Q660" s="274">
        <f t="shared" si="210"/>
        <v>2950</v>
      </c>
      <c r="R660" s="87">
        <f t="shared" si="234"/>
        <v>0</v>
      </c>
      <c r="S660" s="87">
        <f t="shared" si="234"/>
        <v>2950</v>
      </c>
    </row>
    <row r="661" spans="2:19" x14ac:dyDescent="0.2">
      <c r="B661" s="83">
        <f t="shared" si="216"/>
        <v>65</v>
      </c>
      <c r="C661" s="6"/>
      <c r="D661" s="6"/>
      <c r="E661" s="6" t="s">
        <v>107</v>
      </c>
      <c r="F661" s="29"/>
      <c r="G661" s="6"/>
      <c r="H661" s="6" t="s">
        <v>108</v>
      </c>
      <c r="I661" s="41">
        <f>I662+I663+I664+I669</f>
        <v>200478</v>
      </c>
      <c r="J661" s="41">
        <f t="shared" ref="J661" si="238">J662+J663+J664+J669</f>
        <v>163</v>
      </c>
      <c r="K661" s="41">
        <f t="shared" si="213"/>
        <v>200641</v>
      </c>
      <c r="M661" s="41">
        <v>0</v>
      </c>
      <c r="N661" s="41">
        <v>0</v>
      </c>
      <c r="O661" s="100">
        <f t="shared" si="215"/>
        <v>0</v>
      </c>
      <c r="Q661" s="318">
        <f t="shared" ref="Q661:Q724" si="239">I661+M661</f>
        <v>200478</v>
      </c>
      <c r="R661" s="100">
        <f t="shared" ref="R661:S676" si="240">J661+N661</f>
        <v>163</v>
      </c>
      <c r="S661" s="100">
        <f t="shared" si="240"/>
        <v>200641</v>
      </c>
    </row>
    <row r="662" spans="2:19" x14ac:dyDescent="0.2">
      <c r="B662" s="83">
        <f t="shared" si="216"/>
        <v>66</v>
      </c>
      <c r="C662" s="7"/>
      <c r="D662" s="7"/>
      <c r="E662" s="7"/>
      <c r="F662" s="25" t="s">
        <v>203</v>
      </c>
      <c r="G662" s="7">
        <v>610</v>
      </c>
      <c r="H662" s="7" t="s">
        <v>143</v>
      </c>
      <c r="I662" s="23">
        <f>106642+7835</f>
        <v>114477</v>
      </c>
      <c r="J662" s="23">
        <v>-2186</v>
      </c>
      <c r="K662" s="23">
        <f t="shared" ref="K662:K725" si="241">I662+J662</f>
        <v>112291</v>
      </c>
      <c r="M662" s="23"/>
      <c r="N662" s="23"/>
      <c r="O662" s="86">
        <f t="shared" ref="O662:O725" si="242">M662+N662</f>
        <v>0</v>
      </c>
      <c r="Q662" s="273">
        <f t="shared" si="239"/>
        <v>114477</v>
      </c>
      <c r="R662" s="86">
        <f t="shared" si="240"/>
        <v>-2186</v>
      </c>
      <c r="S662" s="86">
        <f t="shared" si="240"/>
        <v>112291</v>
      </c>
    </row>
    <row r="663" spans="2:19" x14ac:dyDescent="0.2">
      <c r="B663" s="83">
        <f t="shared" ref="B663:B726" si="243">B662+1</f>
        <v>67</v>
      </c>
      <c r="C663" s="7"/>
      <c r="D663" s="7"/>
      <c r="E663" s="7"/>
      <c r="F663" s="25" t="s">
        <v>203</v>
      </c>
      <c r="G663" s="7">
        <v>620</v>
      </c>
      <c r="H663" s="7" t="s">
        <v>136</v>
      </c>
      <c r="I663" s="23">
        <f>39288+2895</f>
        <v>42183</v>
      </c>
      <c r="J663" s="23">
        <v>-764</v>
      </c>
      <c r="K663" s="23">
        <f t="shared" si="241"/>
        <v>41419</v>
      </c>
      <c r="M663" s="23"/>
      <c r="N663" s="23"/>
      <c r="O663" s="86">
        <f t="shared" si="242"/>
        <v>0</v>
      </c>
      <c r="Q663" s="273">
        <f t="shared" si="239"/>
        <v>42183</v>
      </c>
      <c r="R663" s="86">
        <f t="shared" si="240"/>
        <v>-764</v>
      </c>
      <c r="S663" s="86">
        <f t="shared" si="240"/>
        <v>41419</v>
      </c>
    </row>
    <row r="664" spans="2:19" x14ac:dyDescent="0.2">
      <c r="B664" s="83">
        <f t="shared" si="243"/>
        <v>68</v>
      </c>
      <c r="C664" s="7"/>
      <c r="D664" s="7"/>
      <c r="E664" s="7"/>
      <c r="F664" s="25" t="s">
        <v>203</v>
      </c>
      <c r="G664" s="7">
        <v>630</v>
      </c>
      <c r="H664" s="7" t="s">
        <v>133</v>
      </c>
      <c r="I664" s="23">
        <f>SUM(I665:I668)</f>
        <v>40648</v>
      </c>
      <c r="J664" s="23">
        <f t="shared" ref="J664" si="244">SUM(J665:J668)</f>
        <v>3113</v>
      </c>
      <c r="K664" s="23">
        <f t="shared" si="241"/>
        <v>43761</v>
      </c>
      <c r="M664" s="23"/>
      <c r="N664" s="23"/>
      <c r="O664" s="86">
        <f t="shared" si="242"/>
        <v>0</v>
      </c>
      <c r="Q664" s="273">
        <f t="shared" si="239"/>
        <v>40648</v>
      </c>
      <c r="R664" s="86">
        <f t="shared" si="240"/>
        <v>3113</v>
      </c>
      <c r="S664" s="86">
        <f t="shared" si="240"/>
        <v>43761</v>
      </c>
    </row>
    <row r="665" spans="2:19" x14ac:dyDescent="0.2">
      <c r="B665" s="83">
        <f t="shared" si="243"/>
        <v>69</v>
      </c>
      <c r="C665" s="3"/>
      <c r="D665" s="3"/>
      <c r="E665" s="3"/>
      <c r="F665" s="26" t="s">
        <v>203</v>
      </c>
      <c r="G665" s="3">
        <v>632</v>
      </c>
      <c r="H665" s="3" t="s">
        <v>146</v>
      </c>
      <c r="I665" s="19">
        <v>24560</v>
      </c>
      <c r="J665" s="19"/>
      <c r="K665" s="19">
        <f t="shared" si="241"/>
        <v>24560</v>
      </c>
      <c r="M665" s="19"/>
      <c r="N665" s="19"/>
      <c r="O665" s="87">
        <f t="shared" si="242"/>
        <v>0</v>
      </c>
      <c r="Q665" s="274">
        <f t="shared" si="239"/>
        <v>24560</v>
      </c>
      <c r="R665" s="87">
        <f t="shared" si="240"/>
        <v>0</v>
      </c>
      <c r="S665" s="87">
        <f t="shared" si="240"/>
        <v>24560</v>
      </c>
    </row>
    <row r="666" spans="2:19" x14ac:dyDescent="0.2">
      <c r="B666" s="83">
        <f t="shared" si="243"/>
        <v>70</v>
      </c>
      <c r="C666" s="3"/>
      <c r="D666" s="3"/>
      <c r="E666" s="3"/>
      <c r="F666" s="26" t="s">
        <v>203</v>
      </c>
      <c r="G666" s="3">
        <v>633</v>
      </c>
      <c r="H666" s="3" t="s">
        <v>137</v>
      </c>
      <c r="I666" s="19">
        <v>9768</v>
      </c>
      <c r="J666" s="19">
        <v>3113</v>
      </c>
      <c r="K666" s="19">
        <f t="shared" si="241"/>
        <v>12881</v>
      </c>
      <c r="M666" s="19"/>
      <c r="N666" s="19"/>
      <c r="O666" s="87">
        <f t="shared" si="242"/>
        <v>0</v>
      </c>
      <c r="Q666" s="274">
        <f t="shared" si="239"/>
        <v>9768</v>
      </c>
      <c r="R666" s="87">
        <f t="shared" si="240"/>
        <v>3113</v>
      </c>
      <c r="S666" s="87">
        <f t="shared" si="240"/>
        <v>12881</v>
      </c>
    </row>
    <row r="667" spans="2:19" x14ac:dyDescent="0.2">
      <c r="B667" s="83">
        <f t="shared" si="243"/>
        <v>71</v>
      </c>
      <c r="C667" s="3"/>
      <c r="D667" s="3"/>
      <c r="E667" s="3"/>
      <c r="F667" s="26" t="s">
        <v>203</v>
      </c>
      <c r="G667" s="3">
        <v>635</v>
      </c>
      <c r="H667" s="3" t="s">
        <v>145</v>
      </c>
      <c r="I667" s="19">
        <v>3100</v>
      </c>
      <c r="J667" s="19"/>
      <c r="K667" s="19">
        <f t="shared" si="241"/>
        <v>3100</v>
      </c>
      <c r="M667" s="19"/>
      <c r="N667" s="19"/>
      <c r="O667" s="87">
        <f t="shared" si="242"/>
        <v>0</v>
      </c>
      <c r="Q667" s="274">
        <f t="shared" si="239"/>
        <v>3100</v>
      </c>
      <c r="R667" s="87">
        <f t="shared" si="240"/>
        <v>0</v>
      </c>
      <c r="S667" s="87">
        <f t="shared" si="240"/>
        <v>3100</v>
      </c>
    </row>
    <row r="668" spans="2:19" x14ac:dyDescent="0.2">
      <c r="B668" s="83">
        <f t="shared" si="243"/>
        <v>72</v>
      </c>
      <c r="C668" s="3"/>
      <c r="D668" s="3"/>
      <c r="E668" s="3"/>
      <c r="F668" s="26" t="s">
        <v>203</v>
      </c>
      <c r="G668" s="3">
        <v>637</v>
      </c>
      <c r="H668" s="3" t="s">
        <v>134</v>
      </c>
      <c r="I668" s="19">
        <v>3220</v>
      </c>
      <c r="J668" s="19"/>
      <c r="K668" s="19">
        <f t="shared" si="241"/>
        <v>3220</v>
      </c>
      <c r="M668" s="19"/>
      <c r="N668" s="19"/>
      <c r="O668" s="87">
        <f t="shared" si="242"/>
        <v>0</v>
      </c>
      <c r="Q668" s="274">
        <f t="shared" si="239"/>
        <v>3220</v>
      </c>
      <c r="R668" s="87">
        <f t="shared" si="240"/>
        <v>0</v>
      </c>
      <c r="S668" s="87">
        <f t="shared" si="240"/>
        <v>3220</v>
      </c>
    </row>
    <row r="669" spans="2:19" x14ac:dyDescent="0.2">
      <c r="B669" s="83">
        <f t="shared" si="243"/>
        <v>73</v>
      </c>
      <c r="C669" s="7"/>
      <c r="D669" s="7"/>
      <c r="E669" s="7"/>
      <c r="F669" s="25" t="s">
        <v>203</v>
      </c>
      <c r="G669" s="7">
        <v>640</v>
      </c>
      <c r="H669" s="7" t="s">
        <v>141</v>
      </c>
      <c r="I669" s="23">
        <v>3170</v>
      </c>
      <c r="J669" s="23"/>
      <c r="K669" s="23">
        <f t="shared" si="241"/>
        <v>3170</v>
      </c>
      <c r="M669" s="23"/>
      <c r="N669" s="23"/>
      <c r="O669" s="86">
        <f t="shared" si="242"/>
        <v>0</v>
      </c>
      <c r="Q669" s="273">
        <f t="shared" si="239"/>
        <v>3170</v>
      </c>
      <c r="R669" s="86">
        <f t="shared" si="240"/>
        <v>0</v>
      </c>
      <c r="S669" s="86">
        <f t="shared" si="240"/>
        <v>3170</v>
      </c>
    </row>
    <row r="670" spans="2:19" x14ac:dyDescent="0.2">
      <c r="B670" s="83">
        <f t="shared" si="243"/>
        <v>74</v>
      </c>
      <c r="C670" s="6"/>
      <c r="D670" s="6"/>
      <c r="E670" s="6" t="s">
        <v>91</v>
      </c>
      <c r="F670" s="29"/>
      <c r="G670" s="6"/>
      <c r="H670" s="6" t="s">
        <v>92</v>
      </c>
      <c r="I670" s="41">
        <f>I671+I672+I673+I678</f>
        <v>297177</v>
      </c>
      <c r="J670" s="41">
        <f t="shared" ref="J670" si="245">J671+J672+J673+J678</f>
        <v>-268</v>
      </c>
      <c r="K670" s="41">
        <f t="shared" si="241"/>
        <v>296909</v>
      </c>
      <c r="M670" s="41">
        <v>0</v>
      </c>
      <c r="N670" s="41">
        <v>0</v>
      </c>
      <c r="O670" s="100">
        <f t="shared" si="242"/>
        <v>0</v>
      </c>
      <c r="Q670" s="318">
        <f t="shared" si="239"/>
        <v>297177</v>
      </c>
      <c r="R670" s="100">
        <f t="shared" si="240"/>
        <v>-268</v>
      </c>
      <c r="S670" s="100">
        <f t="shared" si="240"/>
        <v>296909</v>
      </c>
    </row>
    <row r="671" spans="2:19" x14ac:dyDescent="0.2">
      <c r="B671" s="83">
        <f t="shared" si="243"/>
        <v>75</v>
      </c>
      <c r="C671" s="7"/>
      <c r="D671" s="7"/>
      <c r="E671" s="7"/>
      <c r="F671" s="25" t="s">
        <v>203</v>
      </c>
      <c r="G671" s="7">
        <v>610</v>
      </c>
      <c r="H671" s="7" t="s">
        <v>143</v>
      </c>
      <c r="I671" s="23">
        <f>158713+11046</f>
        <v>169759</v>
      </c>
      <c r="J671" s="23">
        <f>50-3207</f>
        <v>-3157</v>
      </c>
      <c r="K671" s="23">
        <f t="shared" si="241"/>
        <v>166602</v>
      </c>
      <c r="M671" s="23"/>
      <c r="N671" s="23"/>
      <c r="O671" s="86">
        <f t="shared" si="242"/>
        <v>0</v>
      </c>
      <c r="Q671" s="273">
        <f t="shared" si="239"/>
        <v>169759</v>
      </c>
      <c r="R671" s="86">
        <f t="shared" si="240"/>
        <v>-3157</v>
      </c>
      <c r="S671" s="86">
        <f t="shared" si="240"/>
        <v>166602</v>
      </c>
    </row>
    <row r="672" spans="2:19" x14ac:dyDescent="0.2">
      <c r="B672" s="83">
        <f t="shared" si="243"/>
        <v>76</v>
      </c>
      <c r="C672" s="7"/>
      <c r="D672" s="7"/>
      <c r="E672" s="7"/>
      <c r="F672" s="25" t="s">
        <v>203</v>
      </c>
      <c r="G672" s="7">
        <v>620</v>
      </c>
      <c r="H672" s="7" t="s">
        <v>136</v>
      </c>
      <c r="I672" s="23">
        <f>60173+4082</f>
        <v>64255</v>
      </c>
      <c r="J672" s="23">
        <f>10-1120</f>
        <v>-1110</v>
      </c>
      <c r="K672" s="23">
        <f t="shared" si="241"/>
        <v>63145</v>
      </c>
      <c r="M672" s="23"/>
      <c r="N672" s="23"/>
      <c r="O672" s="86">
        <f t="shared" si="242"/>
        <v>0</v>
      </c>
      <c r="Q672" s="273">
        <f t="shared" si="239"/>
        <v>64255</v>
      </c>
      <c r="R672" s="86">
        <f t="shared" si="240"/>
        <v>-1110</v>
      </c>
      <c r="S672" s="86">
        <f t="shared" si="240"/>
        <v>63145</v>
      </c>
    </row>
    <row r="673" spans="2:19" x14ac:dyDescent="0.2">
      <c r="B673" s="83">
        <f t="shared" si="243"/>
        <v>77</v>
      </c>
      <c r="C673" s="7"/>
      <c r="D673" s="7"/>
      <c r="E673" s="7"/>
      <c r="F673" s="25" t="s">
        <v>203</v>
      </c>
      <c r="G673" s="7">
        <v>630</v>
      </c>
      <c r="H673" s="7" t="s">
        <v>133</v>
      </c>
      <c r="I673" s="23">
        <f>SUM(I674:I677)</f>
        <v>58655</v>
      </c>
      <c r="J673" s="23">
        <f t="shared" ref="J673" si="246">SUM(J674:J677)</f>
        <v>3999</v>
      </c>
      <c r="K673" s="23">
        <f t="shared" si="241"/>
        <v>62654</v>
      </c>
      <c r="M673" s="23"/>
      <c r="N673" s="23"/>
      <c r="O673" s="86">
        <f t="shared" si="242"/>
        <v>0</v>
      </c>
      <c r="Q673" s="273">
        <f t="shared" si="239"/>
        <v>58655</v>
      </c>
      <c r="R673" s="86">
        <f t="shared" si="240"/>
        <v>3999</v>
      </c>
      <c r="S673" s="86">
        <f t="shared" si="240"/>
        <v>62654</v>
      </c>
    </row>
    <row r="674" spans="2:19" x14ac:dyDescent="0.2">
      <c r="B674" s="83">
        <f t="shared" si="243"/>
        <v>78</v>
      </c>
      <c r="C674" s="3"/>
      <c r="D674" s="3"/>
      <c r="E674" s="3"/>
      <c r="F674" s="26" t="s">
        <v>203</v>
      </c>
      <c r="G674" s="3">
        <v>632</v>
      </c>
      <c r="H674" s="3" t="s">
        <v>146</v>
      </c>
      <c r="I674" s="19">
        <v>40100</v>
      </c>
      <c r="J674" s="19"/>
      <c r="K674" s="19">
        <f t="shared" si="241"/>
        <v>40100</v>
      </c>
      <c r="M674" s="19"/>
      <c r="N674" s="19"/>
      <c r="O674" s="87">
        <f t="shared" si="242"/>
        <v>0</v>
      </c>
      <c r="Q674" s="274">
        <f t="shared" si="239"/>
        <v>40100</v>
      </c>
      <c r="R674" s="87">
        <f t="shared" si="240"/>
        <v>0</v>
      </c>
      <c r="S674" s="87">
        <f t="shared" si="240"/>
        <v>40100</v>
      </c>
    </row>
    <row r="675" spans="2:19" x14ac:dyDescent="0.2">
      <c r="B675" s="83">
        <f t="shared" si="243"/>
        <v>79</v>
      </c>
      <c r="C675" s="3"/>
      <c r="D675" s="3"/>
      <c r="E675" s="3"/>
      <c r="F675" s="26" t="s">
        <v>203</v>
      </c>
      <c r="G675" s="3">
        <v>633</v>
      </c>
      <c r="H675" s="3" t="s">
        <v>137</v>
      </c>
      <c r="I675" s="19">
        <v>10385</v>
      </c>
      <c r="J675" s="19">
        <v>3999</v>
      </c>
      <c r="K675" s="19">
        <f t="shared" si="241"/>
        <v>14384</v>
      </c>
      <c r="M675" s="19"/>
      <c r="N675" s="19"/>
      <c r="O675" s="87">
        <f t="shared" si="242"/>
        <v>0</v>
      </c>
      <c r="Q675" s="274">
        <f t="shared" si="239"/>
        <v>10385</v>
      </c>
      <c r="R675" s="87">
        <f t="shared" si="240"/>
        <v>3999</v>
      </c>
      <c r="S675" s="87">
        <f t="shared" si="240"/>
        <v>14384</v>
      </c>
    </row>
    <row r="676" spans="2:19" x14ac:dyDescent="0.2">
      <c r="B676" s="83">
        <f t="shared" si="243"/>
        <v>80</v>
      </c>
      <c r="C676" s="3"/>
      <c r="D676" s="3"/>
      <c r="E676" s="3"/>
      <c r="F676" s="26" t="s">
        <v>203</v>
      </c>
      <c r="G676" s="3">
        <v>635</v>
      </c>
      <c r="H676" s="3" t="s">
        <v>145</v>
      </c>
      <c r="I676" s="19">
        <v>3600</v>
      </c>
      <c r="J676" s="19"/>
      <c r="K676" s="19">
        <f t="shared" si="241"/>
        <v>3600</v>
      </c>
      <c r="M676" s="19"/>
      <c r="N676" s="19"/>
      <c r="O676" s="87">
        <f t="shared" si="242"/>
        <v>0</v>
      </c>
      <c r="Q676" s="274">
        <f t="shared" si="239"/>
        <v>3600</v>
      </c>
      <c r="R676" s="87">
        <f t="shared" si="240"/>
        <v>0</v>
      </c>
      <c r="S676" s="87">
        <f t="shared" si="240"/>
        <v>3600</v>
      </c>
    </row>
    <row r="677" spans="2:19" x14ac:dyDescent="0.2">
      <c r="B677" s="83">
        <f t="shared" si="243"/>
        <v>81</v>
      </c>
      <c r="C677" s="3"/>
      <c r="D677" s="3"/>
      <c r="E677" s="3"/>
      <c r="F677" s="26" t="s">
        <v>203</v>
      </c>
      <c r="G677" s="3">
        <v>637</v>
      </c>
      <c r="H677" s="3" t="s">
        <v>134</v>
      </c>
      <c r="I677" s="19">
        <v>4570</v>
      </c>
      <c r="J677" s="19"/>
      <c r="K677" s="19">
        <f t="shared" si="241"/>
        <v>4570</v>
      </c>
      <c r="M677" s="19"/>
      <c r="N677" s="19"/>
      <c r="O677" s="87">
        <f t="shared" si="242"/>
        <v>0</v>
      </c>
      <c r="Q677" s="274">
        <f t="shared" si="239"/>
        <v>4570</v>
      </c>
      <c r="R677" s="87">
        <f t="shared" ref="R677:S692" si="247">J677+N677</f>
        <v>0</v>
      </c>
      <c r="S677" s="87">
        <f t="shared" si="247"/>
        <v>4570</v>
      </c>
    </row>
    <row r="678" spans="2:19" x14ac:dyDescent="0.2">
      <c r="B678" s="83">
        <f t="shared" si="243"/>
        <v>82</v>
      </c>
      <c r="C678" s="7"/>
      <c r="D678" s="7"/>
      <c r="E678" s="7"/>
      <c r="F678" s="25" t="s">
        <v>203</v>
      </c>
      <c r="G678" s="7">
        <v>640</v>
      </c>
      <c r="H678" s="7" t="s">
        <v>141</v>
      </c>
      <c r="I678" s="23">
        <v>4508</v>
      </c>
      <c r="J678" s="23"/>
      <c r="K678" s="23">
        <f t="shared" si="241"/>
        <v>4508</v>
      </c>
      <c r="M678" s="23"/>
      <c r="N678" s="23"/>
      <c r="O678" s="86">
        <f t="shared" si="242"/>
        <v>0</v>
      </c>
      <c r="Q678" s="273">
        <f t="shared" si="239"/>
        <v>4508</v>
      </c>
      <c r="R678" s="86">
        <f t="shared" si="247"/>
        <v>0</v>
      </c>
      <c r="S678" s="86">
        <f t="shared" si="247"/>
        <v>4508</v>
      </c>
    </row>
    <row r="679" spans="2:19" x14ac:dyDescent="0.2">
      <c r="B679" s="83">
        <f t="shared" si="243"/>
        <v>83</v>
      </c>
      <c r="C679" s="6"/>
      <c r="D679" s="6"/>
      <c r="E679" s="6" t="s">
        <v>88</v>
      </c>
      <c r="F679" s="29"/>
      <c r="G679" s="6"/>
      <c r="H679" s="6" t="s">
        <v>89</v>
      </c>
      <c r="I679" s="41">
        <f>I680+I681+I682+I687</f>
        <v>302215</v>
      </c>
      <c r="J679" s="41">
        <f t="shared" ref="J679" si="248">J680+J681+J682+J687</f>
        <v>-268</v>
      </c>
      <c r="K679" s="41">
        <f t="shared" si="241"/>
        <v>301947</v>
      </c>
      <c r="M679" s="41">
        <v>0</v>
      </c>
      <c r="N679" s="41">
        <v>0</v>
      </c>
      <c r="O679" s="100">
        <f t="shared" si="242"/>
        <v>0</v>
      </c>
      <c r="Q679" s="318">
        <f t="shared" si="239"/>
        <v>302215</v>
      </c>
      <c r="R679" s="100">
        <f t="shared" si="247"/>
        <v>-268</v>
      </c>
      <c r="S679" s="100">
        <f t="shared" si="247"/>
        <v>301947</v>
      </c>
    </row>
    <row r="680" spans="2:19" x14ac:dyDescent="0.2">
      <c r="B680" s="83">
        <f t="shared" si="243"/>
        <v>84</v>
      </c>
      <c r="C680" s="7"/>
      <c r="D680" s="7"/>
      <c r="E680" s="7"/>
      <c r="F680" s="25" t="s">
        <v>203</v>
      </c>
      <c r="G680" s="7">
        <v>610</v>
      </c>
      <c r="H680" s="7" t="s">
        <v>143</v>
      </c>
      <c r="I680" s="23">
        <f>157097+10717</f>
        <v>167814</v>
      </c>
      <c r="J680" s="23">
        <f>50-3498</f>
        <v>-3448</v>
      </c>
      <c r="K680" s="23">
        <f t="shared" si="241"/>
        <v>164366</v>
      </c>
      <c r="M680" s="23"/>
      <c r="N680" s="23"/>
      <c r="O680" s="86">
        <f t="shared" si="242"/>
        <v>0</v>
      </c>
      <c r="Q680" s="273">
        <f t="shared" si="239"/>
        <v>167814</v>
      </c>
      <c r="R680" s="86">
        <f t="shared" si="247"/>
        <v>-3448</v>
      </c>
      <c r="S680" s="86">
        <f t="shared" si="247"/>
        <v>164366</v>
      </c>
    </row>
    <row r="681" spans="2:19" x14ac:dyDescent="0.2">
      <c r="B681" s="83">
        <f t="shared" si="243"/>
        <v>85</v>
      </c>
      <c r="C681" s="7"/>
      <c r="D681" s="7"/>
      <c r="E681" s="7"/>
      <c r="F681" s="25" t="s">
        <v>203</v>
      </c>
      <c r="G681" s="7">
        <v>620</v>
      </c>
      <c r="H681" s="7" t="s">
        <v>136</v>
      </c>
      <c r="I681" s="23">
        <f>58912+3960</f>
        <v>62872</v>
      </c>
      <c r="J681" s="23">
        <f>10-1223</f>
        <v>-1213</v>
      </c>
      <c r="K681" s="23">
        <f t="shared" si="241"/>
        <v>61659</v>
      </c>
      <c r="M681" s="23"/>
      <c r="N681" s="23"/>
      <c r="O681" s="86">
        <f t="shared" si="242"/>
        <v>0</v>
      </c>
      <c r="Q681" s="273">
        <f t="shared" si="239"/>
        <v>62872</v>
      </c>
      <c r="R681" s="86">
        <f t="shared" si="247"/>
        <v>-1213</v>
      </c>
      <c r="S681" s="86">
        <f t="shared" si="247"/>
        <v>61659</v>
      </c>
    </row>
    <row r="682" spans="2:19" x14ac:dyDescent="0.2">
      <c r="B682" s="83">
        <f t="shared" si="243"/>
        <v>86</v>
      </c>
      <c r="C682" s="7"/>
      <c r="D682" s="7"/>
      <c r="E682" s="7"/>
      <c r="F682" s="25" t="s">
        <v>203</v>
      </c>
      <c r="G682" s="7">
        <v>630</v>
      </c>
      <c r="H682" s="7" t="s">
        <v>133</v>
      </c>
      <c r="I682" s="23">
        <f>SUM(I683:I686)</f>
        <v>68807</v>
      </c>
      <c r="J682" s="23">
        <f t="shared" ref="J682" si="249">SUM(J683:J686)</f>
        <v>4393</v>
      </c>
      <c r="K682" s="23">
        <f t="shared" si="241"/>
        <v>73200</v>
      </c>
      <c r="M682" s="23"/>
      <c r="N682" s="23"/>
      <c r="O682" s="86">
        <f t="shared" si="242"/>
        <v>0</v>
      </c>
      <c r="Q682" s="273">
        <f t="shared" si="239"/>
        <v>68807</v>
      </c>
      <c r="R682" s="86">
        <f t="shared" si="247"/>
        <v>4393</v>
      </c>
      <c r="S682" s="86">
        <f t="shared" si="247"/>
        <v>73200</v>
      </c>
    </row>
    <row r="683" spans="2:19" x14ac:dyDescent="0.2">
      <c r="B683" s="83">
        <f t="shared" si="243"/>
        <v>87</v>
      </c>
      <c r="C683" s="3"/>
      <c r="D683" s="3"/>
      <c r="E683" s="3"/>
      <c r="F683" s="26" t="s">
        <v>203</v>
      </c>
      <c r="G683" s="3">
        <v>632</v>
      </c>
      <c r="H683" s="3" t="s">
        <v>146</v>
      </c>
      <c r="I683" s="19">
        <v>49100</v>
      </c>
      <c r="J683" s="19"/>
      <c r="K683" s="19">
        <f t="shared" si="241"/>
        <v>49100</v>
      </c>
      <c r="M683" s="19"/>
      <c r="N683" s="19"/>
      <c r="O683" s="87">
        <f t="shared" si="242"/>
        <v>0</v>
      </c>
      <c r="Q683" s="274">
        <f t="shared" si="239"/>
        <v>49100</v>
      </c>
      <c r="R683" s="87">
        <f t="shared" si="247"/>
        <v>0</v>
      </c>
      <c r="S683" s="87">
        <f t="shared" si="247"/>
        <v>49100</v>
      </c>
    </row>
    <row r="684" spans="2:19" x14ac:dyDescent="0.2">
      <c r="B684" s="83">
        <f t="shared" si="243"/>
        <v>88</v>
      </c>
      <c r="C684" s="3"/>
      <c r="D684" s="3"/>
      <c r="E684" s="3"/>
      <c r="F684" s="26" t="s">
        <v>203</v>
      </c>
      <c r="G684" s="3">
        <v>633</v>
      </c>
      <c r="H684" s="3" t="s">
        <v>137</v>
      </c>
      <c r="I684" s="19">
        <v>11827</v>
      </c>
      <c r="J684" s="19">
        <v>4393</v>
      </c>
      <c r="K684" s="19">
        <f t="shared" si="241"/>
        <v>16220</v>
      </c>
      <c r="M684" s="19"/>
      <c r="N684" s="19"/>
      <c r="O684" s="87">
        <f t="shared" si="242"/>
        <v>0</v>
      </c>
      <c r="Q684" s="274">
        <f t="shared" si="239"/>
        <v>11827</v>
      </c>
      <c r="R684" s="87">
        <f t="shared" si="247"/>
        <v>4393</v>
      </c>
      <c r="S684" s="87">
        <f t="shared" si="247"/>
        <v>16220</v>
      </c>
    </row>
    <row r="685" spans="2:19" x14ac:dyDescent="0.2">
      <c r="B685" s="83">
        <f t="shared" si="243"/>
        <v>89</v>
      </c>
      <c r="C685" s="3"/>
      <c r="D685" s="3"/>
      <c r="E685" s="3"/>
      <c r="F685" s="26" t="s">
        <v>203</v>
      </c>
      <c r="G685" s="3">
        <v>635</v>
      </c>
      <c r="H685" s="3" t="s">
        <v>145</v>
      </c>
      <c r="I685" s="19">
        <v>3100</v>
      </c>
      <c r="J685" s="19"/>
      <c r="K685" s="19">
        <f t="shared" si="241"/>
        <v>3100</v>
      </c>
      <c r="M685" s="19"/>
      <c r="N685" s="19"/>
      <c r="O685" s="87">
        <f t="shared" si="242"/>
        <v>0</v>
      </c>
      <c r="Q685" s="274">
        <f t="shared" si="239"/>
        <v>3100</v>
      </c>
      <c r="R685" s="87">
        <f t="shared" si="247"/>
        <v>0</v>
      </c>
      <c r="S685" s="87">
        <f t="shared" si="247"/>
        <v>3100</v>
      </c>
    </row>
    <row r="686" spans="2:19" x14ac:dyDescent="0.2">
      <c r="B686" s="83">
        <f t="shared" si="243"/>
        <v>90</v>
      </c>
      <c r="C686" s="3"/>
      <c r="D686" s="3"/>
      <c r="E686" s="3"/>
      <c r="F686" s="26" t="s">
        <v>203</v>
      </c>
      <c r="G686" s="3">
        <v>637</v>
      </c>
      <c r="H686" s="3" t="s">
        <v>134</v>
      </c>
      <c r="I686" s="19">
        <v>4780</v>
      </c>
      <c r="J686" s="19"/>
      <c r="K686" s="19">
        <f t="shared" si="241"/>
        <v>4780</v>
      </c>
      <c r="M686" s="19"/>
      <c r="N686" s="19"/>
      <c r="O686" s="87">
        <f t="shared" si="242"/>
        <v>0</v>
      </c>
      <c r="Q686" s="274">
        <f t="shared" si="239"/>
        <v>4780</v>
      </c>
      <c r="R686" s="87">
        <f t="shared" si="247"/>
        <v>0</v>
      </c>
      <c r="S686" s="87">
        <f t="shared" si="247"/>
        <v>4780</v>
      </c>
    </row>
    <row r="687" spans="2:19" x14ac:dyDescent="0.2">
      <c r="B687" s="83">
        <f t="shared" si="243"/>
        <v>91</v>
      </c>
      <c r="C687" s="7"/>
      <c r="D687" s="7"/>
      <c r="E687" s="7"/>
      <c r="F687" s="25" t="s">
        <v>203</v>
      </c>
      <c r="G687" s="7">
        <v>640</v>
      </c>
      <c r="H687" s="7" t="s">
        <v>141</v>
      </c>
      <c r="I687" s="23">
        <v>2722</v>
      </c>
      <c r="J687" s="23"/>
      <c r="K687" s="23">
        <f t="shared" si="241"/>
        <v>2722</v>
      </c>
      <c r="M687" s="23"/>
      <c r="N687" s="23"/>
      <c r="O687" s="86">
        <f t="shared" si="242"/>
        <v>0</v>
      </c>
      <c r="Q687" s="273">
        <f t="shared" si="239"/>
        <v>2722</v>
      </c>
      <c r="R687" s="86">
        <f t="shared" si="247"/>
        <v>0</v>
      </c>
      <c r="S687" s="86">
        <f t="shared" si="247"/>
        <v>2722</v>
      </c>
    </row>
    <row r="688" spans="2:19" x14ac:dyDescent="0.2">
      <c r="B688" s="83">
        <f t="shared" si="243"/>
        <v>92</v>
      </c>
      <c r="C688" s="6"/>
      <c r="D688" s="6"/>
      <c r="E688" s="6" t="s">
        <v>111</v>
      </c>
      <c r="F688" s="29"/>
      <c r="G688" s="6"/>
      <c r="H688" s="6" t="s">
        <v>112</v>
      </c>
      <c r="I688" s="41">
        <f>I689+I690+I691+I696</f>
        <v>201471</v>
      </c>
      <c r="J688" s="41">
        <f t="shared" ref="J688" si="250">J689+J690+J691+J696</f>
        <v>552</v>
      </c>
      <c r="K688" s="41">
        <f t="shared" si="241"/>
        <v>202023</v>
      </c>
      <c r="M688" s="41">
        <v>0</v>
      </c>
      <c r="N688" s="41">
        <v>0</v>
      </c>
      <c r="O688" s="100">
        <f t="shared" si="242"/>
        <v>0</v>
      </c>
      <c r="Q688" s="318">
        <f t="shared" si="239"/>
        <v>201471</v>
      </c>
      <c r="R688" s="100">
        <f t="shared" si="247"/>
        <v>552</v>
      </c>
      <c r="S688" s="100">
        <f t="shared" si="247"/>
        <v>202023</v>
      </c>
    </row>
    <row r="689" spans="2:19" x14ac:dyDescent="0.2">
      <c r="B689" s="83">
        <f t="shared" si="243"/>
        <v>93</v>
      </c>
      <c r="C689" s="7"/>
      <c r="D689" s="7"/>
      <c r="E689" s="7"/>
      <c r="F689" s="25" t="s">
        <v>203</v>
      </c>
      <c r="G689" s="7">
        <v>610</v>
      </c>
      <c r="H689" s="7" t="s">
        <v>143</v>
      </c>
      <c r="I689" s="23">
        <f>117000+7744</f>
        <v>124744</v>
      </c>
      <c r="J689" s="23">
        <f>50-1749</f>
        <v>-1699</v>
      </c>
      <c r="K689" s="23">
        <f t="shared" si="241"/>
        <v>123045</v>
      </c>
      <c r="M689" s="23"/>
      <c r="N689" s="23"/>
      <c r="O689" s="86">
        <f t="shared" si="242"/>
        <v>0</v>
      </c>
      <c r="Q689" s="273">
        <f t="shared" si="239"/>
        <v>124744</v>
      </c>
      <c r="R689" s="86">
        <f t="shared" si="247"/>
        <v>-1699</v>
      </c>
      <c r="S689" s="86">
        <f t="shared" si="247"/>
        <v>123045</v>
      </c>
    </row>
    <row r="690" spans="2:19" x14ac:dyDescent="0.2">
      <c r="B690" s="83">
        <f t="shared" si="243"/>
        <v>94</v>
      </c>
      <c r="C690" s="7"/>
      <c r="D690" s="7"/>
      <c r="E690" s="7"/>
      <c r="F690" s="25" t="s">
        <v>203</v>
      </c>
      <c r="G690" s="7">
        <v>620</v>
      </c>
      <c r="H690" s="7" t="s">
        <v>136</v>
      </c>
      <c r="I690" s="23">
        <f>43738+2861</f>
        <v>46599</v>
      </c>
      <c r="J690" s="23">
        <f>10-611</f>
        <v>-601</v>
      </c>
      <c r="K690" s="23">
        <f t="shared" si="241"/>
        <v>45998</v>
      </c>
      <c r="M690" s="23"/>
      <c r="N690" s="23"/>
      <c r="O690" s="86">
        <f t="shared" si="242"/>
        <v>0</v>
      </c>
      <c r="Q690" s="273">
        <f t="shared" si="239"/>
        <v>46599</v>
      </c>
      <c r="R690" s="86">
        <f t="shared" si="247"/>
        <v>-601</v>
      </c>
      <c r="S690" s="86">
        <f t="shared" si="247"/>
        <v>45998</v>
      </c>
    </row>
    <row r="691" spans="2:19" x14ac:dyDescent="0.2">
      <c r="B691" s="83">
        <f t="shared" si="243"/>
        <v>95</v>
      </c>
      <c r="C691" s="7"/>
      <c r="D691" s="7"/>
      <c r="E691" s="7"/>
      <c r="F691" s="25" t="s">
        <v>203</v>
      </c>
      <c r="G691" s="7">
        <v>630</v>
      </c>
      <c r="H691" s="7" t="s">
        <v>133</v>
      </c>
      <c r="I691" s="23">
        <f>SUM(I692:I695)</f>
        <v>28464</v>
      </c>
      <c r="J691" s="23">
        <f t="shared" ref="J691" si="251">SUM(J692:J695)</f>
        <v>2852</v>
      </c>
      <c r="K691" s="23">
        <f t="shared" si="241"/>
        <v>31316</v>
      </c>
      <c r="M691" s="23"/>
      <c r="N691" s="23"/>
      <c r="O691" s="86">
        <f t="shared" si="242"/>
        <v>0</v>
      </c>
      <c r="Q691" s="273">
        <f t="shared" si="239"/>
        <v>28464</v>
      </c>
      <c r="R691" s="86">
        <f t="shared" si="247"/>
        <v>2852</v>
      </c>
      <c r="S691" s="86">
        <f t="shared" si="247"/>
        <v>31316</v>
      </c>
    </row>
    <row r="692" spans="2:19" x14ac:dyDescent="0.2">
      <c r="B692" s="83">
        <f t="shared" si="243"/>
        <v>96</v>
      </c>
      <c r="C692" s="3"/>
      <c r="D692" s="3"/>
      <c r="E692" s="3"/>
      <c r="F692" s="26" t="s">
        <v>203</v>
      </c>
      <c r="G692" s="3">
        <v>632</v>
      </c>
      <c r="H692" s="3" t="s">
        <v>146</v>
      </c>
      <c r="I692" s="19">
        <v>14550</v>
      </c>
      <c r="J692" s="19"/>
      <c r="K692" s="19">
        <f t="shared" si="241"/>
        <v>14550</v>
      </c>
      <c r="M692" s="19"/>
      <c r="N692" s="19"/>
      <c r="O692" s="87">
        <f t="shared" si="242"/>
        <v>0</v>
      </c>
      <c r="Q692" s="274">
        <f t="shared" si="239"/>
        <v>14550</v>
      </c>
      <c r="R692" s="87">
        <f t="shared" si="247"/>
        <v>0</v>
      </c>
      <c r="S692" s="87">
        <f t="shared" si="247"/>
        <v>14550</v>
      </c>
    </row>
    <row r="693" spans="2:19" x14ac:dyDescent="0.2">
      <c r="B693" s="83">
        <f t="shared" si="243"/>
        <v>97</v>
      </c>
      <c r="C693" s="3"/>
      <c r="D693" s="3"/>
      <c r="E693" s="3"/>
      <c r="F693" s="26" t="s">
        <v>203</v>
      </c>
      <c r="G693" s="3">
        <v>633</v>
      </c>
      <c r="H693" s="3" t="s">
        <v>137</v>
      </c>
      <c r="I693" s="19">
        <v>7764</v>
      </c>
      <c r="J693" s="19">
        <v>2852</v>
      </c>
      <c r="K693" s="19">
        <f t="shared" si="241"/>
        <v>10616</v>
      </c>
      <c r="M693" s="19"/>
      <c r="N693" s="19"/>
      <c r="O693" s="87">
        <f t="shared" si="242"/>
        <v>0</v>
      </c>
      <c r="Q693" s="274">
        <f t="shared" si="239"/>
        <v>7764</v>
      </c>
      <c r="R693" s="87">
        <f t="shared" ref="R693:S708" si="252">J693+N693</f>
        <v>2852</v>
      </c>
      <c r="S693" s="87">
        <f t="shared" si="252"/>
        <v>10616</v>
      </c>
    </row>
    <row r="694" spans="2:19" x14ac:dyDescent="0.2">
      <c r="B694" s="83">
        <f t="shared" si="243"/>
        <v>98</v>
      </c>
      <c r="C694" s="3"/>
      <c r="D694" s="3"/>
      <c r="E694" s="3"/>
      <c r="F694" s="26" t="s">
        <v>203</v>
      </c>
      <c r="G694" s="3">
        <v>635</v>
      </c>
      <c r="H694" s="3" t="s">
        <v>145</v>
      </c>
      <c r="I694" s="19">
        <v>1700</v>
      </c>
      <c r="J694" s="19"/>
      <c r="K694" s="19">
        <f t="shared" si="241"/>
        <v>1700</v>
      </c>
      <c r="M694" s="19"/>
      <c r="N694" s="19"/>
      <c r="O694" s="87">
        <f t="shared" si="242"/>
        <v>0</v>
      </c>
      <c r="Q694" s="274">
        <f t="shared" si="239"/>
        <v>1700</v>
      </c>
      <c r="R694" s="87">
        <f t="shared" si="252"/>
        <v>0</v>
      </c>
      <c r="S694" s="87">
        <f t="shared" si="252"/>
        <v>1700</v>
      </c>
    </row>
    <row r="695" spans="2:19" x14ac:dyDescent="0.2">
      <c r="B695" s="83">
        <f t="shared" si="243"/>
        <v>99</v>
      </c>
      <c r="C695" s="3"/>
      <c r="D695" s="3"/>
      <c r="E695" s="3"/>
      <c r="F695" s="26" t="s">
        <v>203</v>
      </c>
      <c r="G695" s="3">
        <v>637</v>
      </c>
      <c r="H695" s="3" t="s">
        <v>134</v>
      </c>
      <c r="I695" s="19">
        <v>4450</v>
      </c>
      <c r="J695" s="19"/>
      <c r="K695" s="19">
        <f t="shared" si="241"/>
        <v>4450</v>
      </c>
      <c r="M695" s="19"/>
      <c r="N695" s="19"/>
      <c r="O695" s="87">
        <f t="shared" si="242"/>
        <v>0</v>
      </c>
      <c r="Q695" s="274">
        <f t="shared" si="239"/>
        <v>4450</v>
      </c>
      <c r="R695" s="87">
        <f t="shared" si="252"/>
        <v>0</v>
      </c>
      <c r="S695" s="87">
        <f t="shared" si="252"/>
        <v>4450</v>
      </c>
    </row>
    <row r="696" spans="2:19" x14ac:dyDescent="0.2">
      <c r="B696" s="83">
        <f t="shared" si="243"/>
        <v>100</v>
      </c>
      <c r="C696" s="7"/>
      <c r="D696" s="7"/>
      <c r="E696" s="7"/>
      <c r="F696" s="25" t="s">
        <v>203</v>
      </c>
      <c r="G696" s="7">
        <v>640</v>
      </c>
      <c r="H696" s="7" t="s">
        <v>141</v>
      </c>
      <c r="I696" s="23">
        <v>1664</v>
      </c>
      <c r="J696" s="23"/>
      <c r="K696" s="23">
        <f t="shared" si="241"/>
        <v>1664</v>
      </c>
      <c r="M696" s="23"/>
      <c r="N696" s="23"/>
      <c r="O696" s="86">
        <f t="shared" si="242"/>
        <v>0</v>
      </c>
      <c r="Q696" s="273">
        <f t="shared" si="239"/>
        <v>1664</v>
      </c>
      <c r="R696" s="86">
        <f t="shared" si="252"/>
        <v>0</v>
      </c>
      <c r="S696" s="86">
        <f t="shared" si="252"/>
        <v>1664</v>
      </c>
    </row>
    <row r="697" spans="2:19" x14ac:dyDescent="0.2">
      <c r="B697" s="83">
        <f t="shared" si="243"/>
        <v>101</v>
      </c>
      <c r="C697" s="6"/>
      <c r="D697" s="6"/>
      <c r="E697" s="6" t="s">
        <v>110</v>
      </c>
      <c r="F697" s="29"/>
      <c r="G697" s="6"/>
      <c r="H697" s="6" t="s">
        <v>67</v>
      </c>
      <c r="I697" s="41">
        <f>I698+I699+I700+I705</f>
        <v>287219</v>
      </c>
      <c r="J697" s="41">
        <f t="shared" ref="J697" si="253">J698+J699+J700+J705</f>
        <v>0</v>
      </c>
      <c r="K697" s="41">
        <f t="shared" si="241"/>
        <v>287219</v>
      </c>
      <c r="M697" s="41">
        <f>M706</f>
        <v>956707</v>
      </c>
      <c r="N697" s="41">
        <f t="shared" ref="N697" si="254">N706</f>
        <v>0</v>
      </c>
      <c r="O697" s="100">
        <f t="shared" si="242"/>
        <v>956707</v>
      </c>
      <c r="Q697" s="318">
        <f t="shared" si="239"/>
        <v>1243926</v>
      </c>
      <c r="R697" s="100">
        <f t="shared" si="252"/>
        <v>0</v>
      </c>
      <c r="S697" s="100">
        <f t="shared" si="252"/>
        <v>1243926</v>
      </c>
    </row>
    <row r="698" spans="2:19" x14ac:dyDescent="0.2">
      <c r="B698" s="83">
        <f t="shared" si="243"/>
        <v>102</v>
      </c>
      <c r="C698" s="7"/>
      <c r="D698" s="7"/>
      <c r="E698" s="7"/>
      <c r="F698" s="25" t="s">
        <v>203</v>
      </c>
      <c r="G698" s="7">
        <v>610</v>
      </c>
      <c r="H698" s="7" t="s">
        <v>143</v>
      </c>
      <c r="I698" s="23">
        <f>148408+10517</f>
        <v>158925</v>
      </c>
      <c r="J698" s="23">
        <v>-2332</v>
      </c>
      <c r="K698" s="23">
        <f t="shared" si="241"/>
        <v>156593</v>
      </c>
      <c r="M698" s="23"/>
      <c r="N698" s="23"/>
      <c r="O698" s="86">
        <f t="shared" si="242"/>
        <v>0</v>
      </c>
      <c r="Q698" s="273">
        <f t="shared" si="239"/>
        <v>158925</v>
      </c>
      <c r="R698" s="86">
        <f t="shared" si="252"/>
        <v>-2332</v>
      </c>
      <c r="S698" s="86">
        <f t="shared" si="252"/>
        <v>156593</v>
      </c>
    </row>
    <row r="699" spans="2:19" x14ac:dyDescent="0.2">
      <c r="B699" s="83">
        <f t="shared" si="243"/>
        <v>103</v>
      </c>
      <c r="C699" s="7"/>
      <c r="D699" s="7"/>
      <c r="E699" s="7"/>
      <c r="F699" s="25" t="s">
        <v>203</v>
      </c>
      <c r="G699" s="7">
        <v>620</v>
      </c>
      <c r="H699" s="7" t="s">
        <v>136</v>
      </c>
      <c r="I699" s="23">
        <f>55513+3886</f>
        <v>59399</v>
      </c>
      <c r="J699" s="23">
        <v>-815</v>
      </c>
      <c r="K699" s="23">
        <f t="shared" si="241"/>
        <v>58584</v>
      </c>
      <c r="M699" s="23"/>
      <c r="N699" s="23"/>
      <c r="O699" s="86">
        <f t="shared" si="242"/>
        <v>0</v>
      </c>
      <c r="Q699" s="273">
        <f t="shared" si="239"/>
        <v>59399</v>
      </c>
      <c r="R699" s="86">
        <f t="shared" si="252"/>
        <v>-815</v>
      </c>
      <c r="S699" s="86">
        <f t="shared" si="252"/>
        <v>58584</v>
      </c>
    </row>
    <row r="700" spans="2:19" x14ac:dyDescent="0.2">
      <c r="B700" s="83">
        <f t="shared" si="243"/>
        <v>104</v>
      </c>
      <c r="C700" s="7"/>
      <c r="D700" s="7"/>
      <c r="E700" s="7"/>
      <c r="F700" s="25" t="s">
        <v>203</v>
      </c>
      <c r="G700" s="7">
        <v>630</v>
      </c>
      <c r="H700" s="7" t="s">
        <v>133</v>
      </c>
      <c r="I700" s="23">
        <f>SUM(I701:I704)</f>
        <v>66743</v>
      </c>
      <c r="J700" s="23">
        <f t="shared" ref="J700" si="255">SUM(J701:J704)</f>
        <v>3147</v>
      </c>
      <c r="K700" s="23">
        <f t="shared" si="241"/>
        <v>69890</v>
      </c>
      <c r="M700" s="23"/>
      <c r="N700" s="23"/>
      <c r="O700" s="86">
        <f t="shared" si="242"/>
        <v>0</v>
      </c>
      <c r="Q700" s="273">
        <f t="shared" si="239"/>
        <v>66743</v>
      </c>
      <c r="R700" s="86">
        <f t="shared" si="252"/>
        <v>3147</v>
      </c>
      <c r="S700" s="86">
        <f t="shared" si="252"/>
        <v>69890</v>
      </c>
    </row>
    <row r="701" spans="2:19" x14ac:dyDescent="0.2">
      <c r="B701" s="83">
        <f t="shared" si="243"/>
        <v>105</v>
      </c>
      <c r="C701" s="3"/>
      <c r="D701" s="3"/>
      <c r="E701" s="3"/>
      <c r="F701" s="26" t="s">
        <v>203</v>
      </c>
      <c r="G701" s="3">
        <v>632</v>
      </c>
      <c r="H701" s="3" t="s">
        <v>146</v>
      </c>
      <c r="I701" s="19">
        <v>38020</v>
      </c>
      <c r="J701" s="19"/>
      <c r="K701" s="19">
        <f t="shared" si="241"/>
        <v>38020</v>
      </c>
      <c r="M701" s="19"/>
      <c r="N701" s="19"/>
      <c r="O701" s="87">
        <f t="shared" si="242"/>
        <v>0</v>
      </c>
      <c r="Q701" s="274">
        <f t="shared" si="239"/>
        <v>38020</v>
      </c>
      <c r="R701" s="87">
        <f t="shared" si="252"/>
        <v>0</v>
      </c>
      <c r="S701" s="87">
        <f t="shared" si="252"/>
        <v>38020</v>
      </c>
    </row>
    <row r="702" spans="2:19" x14ac:dyDescent="0.2">
      <c r="B702" s="83">
        <f t="shared" si="243"/>
        <v>106</v>
      </c>
      <c r="C702" s="3"/>
      <c r="D702" s="3"/>
      <c r="E702" s="3"/>
      <c r="F702" s="26" t="s">
        <v>203</v>
      </c>
      <c r="G702" s="3">
        <v>633</v>
      </c>
      <c r="H702" s="3" t="s">
        <v>137</v>
      </c>
      <c r="I702" s="19">
        <v>18808</v>
      </c>
      <c r="J702" s="19">
        <v>3147</v>
      </c>
      <c r="K702" s="19">
        <f t="shared" si="241"/>
        <v>21955</v>
      </c>
      <c r="M702" s="19"/>
      <c r="N702" s="19"/>
      <c r="O702" s="87">
        <f t="shared" si="242"/>
        <v>0</v>
      </c>
      <c r="Q702" s="274">
        <f t="shared" si="239"/>
        <v>18808</v>
      </c>
      <c r="R702" s="87">
        <f t="shared" si="252"/>
        <v>3147</v>
      </c>
      <c r="S702" s="87">
        <f t="shared" si="252"/>
        <v>21955</v>
      </c>
    </row>
    <row r="703" spans="2:19" x14ac:dyDescent="0.2">
      <c r="B703" s="83">
        <f t="shared" si="243"/>
        <v>107</v>
      </c>
      <c r="C703" s="3"/>
      <c r="D703" s="3"/>
      <c r="E703" s="3"/>
      <c r="F703" s="26" t="s">
        <v>203</v>
      </c>
      <c r="G703" s="3">
        <v>635</v>
      </c>
      <c r="H703" s="3" t="s">
        <v>145</v>
      </c>
      <c r="I703" s="19">
        <v>5800</v>
      </c>
      <c r="J703" s="19"/>
      <c r="K703" s="19">
        <f t="shared" si="241"/>
        <v>5800</v>
      </c>
      <c r="M703" s="19"/>
      <c r="N703" s="19"/>
      <c r="O703" s="87">
        <f t="shared" si="242"/>
        <v>0</v>
      </c>
      <c r="Q703" s="274">
        <f t="shared" si="239"/>
        <v>5800</v>
      </c>
      <c r="R703" s="87">
        <f t="shared" si="252"/>
        <v>0</v>
      </c>
      <c r="S703" s="87">
        <f t="shared" si="252"/>
        <v>5800</v>
      </c>
    </row>
    <row r="704" spans="2:19" x14ac:dyDescent="0.2">
      <c r="B704" s="83">
        <f t="shared" si="243"/>
        <v>108</v>
      </c>
      <c r="C704" s="3"/>
      <c r="D704" s="3"/>
      <c r="E704" s="3"/>
      <c r="F704" s="26" t="s">
        <v>203</v>
      </c>
      <c r="G704" s="3">
        <v>637</v>
      </c>
      <c r="H704" s="3" t="s">
        <v>134</v>
      </c>
      <c r="I704" s="19">
        <v>4115</v>
      </c>
      <c r="J704" s="19"/>
      <c r="K704" s="19">
        <f t="shared" si="241"/>
        <v>4115</v>
      </c>
      <c r="M704" s="19"/>
      <c r="N704" s="19"/>
      <c r="O704" s="87">
        <f t="shared" si="242"/>
        <v>0</v>
      </c>
      <c r="Q704" s="274">
        <f t="shared" si="239"/>
        <v>4115</v>
      </c>
      <c r="R704" s="87">
        <f t="shared" si="252"/>
        <v>0</v>
      </c>
      <c r="S704" s="87">
        <f t="shared" si="252"/>
        <v>4115</v>
      </c>
    </row>
    <row r="705" spans="2:19" x14ac:dyDescent="0.2">
      <c r="B705" s="83">
        <f t="shared" si="243"/>
        <v>109</v>
      </c>
      <c r="C705" s="7"/>
      <c r="D705" s="7"/>
      <c r="E705" s="7"/>
      <c r="F705" s="25" t="s">
        <v>203</v>
      </c>
      <c r="G705" s="7">
        <v>640</v>
      </c>
      <c r="H705" s="7" t="s">
        <v>141</v>
      </c>
      <c r="I705" s="23">
        <v>2152</v>
      </c>
      <c r="J705" s="23"/>
      <c r="K705" s="23">
        <f t="shared" si="241"/>
        <v>2152</v>
      </c>
      <c r="M705" s="23"/>
      <c r="N705" s="23"/>
      <c r="O705" s="86">
        <f t="shared" si="242"/>
        <v>0</v>
      </c>
      <c r="Q705" s="273">
        <f t="shared" si="239"/>
        <v>2152</v>
      </c>
      <c r="R705" s="86">
        <f t="shared" si="252"/>
        <v>0</v>
      </c>
      <c r="S705" s="86">
        <f t="shared" si="252"/>
        <v>2152</v>
      </c>
    </row>
    <row r="706" spans="2:19" x14ac:dyDescent="0.2">
      <c r="B706" s="83">
        <f t="shared" si="243"/>
        <v>110</v>
      </c>
      <c r="C706" s="7"/>
      <c r="D706" s="7"/>
      <c r="E706" s="7"/>
      <c r="F706" s="25" t="s">
        <v>203</v>
      </c>
      <c r="G706" s="7">
        <v>710</v>
      </c>
      <c r="H706" s="7" t="s">
        <v>188</v>
      </c>
      <c r="I706" s="23"/>
      <c r="J706" s="23"/>
      <c r="K706" s="23">
        <f t="shared" si="241"/>
        <v>0</v>
      </c>
      <c r="M706" s="23">
        <f>M707</f>
        <v>956707</v>
      </c>
      <c r="N706" s="23">
        <f t="shared" ref="N706:N707" si="256">N707</f>
        <v>0</v>
      </c>
      <c r="O706" s="86">
        <f t="shared" si="242"/>
        <v>956707</v>
      </c>
      <c r="Q706" s="273">
        <f t="shared" si="239"/>
        <v>956707</v>
      </c>
      <c r="R706" s="86">
        <f t="shared" si="252"/>
        <v>0</v>
      </c>
      <c r="S706" s="86">
        <f t="shared" si="252"/>
        <v>956707</v>
      </c>
    </row>
    <row r="707" spans="2:19" x14ac:dyDescent="0.2">
      <c r="B707" s="83">
        <f t="shared" si="243"/>
        <v>111</v>
      </c>
      <c r="C707" s="3"/>
      <c r="D707" s="3"/>
      <c r="E707" s="3"/>
      <c r="F707" s="26" t="s">
        <v>203</v>
      </c>
      <c r="G707" s="3">
        <v>717</v>
      </c>
      <c r="H707" s="3" t="s">
        <v>198</v>
      </c>
      <c r="I707" s="19"/>
      <c r="J707" s="19"/>
      <c r="K707" s="19">
        <f t="shared" si="241"/>
        <v>0</v>
      </c>
      <c r="M707" s="19">
        <f>M708</f>
        <v>956707</v>
      </c>
      <c r="N707" s="19">
        <f t="shared" si="256"/>
        <v>0</v>
      </c>
      <c r="O707" s="87">
        <f t="shared" si="242"/>
        <v>956707</v>
      </c>
      <c r="Q707" s="316">
        <f t="shared" si="239"/>
        <v>956707</v>
      </c>
      <c r="R707" s="113">
        <f t="shared" si="252"/>
        <v>0</v>
      </c>
      <c r="S707" s="113">
        <f t="shared" si="252"/>
        <v>956707</v>
      </c>
    </row>
    <row r="708" spans="2:19" x14ac:dyDescent="0.2">
      <c r="B708" s="83">
        <f t="shared" si="243"/>
        <v>112</v>
      </c>
      <c r="C708" s="4"/>
      <c r="D708" s="4"/>
      <c r="E708" s="4"/>
      <c r="F708" s="31"/>
      <c r="G708" s="4"/>
      <c r="H708" s="47" t="s">
        <v>378</v>
      </c>
      <c r="I708" s="21"/>
      <c r="J708" s="21"/>
      <c r="K708" s="21">
        <f t="shared" si="241"/>
        <v>0</v>
      </c>
      <c r="M708" s="21">
        <f>945907+10800</f>
        <v>956707</v>
      </c>
      <c r="N708" s="21"/>
      <c r="O708" s="88">
        <f t="shared" si="242"/>
        <v>956707</v>
      </c>
      <c r="Q708" s="317">
        <f t="shared" si="239"/>
        <v>956707</v>
      </c>
      <c r="R708" s="114">
        <f t="shared" si="252"/>
        <v>0</v>
      </c>
      <c r="S708" s="114">
        <f t="shared" si="252"/>
        <v>956707</v>
      </c>
    </row>
    <row r="709" spans="2:19" x14ac:dyDescent="0.2">
      <c r="B709" s="83">
        <f t="shared" si="243"/>
        <v>113</v>
      </c>
      <c r="C709" s="6"/>
      <c r="D709" s="6"/>
      <c r="E709" s="6" t="s">
        <v>106</v>
      </c>
      <c r="F709" s="29"/>
      <c r="G709" s="6"/>
      <c r="H709" s="6" t="s">
        <v>73</v>
      </c>
      <c r="I709" s="41">
        <f>I710+I711+I712</f>
        <v>293144</v>
      </c>
      <c r="J709" s="41">
        <f t="shared" ref="J709" si="257">J710+J711+J712</f>
        <v>551</v>
      </c>
      <c r="K709" s="41">
        <f t="shared" si="241"/>
        <v>293695</v>
      </c>
      <c r="M709" s="41">
        <v>0</v>
      </c>
      <c r="N709" s="41">
        <v>0</v>
      </c>
      <c r="O709" s="100">
        <f t="shared" si="242"/>
        <v>0</v>
      </c>
      <c r="Q709" s="318">
        <f t="shared" si="239"/>
        <v>293144</v>
      </c>
      <c r="R709" s="100">
        <f t="shared" ref="R709:S724" si="258">J709+N709</f>
        <v>551</v>
      </c>
      <c r="S709" s="100">
        <f t="shared" si="258"/>
        <v>293695</v>
      </c>
    </row>
    <row r="710" spans="2:19" x14ac:dyDescent="0.2">
      <c r="B710" s="83">
        <f t="shared" si="243"/>
        <v>114</v>
      </c>
      <c r="C710" s="7"/>
      <c r="D710" s="7"/>
      <c r="E710" s="7"/>
      <c r="F710" s="25" t="s">
        <v>203</v>
      </c>
      <c r="G710" s="7">
        <v>610</v>
      </c>
      <c r="H710" s="7" t="s">
        <v>143</v>
      </c>
      <c r="I710" s="23">
        <f>165225+10174</f>
        <v>175399</v>
      </c>
      <c r="J710" s="23">
        <f>50-3134</f>
        <v>-3084</v>
      </c>
      <c r="K710" s="23">
        <f t="shared" si="241"/>
        <v>172315</v>
      </c>
      <c r="M710" s="23"/>
      <c r="N710" s="23"/>
      <c r="O710" s="86">
        <f t="shared" si="242"/>
        <v>0</v>
      </c>
      <c r="Q710" s="273">
        <f t="shared" si="239"/>
        <v>175399</v>
      </c>
      <c r="R710" s="86">
        <f t="shared" si="258"/>
        <v>-3084</v>
      </c>
      <c r="S710" s="86">
        <f t="shared" si="258"/>
        <v>172315</v>
      </c>
    </row>
    <row r="711" spans="2:19" x14ac:dyDescent="0.2">
      <c r="B711" s="83">
        <f t="shared" si="243"/>
        <v>115</v>
      </c>
      <c r="C711" s="7"/>
      <c r="D711" s="7"/>
      <c r="E711" s="7"/>
      <c r="F711" s="25" t="s">
        <v>203</v>
      </c>
      <c r="G711" s="7">
        <v>620</v>
      </c>
      <c r="H711" s="7" t="s">
        <v>136</v>
      </c>
      <c r="I711" s="23">
        <f>60917+3759</f>
        <v>64676</v>
      </c>
      <c r="J711" s="23">
        <f>10-1096</f>
        <v>-1086</v>
      </c>
      <c r="K711" s="23">
        <f t="shared" si="241"/>
        <v>63590</v>
      </c>
      <c r="M711" s="23"/>
      <c r="N711" s="23"/>
      <c r="O711" s="86">
        <f t="shared" si="242"/>
        <v>0</v>
      </c>
      <c r="Q711" s="273">
        <f t="shared" si="239"/>
        <v>64676</v>
      </c>
      <c r="R711" s="86">
        <f t="shared" si="258"/>
        <v>-1086</v>
      </c>
      <c r="S711" s="86">
        <f t="shared" si="258"/>
        <v>63590</v>
      </c>
    </row>
    <row r="712" spans="2:19" x14ac:dyDescent="0.2">
      <c r="B712" s="83">
        <f t="shared" si="243"/>
        <v>116</v>
      </c>
      <c r="C712" s="7"/>
      <c r="D712" s="7"/>
      <c r="E712" s="7"/>
      <c r="F712" s="25" t="s">
        <v>203</v>
      </c>
      <c r="G712" s="7">
        <v>630</v>
      </c>
      <c r="H712" s="7" t="s">
        <v>133</v>
      </c>
      <c r="I712" s="23">
        <f>SUM(I713:I716)</f>
        <v>53069</v>
      </c>
      <c r="J712" s="23">
        <f t="shared" ref="J712" si="259">SUM(J713:J716)</f>
        <v>4721</v>
      </c>
      <c r="K712" s="23">
        <f t="shared" si="241"/>
        <v>57790</v>
      </c>
      <c r="M712" s="23"/>
      <c r="N712" s="23"/>
      <c r="O712" s="86">
        <f t="shared" si="242"/>
        <v>0</v>
      </c>
      <c r="Q712" s="273">
        <f t="shared" si="239"/>
        <v>53069</v>
      </c>
      <c r="R712" s="86">
        <f t="shared" si="258"/>
        <v>4721</v>
      </c>
      <c r="S712" s="86">
        <f t="shared" si="258"/>
        <v>57790</v>
      </c>
    </row>
    <row r="713" spans="2:19" x14ac:dyDescent="0.2">
      <c r="B713" s="83">
        <f t="shared" si="243"/>
        <v>117</v>
      </c>
      <c r="C713" s="3"/>
      <c r="D713" s="3"/>
      <c r="E713" s="3"/>
      <c r="F713" s="26" t="s">
        <v>203</v>
      </c>
      <c r="G713" s="3">
        <v>632</v>
      </c>
      <c r="H713" s="3" t="s">
        <v>146</v>
      </c>
      <c r="I713" s="19">
        <v>27750</v>
      </c>
      <c r="J713" s="19"/>
      <c r="K713" s="19">
        <f t="shared" si="241"/>
        <v>27750</v>
      </c>
      <c r="M713" s="19"/>
      <c r="N713" s="19"/>
      <c r="O713" s="87">
        <f t="shared" si="242"/>
        <v>0</v>
      </c>
      <c r="Q713" s="274">
        <f t="shared" si="239"/>
        <v>27750</v>
      </c>
      <c r="R713" s="87">
        <f t="shared" si="258"/>
        <v>0</v>
      </c>
      <c r="S713" s="87">
        <f t="shared" si="258"/>
        <v>27750</v>
      </c>
    </row>
    <row r="714" spans="2:19" x14ac:dyDescent="0.2">
      <c r="B714" s="83">
        <f t="shared" si="243"/>
        <v>118</v>
      </c>
      <c r="C714" s="3"/>
      <c r="D714" s="3"/>
      <c r="E714" s="3"/>
      <c r="F714" s="26" t="s">
        <v>203</v>
      </c>
      <c r="G714" s="3">
        <v>633</v>
      </c>
      <c r="H714" s="3" t="s">
        <v>137</v>
      </c>
      <c r="I714" s="19">
        <v>13624</v>
      </c>
      <c r="J714" s="19">
        <v>4721</v>
      </c>
      <c r="K714" s="19">
        <f t="shared" si="241"/>
        <v>18345</v>
      </c>
      <c r="M714" s="19"/>
      <c r="N714" s="19"/>
      <c r="O714" s="87">
        <f t="shared" si="242"/>
        <v>0</v>
      </c>
      <c r="Q714" s="274">
        <f t="shared" si="239"/>
        <v>13624</v>
      </c>
      <c r="R714" s="87">
        <f t="shared" si="258"/>
        <v>4721</v>
      </c>
      <c r="S714" s="87">
        <f t="shared" si="258"/>
        <v>18345</v>
      </c>
    </row>
    <row r="715" spans="2:19" x14ac:dyDescent="0.2">
      <c r="B715" s="83">
        <f t="shared" si="243"/>
        <v>119</v>
      </c>
      <c r="C715" s="3"/>
      <c r="D715" s="3"/>
      <c r="E715" s="3"/>
      <c r="F715" s="26" t="s">
        <v>203</v>
      </c>
      <c r="G715" s="3">
        <v>635</v>
      </c>
      <c r="H715" s="3" t="s">
        <v>145</v>
      </c>
      <c r="I715" s="19">
        <v>7150</v>
      </c>
      <c r="J715" s="19"/>
      <c r="K715" s="19">
        <f t="shared" si="241"/>
        <v>7150</v>
      </c>
      <c r="M715" s="19"/>
      <c r="N715" s="19"/>
      <c r="O715" s="87">
        <f t="shared" si="242"/>
        <v>0</v>
      </c>
      <c r="Q715" s="274">
        <f t="shared" si="239"/>
        <v>7150</v>
      </c>
      <c r="R715" s="87">
        <f t="shared" si="258"/>
        <v>0</v>
      </c>
      <c r="S715" s="87">
        <f t="shared" si="258"/>
        <v>7150</v>
      </c>
    </row>
    <row r="716" spans="2:19" x14ac:dyDescent="0.2">
      <c r="B716" s="83">
        <f t="shared" si="243"/>
        <v>120</v>
      </c>
      <c r="C716" s="3"/>
      <c r="D716" s="3"/>
      <c r="E716" s="3"/>
      <c r="F716" s="26" t="s">
        <v>203</v>
      </c>
      <c r="G716" s="3">
        <v>637</v>
      </c>
      <c r="H716" s="3" t="s">
        <v>134</v>
      </c>
      <c r="I716" s="19">
        <v>4545</v>
      </c>
      <c r="J716" s="19"/>
      <c r="K716" s="19">
        <f t="shared" si="241"/>
        <v>4545</v>
      </c>
      <c r="M716" s="19"/>
      <c r="N716" s="19"/>
      <c r="O716" s="87">
        <f t="shared" si="242"/>
        <v>0</v>
      </c>
      <c r="Q716" s="274">
        <f t="shared" si="239"/>
        <v>4545</v>
      </c>
      <c r="R716" s="87">
        <f t="shared" si="258"/>
        <v>0</v>
      </c>
      <c r="S716" s="87">
        <f t="shared" si="258"/>
        <v>4545</v>
      </c>
    </row>
    <row r="717" spans="2:19" x14ac:dyDescent="0.2">
      <c r="B717" s="83">
        <f t="shared" si="243"/>
        <v>121</v>
      </c>
      <c r="C717" s="6"/>
      <c r="D717" s="6"/>
      <c r="E717" s="6" t="s">
        <v>109</v>
      </c>
      <c r="F717" s="29"/>
      <c r="G717" s="6"/>
      <c r="H717" s="6" t="s">
        <v>74</v>
      </c>
      <c r="I717" s="41">
        <f>I718+I719+I720</f>
        <v>177855</v>
      </c>
      <c r="J717" s="41">
        <f t="shared" ref="J717" si="260">J718+J719+J720</f>
        <v>-492</v>
      </c>
      <c r="K717" s="41">
        <f t="shared" si="241"/>
        <v>177363</v>
      </c>
      <c r="M717" s="41">
        <v>0</v>
      </c>
      <c r="N717" s="41">
        <v>0</v>
      </c>
      <c r="O717" s="100">
        <f t="shared" si="242"/>
        <v>0</v>
      </c>
      <c r="Q717" s="318">
        <f t="shared" si="239"/>
        <v>177855</v>
      </c>
      <c r="R717" s="100">
        <f t="shared" si="258"/>
        <v>-492</v>
      </c>
      <c r="S717" s="100">
        <f t="shared" si="258"/>
        <v>177363</v>
      </c>
    </row>
    <row r="718" spans="2:19" x14ac:dyDescent="0.2">
      <c r="B718" s="83">
        <f t="shared" si="243"/>
        <v>122</v>
      </c>
      <c r="C718" s="7"/>
      <c r="D718" s="7"/>
      <c r="E718" s="7"/>
      <c r="F718" s="25" t="s">
        <v>203</v>
      </c>
      <c r="G718" s="7">
        <v>610</v>
      </c>
      <c r="H718" s="7" t="s">
        <v>143</v>
      </c>
      <c r="I718" s="23">
        <f>101249+6911</f>
        <v>108160</v>
      </c>
      <c r="J718" s="23">
        <v>-1968</v>
      </c>
      <c r="K718" s="23">
        <f t="shared" si="241"/>
        <v>106192</v>
      </c>
      <c r="M718" s="23"/>
      <c r="N718" s="23"/>
      <c r="O718" s="86">
        <f t="shared" si="242"/>
        <v>0</v>
      </c>
      <c r="Q718" s="273">
        <f t="shared" si="239"/>
        <v>108160</v>
      </c>
      <c r="R718" s="86">
        <f t="shared" si="258"/>
        <v>-1968</v>
      </c>
      <c r="S718" s="86">
        <f t="shared" si="258"/>
        <v>106192</v>
      </c>
    </row>
    <row r="719" spans="2:19" x14ac:dyDescent="0.2">
      <c r="B719" s="83">
        <f t="shared" si="243"/>
        <v>123</v>
      </c>
      <c r="C719" s="7"/>
      <c r="D719" s="7"/>
      <c r="E719" s="7"/>
      <c r="F719" s="25" t="s">
        <v>203</v>
      </c>
      <c r="G719" s="7">
        <v>620</v>
      </c>
      <c r="H719" s="7" t="s">
        <v>136</v>
      </c>
      <c r="I719" s="23">
        <f>37300+2554</f>
        <v>39854</v>
      </c>
      <c r="J719" s="23">
        <v>-688</v>
      </c>
      <c r="K719" s="23">
        <f t="shared" si="241"/>
        <v>39166</v>
      </c>
      <c r="M719" s="23"/>
      <c r="N719" s="23"/>
      <c r="O719" s="86">
        <f t="shared" si="242"/>
        <v>0</v>
      </c>
      <c r="Q719" s="273">
        <f t="shared" si="239"/>
        <v>39854</v>
      </c>
      <c r="R719" s="86">
        <f t="shared" si="258"/>
        <v>-688</v>
      </c>
      <c r="S719" s="86">
        <f t="shared" si="258"/>
        <v>39166</v>
      </c>
    </row>
    <row r="720" spans="2:19" x14ac:dyDescent="0.2">
      <c r="B720" s="83">
        <f t="shared" si="243"/>
        <v>124</v>
      </c>
      <c r="C720" s="7"/>
      <c r="D720" s="7"/>
      <c r="E720" s="7"/>
      <c r="F720" s="25" t="s">
        <v>203</v>
      </c>
      <c r="G720" s="7">
        <v>630</v>
      </c>
      <c r="H720" s="7" t="s">
        <v>133</v>
      </c>
      <c r="I720" s="23">
        <f>SUM(I721:I724)</f>
        <v>29841</v>
      </c>
      <c r="J720" s="23">
        <f t="shared" ref="J720" si="261">SUM(J721:J724)</f>
        <v>2164</v>
      </c>
      <c r="K720" s="23">
        <f t="shared" si="241"/>
        <v>32005</v>
      </c>
      <c r="M720" s="23"/>
      <c r="N720" s="23"/>
      <c r="O720" s="86">
        <f t="shared" si="242"/>
        <v>0</v>
      </c>
      <c r="Q720" s="273">
        <f t="shared" si="239"/>
        <v>29841</v>
      </c>
      <c r="R720" s="86">
        <f t="shared" si="258"/>
        <v>2164</v>
      </c>
      <c r="S720" s="86">
        <f t="shared" si="258"/>
        <v>32005</v>
      </c>
    </row>
    <row r="721" spans="2:19" x14ac:dyDescent="0.2">
      <c r="B721" s="83">
        <f t="shared" si="243"/>
        <v>125</v>
      </c>
      <c r="C721" s="3"/>
      <c r="D721" s="3"/>
      <c r="E721" s="3"/>
      <c r="F721" s="26" t="s">
        <v>203</v>
      </c>
      <c r="G721" s="3">
        <v>632</v>
      </c>
      <c r="H721" s="3" t="s">
        <v>146</v>
      </c>
      <c r="I721" s="19">
        <v>17450</v>
      </c>
      <c r="J721" s="19"/>
      <c r="K721" s="19">
        <f t="shared" si="241"/>
        <v>17450</v>
      </c>
      <c r="M721" s="19"/>
      <c r="N721" s="19"/>
      <c r="O721" s="87">
        <f t="shared" si="242"/>
        <v>0</v>
      </c>
      <c r="Q721" s="274">
        <f t="shared" si="239"/>
        <v>17450</v>
      </c>
      <c r="R721" s="87">
        <f t="shared" si="258"/>
        <v>0</v>
      </c>
      <c r="S721" s="87">
        <f t="shared" si="258"/>
        <v>17450</v>
      </c>
    </row>
    <row r="722" spans="2:19" x14ac:dyDescent="0.2">
      <c r="B722" s="83">
        <f t="shared" si="243"/>
        <v>126</v>
      </c>
      <c r="C722" s="3"/>
      <c r="D722" s="3"/>
      <c r="E722" s="3"/>
      <c r="F722" s="26" t="s">
        <v>203</v>
      </c>
      <c r="G722" s="3">
        <v>633</v>
      </c>
      <c r="H722" s="3" t="s">
        <v>137</v>
      </c>
      <c r="I722" s="19">
        <v>6976</v>
      </c>
      <c r="J722" s="19">
        <v>2164</v>
      </c>
      <c r="K722" s="19">
        <f t="shared" si="241"/>
        <v>9140</v>
      </c>
      <c r="M722" s="19"/>
      <c r="N722" s="19"/>
      <c r="O722" s="87">
        <f t="shared" si="242"/>
        <v>0</v>
      </c>
      <c r="Q722" s="274">
        <f t="shared" si="239"/>
        <v>6976</v>
      </c>
      <c r="R722" s="87">
        <f t="shared" si="258"/>
        <v>2164</v>
      </c>
      <c r="S722" s="87">
        <f t="shared" si="258"/>
        <v>9140</v>
      </c>
    </row>
    <row r="723" spans="2:19" x14ac:dyDescent="0.2">
      <c r="B723" s="83">
        <f t="shared" si="243"/>
        <v>127</v>
      </c>
      <c r="C723" s="3"/>
      <c r="D723" s="3"/>
      <c r="E723" s="3"/>
      <c r="F723" s="26" t="s">
        <v>203</v>
      </c>
      <c r="G723" s="3">
        <v>635</v>
      </c>
      <c r="H723" s="3" t="s">
        <v>145</v>
      </c>
      <c r="I723" s="19">
        <v>2300</v>
      </c>
      <c r="J723" s="19"/>
      <c r="K723" s="19">
        <f t="shared" si="241"/>
        <v>2300</v>
      </c>
      <c r="M723" s="19"/>
      <c r="N723" s="19"/>
      <c r="O723" s="87">
        <f t="shared" si="242"/>
        <v>0</v>
      </c>
      <c r="Q723" s="274">
        <f t="shared" si="239"/>
        <v>2300</v>
      </c>
      <c r="R723" s="87">
        <f t="shared" si="258"/>
        <v>0</v>
      </c>
      <c r="S723" s="87">
        <f t="shared" si="258"/>
        <v>2300</v>
      </c>
    </row>
    <row r="724" spans="2:19" x14ac:dyDescent="0.2">
      <c r="B724" s="83">
        <f t="shared" si="243"/>
        <v>128</v>
      </c>
      <c r="C724" s="3"/>
      <c r="D724" s="3"/>
      <c r="E724" s="3"/>
      <c r="F724" s="26" t="s">
        <v>203</v>
      </c>
      <c r="G724" s="3">
        <v>637</v>
      </c>
      <c r="H724" s="3" t="s">
        <v>134</v>
      </c>
      <c r="I724" s="19">
        <v>3115</v>
      </c>
      <c r="J724" s="19"/>
      <c r="K724" s="19">
        <f t="shared" si="241"/>
        <v>3115</v>
      </c>
      <c r="M724" s="19"/>
      <c r="N724" s="19"/>
      <c r="O724" s="87">
        <f t="shared" si="242"/>
        <v>0</v>
      </c>
      <c r="Q724" s="274">
        <f t="shared" si="239"/>
        <v>3115</v>
      </c>
      <c r="R724" s="87">
        <f t="shared" si="258"/>
        <v>0</v>
      </c>
      <c r="S724" s="87">
        <f t="shared" si="258"/>
        <v>3115</v>
      </c>
    </row>
    <row r="725" spans="2:19" x14ac:dyDescent="0.2">
      <c r="B725" s="83">
        <f t="shared" si="243"/>
        <v>129</v>
      </c>
      <c r="C725" s="6"/>
      <c r="D725" s="6"/>
      <c r="E725" s="6" t="s">
        <v>102</v>
      </c>
      <c r="F725" s="29"/>
      <c r="G725" s="6"/>
      <c r="H725" s="6" t="s">
        <v>103</v>
      </c>
      <c r="I725" s="41">
        <f>I726+I727+I728</f>
        <v>90277</v>
      </c>
      <c r="J725" s="41">
        <f t="shared" ref="J725" si="262">J726+J727+J728</f>
        <v>0</v>
      </c>
      <c r="K725" s="41">
        <f t="shared" si="241"/>
        <v>90277</v>
      </c>
      <c r="M725" s="41">
        <v>0</v>
      </c>
      <c r="N725" s="41">
        <v>0</v>
      </c>
      <c r="O725" s="100">
        <f t="shared" si="242"/>
        <v>0</v>
      </c>
      <c r="Q725" s="318">
        <f t="shared" ref="Q725:Q788" si="263">I725+M725</f>
        <v>90277</v>
      </c>
      <c r="R725" s="100">
        <f t="shared" ref="R725:S740" si="264">J725+N725</f>
        <v>0</v>
      </c>
      <c r="S725" s="100">
        <f t="shared" si="264"/>
        <v>90277</v>
      </c>
    </row>
    <row r="726" spans="2:19" x14ac:dyDescent="0.2">
      <c r="B726" s="83">
        <f t="shared" si="243"/>
        <v>130</v>
      </c>
      <c r="C726" s="7"/>
      <c r="D726" s="7"/>
      <c r="E726" s="7"/>
      <c r="F726" s="25" t="s">
        <v>203</v>
      </c>
      <c r="G726" s="7">
        <v>610</v>
      </c>
      <c r="H726" s="7" t="s">
        <v>143</v>
      </c>
      <c r="I726" s="23">
        <f>51681+3581</f>
        <v>55262</v>
      </c>
      <c r="J726" s="23">
        <v>-1020</v>
      </c>
      <c r="K726" s="23">
        <f t="shared" ref="K726:K789" si="265">I726+J726</f>
        <v>54242</v>
      </c>
      <c r="M726" s="23"/>
      <c r="N726" s="23"/>
      <c r="O726" s="86">
        <f t="shared" ref="O726:O789" si="266">M726+N726</f>
        <v>0</v>
      </c>
      <c r="Q726" s="273">
        <f t="shared" si="263"/>
        <v>55262</v>
      </c>
      <c r="R726" s="86">
        <f t="shared" si="264"/>
        <v>-1020</v>
      </c>
      <c r="S726" s="86">
        <f t="shared" si="264"/>
        <v>54242</v>
      </c>
    </row>
    <row r="727" spans="2:19" x14ac:dyDescent="0.2">
      <c r="B727" s="83">
        <f t="shared" ref="B727:B790" si="267">B726+1</f>
        <v>131</v>
      </c>
      <c r="C727" s="7"/>
      <c r="D727" s="7"/>
      <c r="E727" s="7"/>
      <c r="F727" s="25" t="s">
        <v>203</v>
      </c>
      <c r="G727" s="7">
        <v>620</v>
      </c>
      <c r="H727" s="7" t="s">
        <v>136</v>
      </c>
      <c r="I727" s="23">
        <f>19004+1323</f>
        <v>20327</v>
      </c>
      <c r="J727" s="23">
        <v>-357</v>
      </c>
      <c r="K727" s="23">
        <f t="shared" si="265"/>
        <v>19970</v>
      </c>
      <c r="M727" s="23"/>
      <c r="N727" s="23"/>
      <c r="O727" s="86">
        <f t="shared" si="266"/>
        <v>0</v>
      </c>
      <c r="Q727" s="273">
        <f t="shared" si="263"/>
        <v>20327</v>
      </c>
      <c r="R727" s="86">
        <f t="shared" si="264"/>
        <v>-357</v>
      </c>
      <c r="S727" s="86">
        <f t="shared" si="264"/>
        <v>19970</v>
      </c>
    </row>
    <row r="728" spans="2:19" x14ac:dyDescent="0.2">
      <c r="B728" s="83">
        <f t="shared" si="267"/>
        <v>132</v>
      </c>
      <c r="C728" s="7"/>
      <c r="D728" s="7"/>
      <c r="E728" s="7"/>
      <c r="F728" s="25" t="s">
        <v>203</v>
      </c>
      <c r="G728" s="7">
        <v>630</v>
      </c>
      <c r="H728" s="7" t="s">
        <v>133</v>
      </c>
      <c r="I728" s="23">
        <f>SUM(I729:I732)</f>
        <v>14688</v>
      </c>
      <c r="J728" s="23">
        <f t="shared" ref="J728" si="268">SUM(J729:J732)</f>
        <v>1377</v>
      </c>
      <c r="K728" s="23">
        <f t="shared" si="265"/>
        <v>16065</v>
      </c>
      <c r="M728" s="23"/>
      <c r="N728" s="23"/>
      <c r="O728" s="86">
        <f t="shared" si="266"/>
        <v>0</v>
      </c>
      <c r="Q728" s="273">
        <f t="shared" si="263"/>
        <v>14688</v>
      </c>
      <c r="R728" s="86">
        <f t="shared" si="264"/>
        <v>1377</v>
      </c>
      <c r="S728" s="86">
        <f t="shared" si="264"/>
        <v>16065</v>
      </c>
    </row>
    <row r="729" spans="2:19" x14ac:dyDescent="0.2">
      <c r="B729" s="83">
        <f t="shared" si="267"/>
        <v>133</v>
      </c>
      <c r="C729" s="3"/>
      <c r="D729" s="3"/>
      <c r="E729" s="3"/>
      <c r="F729" s="26" t="s">
        <v>203</v>
      </c>
      <c r="G729" s="3">
        <v>632</v>
      </c>
      <c r="H729" s="3" t="s">
        <v>146</v>
      </c>
      <c r="I729" s="19">
        <v>7540</v>
      </c>
      <c r="J729" s="19"/>
      <c r="K729" s="19">
        <f t="shared" si="265"/>
        <v>7540</v>
      </c>
      <c r="M729" s="19"/>
      <c r="N729" s="19"/>
      <c r="O729" s="87">
        <f t="shared" si="266"/>
        <v>0</v>
      </c>
      <c r="Q729" s="274">
        <f t="shared" si="263"/>
        <v>7540</v>
      </c>
      <c r="R729" s="87">
        <f t="shared" si="264"/>
        <v>0</v>
      </c>
      <c r="S729" s="87">
        <f t="shared" si="264"/>
        <v>7540</v>
      </c>
    </row>
    <row r="730" spans="2:19" x14ac:dyDescent="0.2">
      <c r="B730" s="83">
        <f t="shared" si="267"/>
        <v>134</v>
      </c>
      <c r="C730" s="3"/>
      <c r="D730" s="3"/>
      <c r="E730" s="3"/>
      <c r="F730" s="26" t="s">
        <v>203</v>
      </c>
      <c r="G730" s="3">
        <v>633</v>
      </c>
      <c r="H730" s="3" t="s">
        <v>137</v>
      </c>
      <c r="I730" s="19">
        <v>5108</v>
      </c>
      <c r="J730" s="19">
        <v>1377</v>
      </c>
      <c r="K730" s="19">
        <f t="shared" si="265"/>
        <v>6485</v>
      </c>
      <c r="M730" s="19"/>
      <c r="N730" s="19"/>
      <c r="O730" s="87">
        <f t="shared" si="266"/>
        <v>0</v>
      </c>
      <c r="Q730" s="274">
        <f t="shared" si="263"/>
        <v>5108</v>
      </c>
      <c r="R730" s="87">
        <f t="shared" si="264"/>
        <v>1377</v>
      </c>
      <c r="S730" s="87">
        <f t="shared" si="264"/>
        <v>6485</v>
      </c>
    </row>
    <row r="731" spans="2:19" x14ac:dyDescent="0.2">
      <c r="B731" s="83">
        <f t="shared" si="267"/>
        <v>135</v>
      </c>
      <c r="C731" s="3"/>
      <c r="D731" s="3"/>
      <c r="E731" s="3"/>
      <c r="F731" s="26" t="s">
        <v>203</v>
      </c>
      <c r="G731" s="3">
        <v>635</v>
      </c>
      <c r="H731" s="3" t="s">
        <v>145</v>
      </c>
      <c r="I731" s="19">
        <v>200</v>
      </c>
      <c r="J731" s="19"/>
      <c r="K731" s="19">
        <f t="shared" si="265"/>
        <v>200</v>
      </c>
      <c r="M731" s="19"/>
      <c r="N731" s="19"/>
      <c r="O731" s="87">
        <f t="shared" si="266"/>
        <v>0</v>
      </c>
      <c r="Q731" s="274">
        <f t="shared" si="263"/>
        <v>200</v>
      </c>
      <c r="R731" s="87">
        <f t="shared" si="264"/>
        <v>0</v>
      </c>
      <c r="S731" s="87">
        <f t="shared" si="264"/>
        <v>200</v>
      </c>
    </row>
    <row r="732" spans="2:19" x14ac:dyDescent="0.2">
      <c r="B732" s="83">
        <f t="shared" si="267"/>
        <v>136</v>
      </c>
      <c r="C732" s="3"/>
      <c r="D732" s="3"/>
      <c r="E732" s="3"/>
      <c r="F732" s="26" t="s">
        <v>203</v>
      </c>
      <c r="G732" s="3">
        <v>637</v>
      </c>
      <c r="H732" s="3" t="s">
        <v>134</v>
      </c>
      <c r="I732" s="19">
        <v>1840</v>
      </c>
      <c r="J732" s="19"/>
      <c r="K732" s="19">
        <f t="shared" si="265"/>
        <v>1840</v>
      </c>
      <c r="M732" s="19"/>
      <c r="N732" s="19"/>
      <c r="O732" s="87">
        <f t="shared" si="266"/>
        <v>0</v>
      </c>
      <c r="Q732" s="274">
        <f t="shared" si="263"/>
        <v>1840</v>
      </c>
      <c r="R732" s="87">
        <f t="shared" si="264"/>
        <v>0</v>
      </c>
      <c r="S732" s="87">
        <f t="shared" si="264"/>
        <v>1840</v>
      </c>
    </row>
    <row r="733" spans="2:19" x14ac:dyDescent="0.2">
      <c r="B733" s="83">
        <f t="shared" si="267"/>
        <v>137</v>
      </c>
      <c r="C733" s="6"/>
      <c r="D733" s="6"/>
      <c r="E733" s="6" t="s">
        <v>94</v>
      </c>
      <c r="F733" s="29"/>
      <c r="G733" s="6"/>
      <c r="H733" s="6" t="s">
        <v>212</v>
      </c>
      <c r="I733" s="41">
        <f>I734+I735+I736</f>
        <v>120057</v>
      </c>
      <c r="J733" s="41">
        <f t="shared" ref="J733" si="269">J734+J735+J736</f>
        <v>-984</v>
      </c>
      <c r="K733" s="41">
        <f t="shared" si="265"/>
        <v>119073</v>
      </c>
      <c r="M733" s="41">
        <v>0</v>
      </c>
      <c r="N733" s="41">
        <v>0</v>
      </c>
      <c r="O733" s="100">
        <f t="shared" si="266"/>
        <v>0</v>
      </c>
      <c r="Q733" s="318">
        <f t="shared" si="263"/>
        <v>120057</v>
      </c>
      <c r="R733" s="100">
        <f t="shared" si="264"/>
        <v>-984</v>
      </c>
      <c r="S733" s="100">
        <f t="shared" si="264"/>
        <v>119073</v>
      </c>
    </row>
    <row r="734" spans="2:19" x14ac:dyDescent="0.2">
      <c r="B734" s="83">
        <f t="shared" si="267"/>
        <v>138</v>
      </c>
      <c r="C734" s="7"/>
      <c r="D734" s="7"/>
      <c r="E734" s="7"/>
      <c r="F734" s="25" t="s">
        <v>203</v>
      </c>
      <c r="G734" s="7">
        <v>610</v>
      </c>
      <c r="H734" s="7" t="s">
        <v>143</v>
      </c>
      <c r="I734" s="23">
        <f>67905+4233</f>
        <v>72138</v>
      </c>
      <c r="J734" s="23">
        <v>-1166</v>
      </c>
      <c r="K734" s="23">
        <f t="shared" si="265"/>
        <v>70972</v>
      </c>
      <c r="M734" s="23"/>
      <c r="N734" s="23"/>
      <c r="O734" s="86">
        <f t="shared" si="266"/>
        <v>0</v>
      </c>
      <c r="Q734" s="273">
        <f t="shared" si="263"/>
        <v>72138</v>
      </c>
      <c r="R734" s="86">
        <f t="shared" si="264"/>
        <v>-1166</v>
      </c>
      <c r="S734" s="86">
        <f t="shared" si="264"/>
        <v>70972</v>
      </c>
    </row>
    <row r="735" spans="2:19" x14ac:dyDescent="0.2">
      <c r="B735" s="83">
        <f t="shared" si="267"/>
        <v>139</v>
      </c>
      <c r="C735" s="7"/>
      <c r="D735" s="7"/>
      <c r="E735" s="7"/>
      <c r="F735" s="25" t="s">
        <v>203</v>
      </c>
      <c r="G735" s="7">
        <v>620</v>
      </c>
      <c r="H735" s="7" t="s">
        <v>136</v>
      </c>
      <c r="I735" s="23">
        <f>24996+1564</f>
        <v>26560</v>
      </c>
      <c r="J735" s="23">
        <v>-408</v>
      </c>
      <c r="K735" s="23">
        <f t="shared" si="265"/>
        <v>26152</v>
      </c>
      <c r="M735" s="23"/>
      <c r="N735" s="23"/>
      <c r="O735" s="86">
        <f t="shared" si="266"/>
        <v>0</v>
      </c>
      <c r="Q735" s="273">
        <f t="shared" si="263"/>
        <v>26560</v>
      </c>
      <c r="R735" s="86">
        <f t="shared" si="264"/>
        <v>-408</v>
      </c>
      <c r="S735" s="86">
        <f t="shared" si="264"/>
        <v>26152</v>
      </c>
    </row>
    <row r="736" spans="2:19" x14ac:dyDescent="0.2">
      <c r="B736" s="83">
        <f t="shared" si="267"/>
        <v>140</v>
      </c>
      <c r="C736" s="7"/>
      <c r="D736" s="7"/>
      <c r="E736" s="7"/>
      <c r="F736" s="25" t="s">
        <v>203</v>
      </c>
      <c r="G736" s="7">
        <v>630</v>
      </c>
      <c r="H736" s="7" t="s">
        <v>133</v>
      </c>
      <c r="I736" s="23">
        <f>SUM(I737:I740)</f>
        <v>21359</v>
      </c>
      <c r="J736" s="23">
        <f t="shared" ref="J736" si="270">SUM(J737:J740)</f>
        <v>590</v>
      </c>
      <c r="K736" s="23">
        <f t="shared" si="265"/>
        <v>21949</v>
      </c>
      <c r="M736" s="23"/>
      <c r="N736" s="23"/>
      <c r="O736" s="86">
        <f t="shared" si="266"/>
        <v>0</v>
      </c>
      <c r="Q736" s="273">
        <f t="shared" si="263"/>
        <v>21359</v>
      </c>
      <c r="R736" s="86">
        <f t="shared" si="264"/>
        <v>590</v>
      </c>
      <c r="S736" s="86">
        <f t="shared" si="264"/>
        <v>21949</v>
      </c>
    </row>
    <row r="737" spans="2:19" x14ac:dyDescent="0.2">
      <c r="B737" s="83">
        <f t="shared" si="267"/>
        <v>141</v>
      </c>
      <c r="C737" s="3"/>
      <c r="D737" s="3"/>
      <c r="E737" s="3"/>
      <c r="F737" s="26" t="s">
        <v>203</v>
      </c>
      <c r="G737" s="3">
        <v>632</v>
      </c>
      <c r="H737" s="3" t="s">
        <v>146</v>
      </c>
      <c r="I737" s="19">
        <v>9020</v>
      </c>
      <c r="J737" s="19"/>
      <c r="K737" s="19">
        <f t="shared" si="265"/>
        <v>9020</v>
      </c>
      <c r="M737" s="19"/>
      <c r="N737" s="19"/>
      <c r="O737" s="87">
        <f t="shared" si="266"/>
        <v>0</v>
      </c>
      <c r="Q737" s="274">
        <f t="shared" si="263"/>
        <v>9020</v>
      </c>
      <c r="R737" s="87">
        <f t="shared" si="264"/>
        <v>0</v>
      </c>
      <c r="S737" s="87">
        <f t="shared" si="264"/>
        <v>9020</v>
      </c>
    </row>
    <row r="738" spans="2:19" x14ac:dyDescent="0.2">
      <c r="B738" s="83">
        <f t="shared" si="267"/>
        <v>142</v>
      </c>
      <c r="C738" s="3"/>
      <c r="D738" s="3"/>
      <c r="E738" s="3"/>
      <c r="F738" s="26" t="s">
        <v>203</v>
      </c>
      <c r="G738" s="3">
        <v>633</v>
      </c>
      <c r="H738" s="3" t="s">
        <v>137</v>
      </c>
      <c r="I738" s="19">
        <v>6039</v>
      </c>
      <c r="J738" s="19">
        <v>590</v>
      </c>
      <c r="K738" s="19">
        <f t="shared" si="265"/>
        <v>6629</v>
      </c>
      <c r="M738" s="19"/>
      <c r="N738" s="19"/>
      <c r="O738" s="87">
        <f t="shared" si="266"/>
        <v>0</v>
      </c>
      <c r="Q738" s="274">
        <f t="shared" si="263"/>
        <v>6039</v>
      </c>
      <c r="R738" s="87">
        <f t="shared" si="264"/>
        <v>590</v>
      </c>
      <c r="S738" s="87">
        <f t="shared" si="264"/>
        <v>6629</v>
      </c>
    </row>
    <row r="739" spans="2:19" x14ac:dyDescent="0.2">
      <c r="B739" s="83">
        <f t="shared" si="267"/>
        <v>143</v>
      </c>
      <c r="C739" s="3"/>
      <c r="D739" s="3"/>
      <c r="E739" s="3"/>
      <c r="F739" s="26" t="s">
        <v>203</v>
      </c>
      <c r="G739" s="3">
        <v>635</v>
      </c>
      <c r="H739" s="3" t="s">
        <v>145</v>
      </c>
      <c r="I739" s="19">
        <v>4000</v>
      </c>
      <c r="J739" s="19"/>
      <c r="K739" s="19">
        <f t="shared" si="265"/>
        <v>4000</v>
      </c>
      <c r="M739" s="19"/>
      <c r="N739" s="19"/>
      <c r="O739" s="87">
        <f t="shared" si="266"/>
        <v>0</v>
      </c>
      <c r="Q739" s="274">
        <f t="shared" si="263"/>
        <v>4000</v>
      </c>
      <c r="R739" s="87">
        <f t="shared" si="264"/>
        <v>0</v>
      </c>
      <c r="S739" s="87">
        <f t="shared" si="264"/>
        <v>4000</v>
      </c>
    </row>
    <row r="740" spans="2:19" x14ac:dyDescent="0.2">
      <c r="B740" s="83">
        <f t="shared" si="267"/>
        <v>144</v>
      </c>
      <c r="C740" s="3"/>
      <c r="D740" s="3"/>
      <c r="E740" s="3"/>
      <c r="F740" s="26" t="s">
        <v>203</v>
      </c>
      <c r="G740" s="3">
        <v>637</v>
      </c>
      <c r="H740" s="3" t="s">
        <v>134</v>
      </c>
      <c r="I740" s="19">
        <v>2300</v>
      </c>
      <c r="J740" s="19"/>
      <c r="K740" s="19">
        <f t="shared" si="265"/>
        <v>2300</v>
      </c>
      <c r="M740" s="19"/>
      <c r="N740" s="19"/>
      <c r="O740" s="87">
        <f t="shared" si="266"/>
        <v>0</v>
      </c>
      <c r="Q740" s="274">
        <f t="shared" si="263"/>
        <v>2300</v>
      </c>
      <c r="R740" s="87">
        <f t="shared" si="264"/>
        <v>0</v>
      </c>
      <c r="S740" s="87">
        <f t="shared" si="264"/>
        <v>2300</v>
      </c>
    </row>
    <row r="741" spans="2:19" x14ac:dyDescent="0.2">
      <c r="B741" s="83">
        <f t="shared" si="267"/>
        <v>145</v>
      </c>
      <c r="C741" s="6"/>
      <c r="D741" s="6"/>
      <c r="E741" s="6" t="s">
        <v>113</v>
      </c>
      <c r="F741" s="29"/>
      <c r="G741" s="6"/>
      <c r="H741" s="6" t="s">
        <v>75</v>
      </c>
      <c r="I741" s="41">
        <f>I742+I743+I744+I750</f>
        <v>105474</v>
      </c>
      <c r="J741" s="41">
        <f t="shared" ref="J741" si="271">J742+J743+J744+J750</f>
        <v>0</v>
      </c>
      <c r="K741" s="41">
        <f t="shared" si="265"/>
        <v>105474</v>
      </c>
      <c r="M741" s="41">
        <v>0</v>
      </c>
      <c r="N741" s="41">
        <v>0</v>
      </c>
      <c r="O741" s="100">
        <f t="shared" si="266"/>
        <v>0</v>
      </c>
      <c r="Q741" s="318">
        <f t="shared" si="263"/>
        <v>105474</v>
      </c>
      <c r="R741" s="100">
        <f t="shared" ref="R741:S756" si="272">J741+N741</f>
        <v>0</v>
      </c>
      <c r="S741" s="100">
        <f t="shared" si="272"/>
        <v>105474</v>
      </c>
    </row>
    <row r="742" spans="2:19" x14ac:dyDescent="0.2">
      <c r="B742" s="83">
        <f t="shared" si="267"/>
        <v>146</v>
      </c>
      <c r="C742" s="7"/>
      <c r="D742" s="7"/>
      <c r="E742" s="7"/>
      <c r="F742" s="25" t="s">
        <v>203</v>
      </c>
      <c r="G742" s="7">
        <v>610</v>
      </c>
      <c r="H742" s="7" t="s">
        <v>143</v>
      </c>
      <c r="I742" s="23">
        <f>59661+4507</f>
        <v>64168</v>
      </c>
      <c r="J742" s="23">
        <v>-656</v>
      </c>
      <c r="K742" s="23">
        <f t="shared" si="265"/>
        <v>63512</v>
      </c>
      <c r="M742" s="23"/>
      <c r="N742" s="23"/>
      <c r="O742" s="86">
        <f t="shared" si="266"/>
        <v>0</v>
      </c>
      <c r="Q742" s="273">
        <f t="shared" si="263"/>
        <v>64168</v>
      </c>
      <c r="R742" s="86">
        <f t="shared" si="272"/>
        <v>-656</v>
      </c>
      <c r="S742" s="86">
        <f t="shared" si="272"/>
        <v>63512</v>
      </c>
    </row>
    <row r="743" spans="2:19" x14ac:dyDescent="0.2">
      <c r="B743" s="83">
        <f t="shared" si="267"/>
        <v>147</v>
      </c>
      <c r="C743" s="7"/>
      <c r="D743" s="7"/>
      <c r="E743" s="7"/>
      <c r="F743" s="25" t="s">
        <v>203</v>
      </c>
      <c r="G743" s="7">
        <v>620</v>
      </c>
      <c r="H743" s="7" t="s">
        <v>136</v>
      </c>
      <c r="I743" s="23">
        <f>21960+1665</f>
        <v>23625</v>
      </c>
      <c r="J743" s="23">
        <v>-229</v>
      </c>
      <c r="K743" s="23">
        <f t="shared" si="265"/>
        <v>23396</v>
      </c>
      <c r="M743" s="23"/>
      <c r="N743" s="23"/>
      <c r="O743" s="86">
        <f t="shared" si="266"/>
        <v>0</v>
      </c>
      <c r="Q743" s="273">
        <f t="shared" si="263"/>
        <v>23625</v>
      </c>
      <c r="R743" s="86">
        <f t="shared" si="272"/>
        <v>-229</v>
      </c>
      <c r="S743" s="86">
        <f t="shared" si="272"/>
        <v>23396</v>
      </c>
    </row>
    <row r="744" spans="2:19" x14ac:dyDescent="0.2">
      <c r="B744" s="83">
        <f t="shared" si="267"/>
        <v>148</v>
      </c>
      <c r="C744" s="7"/>
      <c r="D744" s="7"/>
      <c r="E744" s="7"/>
      <c r="F744" s="25" t="s">
        <v>203</v>
      </c>
      <c r="G744" s="7">
        <v>630</v>
      </c>
      <c r="H744" s="7" t="s">
        <v>133</v>
      </c>
      <c r="I744" s="23">
        <f>SUM(I745:I749)</f>
        <v>15739</v>
      </c>
      <c r="J744" s="23">
        <f t="shared" ref="J744" si="273">SUM(J745:J749)</f>
        <v>885</v>
      </c>
      <c r="K744" s="23">
        <f t="shared" si="265"/>
        <v>16624</v>
      </c>
      <c r="M744" s="23"/>
      <c r="N744" s="23"/>
      <c r="O744" s="86">
        <f t="shared" si="266"/>
        <v>0</v>
      </c>
      <c r="Q744" s="273">
        <f t="shared" si="263"/>
        <v>15739</v>
      </c>
      <c r="R744" s="86">
        <f t="shared" si="272"/>
        <v>885</v>
      </c>
      <c r="S744" s="86">
        <f t="shared" si="272"/>
        <v>16624</v>
      </c>
    </row>
    <row r="745" spans="2:19" x14ac:dyDescent="0.2">
      <c r="B745" s="83">
        <f t="shared" si="267"/>
        <v>149</v>
      </c>
      <c r="C745" s="3"/>
      <c r="D745" s="3"/>
      <c r="E745" s="3"/>
      <c r="F745" s="26" t="s">
        <v>203</v>
      </c>
      <c r="G745" s="3">
        <v>632</v>
      </c>
      <c r="H745" s="3" t="s">
        <v>146</v>
      </c>
      <c r="I745" s="19">
        <v>485</v>
      </c>
      <c r="J745" s="19"/>
      <c r="K745" s="19">
        <f t="shared" si="265"/>
        <v>485</v>
      </c>
      <c r="M745" s="19"/>
      <c r="N745" s="19"/>
      <c r="O745" s="87">
        <f t="shared" si="266"/>
        <v>0</v>
      </c>
      <c r="Q745" s="274">
        <f t="shared" si="263"/>
        <v>485</v>
      </c>
      <c r="R745" s="87">
        <f t="shared" si="272"/>
        <v>0</v>
      </c>
      <c r="S745" s="87">
        <f t="shared" si="272"/>
        <v>485</v>
      </c>
    </row>
    <row r="746" spans="2:19" x14ac:dyDescent="0.2">
      <c r="B746" s="83">
        <f t="shared" si="267"/>
        <v>150</v>
      </c>
      <c r="C746" s="3"/>
      <c r="D746" s="3"/>
      <c r="E746" s="3"/>
      <c r="F746" s="26" t="s">
        <v>203</v>
      </c>
      <c r="G746" s="3">
        <v>633</v>
      </c>
      <c r="H746" s="3" t="s">
        <v>137</v>
      </c>
      <c r="I746" s="19">
        <v>2634</v>
      </c>
      <c r="J746" s="19">
        <v>885</v>
      </c>
      <c r="K746" s="19">
        <f t="shared" si="265"/>
        <v>3519</v>
      </c>
      <c r="M746" s="19"/>
      <c r="N746" s="19"/>
      <c r="O746" s="87">
        <f t="shared" si="266"/>
        <v>0</v>
      </c>
      <c r="Q746" s="274">
        <f t="shared" si="263"/>
        <v>2634</v>
      </c>
      <c r="R746" s="87">
        <f t="shared" si="272"/>
        <v>885</v>
      </c>
      <c r="S746" s="87">
        <f t="shared" si="272"/>
        <v>3519</v>
      </c>
    </row>
    <row r="747" spans="2:19" x14ac:dyDescent="0.2">
      <c r="B747" s="83">
        <f t="shared" si="267"/>
        <v>151</v>
      </c>
      <c r="C747" s="3"/>
      <c r="D747" s="3"/>
      <c r="E747" s="3"/>
      <c r="F747" s="26" t="s">
        <v>203</v>
      </c>
      <c r="G747" s="3">
        <v>635</v>
      </c>
      <c r="H747" s="3" t="s">
        <v>145</v>
      </c>
      <c r="I747" s="19">
        <v>1200</v>
      </c>
      <c r="J747" s="19"/>
      <c r="K747" s="19">
        <f t="shared" si="265"/>
        <v>1200</v>
      </c>
      <c r="M747" s="19"/>
      <c r="N747" s="19"/>
      <c r="O747" s="87">
        <f t="shared" si="266"/>
        <v>0</v>
      </c>
      <c r="Q747" s="274">
        <f t="shared" si="263"/>
        <v>1200</v>
      </c>
      <c r="R747" s="87">
        <f t="shared" si="272"/>
        <v>0</v>
      </c>
      <c r="S747" s="87">
        <f t="shared" si="272"/>
        <v>1200</v>
      </c>
    </row>
    <row r="748" spans="2:19" x14ac:dyDescent="0.2">
      <c r="B748" s="83">
        <f t="shared" si="267"/>
        <v>152</v>
      </c>
      <c r="C748" s="3"/>
      <c r="D748" s="3"/>
      <c r="E748" s="3"/>
      <c r="F748" s="26" t="s">
        <v>203</v>
      </c>
      <c r="G748" s="3">
        <v>636</v>
      </c>
      <c r="H748" s="3" t="s">
        <v>138</v>
      </c>
      <c r="I748" s="19">
        <v>10000</v>
      </c>
      <c r="J748" s="19"/>
      <c r="K748" s="19">
        <f t="shared" si="265"/>
        <v>10000</v>
      </c>
      <c r="M748" s="19"/>
      <c r="N748" s="19"/>
      <c r="O748" s="87">
        <f t="shared" si="266"/>
        <v>0</v>
      </c>
      <c r="Q748" s="274">
        <f t="shared" si="263"/>
        <v>10000</v>
      </c>
      <c r="R748" s="87">
        <f t="shared" si="272"/>
        <v>0</v>
      </c>
      <c r="S748" s="87">
        <f t="shared" si="272"/>
        <v>10000</v>
      </c>
    </row>
    <row r="749" spans="2:19" x14ac:dyDescent="0.2">
      <c r="B749" s="83">
        <f t="shared" si="267"/>
        <v>153</v>
      </c>
      <c r="C749" s="3"/>
      <c r="D749" s="3"/>
      <c r="E749" s="3"/>
      <c r="F749" s="26" t="s">
        <v>203</v>
      </c>
      <c r="G749" s="3">
        <v>637</v>
      </c>
      <c r="H749" s="3" t="s">
        <v>134</v>
      </c>
      <c r="I749" s="19">
        <v>1420</v>
      </c>
      <c r="J749" s="19"/>
      <c r="K749" s="19">
        <f t="shared" si="265"/>
        <v>1420</v>
      </c>
      <c r="M749" s="19"/>
      <c r="N749" s="19"/>
      <c r="O749" s="87">
        <f t="shared" si="266"/>
        <v>0</v>
      </c>
      <c r="Q749" s="274">
        <f t="shared" si="263"/>
        <v>1420</v>
      </c>
      <c r="R749" s="87">
        <f t="shared" si="272"/>
        <v>0</v>
      </c>
      <c r="S749" s="87">
        <f t="shared" si="272"/>
        <v>1420</v>
      </c>
    </row>
    <row r="750" spans="2:19" x14ac:dyDescent="0.2">
      <c r="B750" s="83">
        <f t="shared" si="267"/>
        <v>154</v>
      </c>
      <c r="C750" s="7"/>
      <c r="D750" s="7"/>
      <c r="E750" s="7"/>
      <c r="F750" s="25" t="s">
        <v>203</v>
      </c>
      <c r="G750" s="7">
        <v>640</v>
      </c>
      <c r="H750" s="7" t="s">
        <v>141</v>
      </c>
      <c r="I750" s="23">
        <v>1942</v>
      </c>
      <c r="J750" s="23"/>
      <c r="K750" s="23">
        <f t="shared" si="265"/>
        <v>1942</v>
      </c>
      <c r="M750" s="23"/>
      <c r="N750" s="23"/>
      <c r="O750" s="86">
        <f t="shared" si="266"/>
        <v>0</v>
      </c>
      <c r="Q750" s="273">
        <f t="shared" si="263"/>
        <v>1942</v>
      </c>
      <c r="R750" s="86">
        <f t="shared" si="272"/>
        <v>0</v>
      </c>
      <c r="S750" s="86">
        <f t="shared" si="272"/>
        <v>1942</v>
      </c>
    </row>
    <row r="751" spans="2:19" x14ac:dyDescent="0.2">
      <c r="B751" s="83">
        <f t="shared" si="267"/>
        <v>155</v>
      </c>
      <c r="C751" s="6"/>
      <c r="D751" s="6"/>
      <c r="E751" s="6" t="s">
        <v>114</v>
      </c>
      <c r="F751" s="29"/>
      <c r="G751" s="6"/>
      <c r="H751" s="6" t="s">
        <v>115</v>
      </c>
      <c r="I751" s="41">
        <f>I752+I753+I754+I760</f>
        <v>304791</v>
      </c>
      <c r="J751" s="41">
        <f t="shared" ref="J751" si="274">J752+J753+J754+J760</f>
        <v>-165</v>
      </c>
      <c r="K751" s="41">
        <f t="shared" si="265"/>
        <v>304626</v>
      </c>
      <c r="M751" s="41">
        <v>0</v>
      </c>
      <c r="N751" s="41">
        <v>0</v>
      </c>
      <c r="O751" s="100">
        <f t="shared" si="266"/>
        <v>0</v>
      </c>
      <c r="Q751" s="318">
        <f t="shared" si="263"/>
        <v>304791</v>
      </c>
      <c r="R751" s="100">
        <f t="shared" si="272"/>
        <v>-165</v>
      </c>
      <c r="S751" s="100">
        <f t="shared" si="272"/>
        <v>304626</v>
      </c>
    </row>
    <row r="752" spans="2:19" x14ac:dyDescent="0.2">
      <c r="B752" s="83">
        <f t="shared" si="267"/>
        <v>156</v>
      </c>
      <c r="C752" s="7"/>
      <c r="D752" s="7"/>
      <c r="E752" s="7"/>
      <c r="F752" s="25" t="s">
        <v>203</v>
      </c>
      <c r="G752" s="7">
        <v>610</v>
      </c>
      <c r="H752" s="7" t="s">
        <v>143</v>
      </c>
      <c r="I752" s="23">
        <f>177378+11606</f>
        <v>188984</v>
      </c>
      <c r="J752" s="23">
        <v>-4009</v>
      </c>
      <c r="K752" s="23">
        <f t="shared" si="265"/>
        <v>184975</v>
      </c>
      <c r="M752" s="23"/>
      <c r="N752" s="23"/>
      <c r="O752" s="86">
        <f t="shared" si="266"/>
        <v>0</v>
      </c>
      <c r="Q752" s="273">
        <f t="shared" si="263"/>
        <v>188984</v>
      </c>
      <c r="R752" s="86">
        <f t="shared" si="272"/>
        <v>-4009</v>
      </c>
      <c r="S752" s="86">
        <f t="shared" si="272"/>
        <v>184975</v>
      </c>
    </row>
    <row r="753" spans="2:19" x14ac:dyDescent="0.2">
      <c r="B753" s="83">
        <f t="shared" si="267"/>
        <v>157</v>
      </c>
      <c r="C753" s="7"/>
      <c r="D753" s="7"/>
      <c r="E753" s="7"/>
      <c r="F753" s="25" t="s">
        <v>203</v>
      </c>
      <c r="G753" s="7">
        <v>620</v>
      </c>
      <c r="H753" s="7" t="s">
        <v>136</v>
      </c>
      <c r="I753" s="23">
        <f>66792+4288</f>
        <v>71080</v>
      </c>
      <c r="J753" s="23">
        <v>-1401</v>
      </c>
      <c r="K753" s="23">
        <f t="shared" si="265"/>
        <v>69679</v>
      </c>
      <c r="M753" s="23"/>
      <c r="N753" s="23"/>
      <c r="O753" s="86">
        <f t="shared" si="266"/>
        <v>0</v>
      </c>
      <c r="Q753" s="273">
        <f t="shared" si="263"/>
        <v>71080</v>
      </c>
      <c r="R753" s="86">
        <f t="shared" si="272"/>
        <v>-1401</v>
      </c>
      <c r="S753" s="86">
        <f t="shared" si="272"/>
        <v>69679</v>
      </c>
    </row>
    <row r="754" spans="2:19" x14ac:dyDescent="0.2">
      <c r="B754" s="83">
        <f t="shared" si="267"/>
        <v>158</v>
      </c>
      <c r="C754" s="7"/>
      <c r="D754" s="7"/>
      <c r="E754" s="7"/>
      <c r="F754" s="25" t="s">
        <v>203</v>
      </c>
      <c r="G754" s="7">
        <v>630</v>
      </c>
      <c r="H754" s="7" t="s">
        <v>133</v>
      </c>
      <c r="I754" s="23">
        <f>SUM(I755:I759)</f>
        <v>40931</v>
      </c>
      <c r="J754" s="23">
        <f t="shared" ref="J754" si="275">SUM(J755:J759)</f>
        <v>5245</v>
      </c>
      <c r="K754" s="23">
        <f t="shared" si="265"/>
        <v>46176</v>
      </c>
      <c r="M754" s="23"/>
      <c r="N754" s="23"/>
      <c r="O754" s="86">
        <f t="shared" si="266"/>
        <v>0</v>
      </c>
      <c r="Q754" s="273">
        <f t="shared" si="263"/>
        <v>40931</v>
      </c>
      <c r="R754" s="86">
        <f t="shared" si="272"/>
        <v>5245</v>
      </c>
      <c r="S754" s="86">
        <f t="shared" si="272"/>
        <v>46176</v>
      </c>
    </row>
    <row r="755" spans="2:19" x14ac:dyDescent="0.2">
      <c r="B755" s="83">
        <f t="shared" si="267"/>
        <v>159</v>
      </c>
      <c r="C755" s="3"/>
      <c r="D755" s="3"/>
      <c r="E755" s="3"/>
      <c r="F755" s="26" t="s">
        <v>203</v>
      </c>
      <c r="G755" s="3">
        <v>632</v>
      </c>
      <c r="H755" s="3" t="s">
        <v>146</v>
      </c>
      <c r="I755" s="19">
        <v>12500</v>
      </c>
      <c r="J755" s="19"/>
      <c r="K755" s="19">
        <f t="shared" si="265"/>
        <v>12500</v>
      </c>
      <c r="M755" s="19"/>
      <c r="N755" s="19"/>
      <c r="O755" s="87">
        <f t="shared" si="266"/>
        <v>0</v>
      </c>
      <c r="Q755" s="274">
        <f t="shared" si="263"/>
        <v>12500</v>
      </c>
      <c r="R755" s="87">
        <f t="shared" si="272"/>
        <v>0</v>
      </c>
      <c r="S755" s="87">
        <f t="shared" si="272"/>
        <v>12500</v>
      </c>
    </row>
    <row r="756" spans="2:19" x14ac:dyDescent="0.2">
      <c r="B756" s="83">
        <f t="shared" si="267"/>
        <v>160</v>
      </c>
      <c r="C756" s="3"/>
      <c r="D756" s="3"/>
      <c r="E756" s="3"/>
      <c r="F756" s="26" t="s">
        <v>203</v>
      </c>
      <c r="G756" s="3">
        <v>633</v>
      </c>
      <c r="H756" s="3" t="s">
        <v>137</v>
      </c>
      <c r="I756" s="19">
        <v>13086</v>
      </c>
      <c r="J756" s="19">
        <v>5245</v>
      </c>
      <c r="K756" s="19">
        <f t="shared" si="265"/>
        <v>18331</v>
      </c>
      <c r="M756" s="19"/>
      <c r="N756" s="19"/>
      <c r="O756" s="87">
        <f t="shared" si="266"/>
        <v>0</v>
      </c>
      <c r="Q756" s="274">
        <f t="shared" si="263"/>
        <v>13086</v>
      </c>
      <c r="R756" s="87">
        <f t="shared" si="272"/>
        <v>5245</v>
      </c>
      <c r="S756" s="87">
        <f t="shared" si="272"/>
        <v>18331</v>
      </c>
    </row>
    <row r="757" spans="2:19" x14ac:dyDescent="0.2">
      <c r="B757" s="83">
        <f t="shared" si="267"/>
        <v>161</v>
      </c>
      <c r="C757" s="3"/>
      <c r="D757" s="3"/>
      <c r="E757" s="3"/>
      <c r="F757" s="26" t="s">
        <v>203</v>
      </c>
      <c r="G757" s="3">
        <v>635</v>
      </c>
      <c r="H757" s="3" t="s">
        <v>145</v>
      </c>
      <c r="I757" s="19">
        <v>4500</v>
      </c>
      <c r="J757" s="19"/>
      <c r="K757" s="19">
        <f t="shared" si="265"/>
        <v>4500</v>
      </c>
      <c r="M757" s="19"/>
      <c r="N757" s="19"/>
      <c r="O757" s="87">
        <f t="shared" si="266"/>
        <v>0</v>
      </c>
      <c r="Q757" s="274">
        <f t="shared" si="263"/>
        <v>4500</v>
      </c>
      <c r="R757" s="87">
        <f t="shared" ref="R757:S772" si="276">J757+N757</f>
        <v>0</v>
      </c>
      <c r="S757" s="87">
        <f t="shared" si="276"/>
        <v>4500</v>
      </c>
    </row>
    <row r="758" spans="2:19" x14ac:dyDescent="0.2">
      <c r="B758" s="83">
        <f t="shared" si="267"/>
        <v>162</v>
      </c>
      <c r="C758" s="3"/>
      <c r="D758" s="3"/>
      <c r="E758" s="3"/>
      <c r="F758" s="26" t="s">
        <v>203</v>
      </c>
      <c r="G758" s="3">
        <v>636</v>
      </c>
      <c r="H758" s="3" t="s">
        <v>138</v>
      </c>
      <c r="I758" s="19">
        <v>3500</v>
      </c>
      <c r="J758" s="19"/>
      <c r="K758" s="19">
        <f t="shared" si="265"/>
        <v>3500</v>
      </c>
      <c r="M758" s="19"/>
      <c r="N758" s="19"/>
      <c r="O758" s="87">
        <f t="shared" si="266"/>
        <v>0</v>
      </c>
      <c r="Q758" s="274">
        <f t="shared" si="263"/>
        <v>3500</v>
      </c>
      <c r="R758" s="87">
        <f t="shared" si="276"/>
        <v>0</v>
      </c>
      <c r="S758" s="87">
        <f t="shared" si="276"/>
        <v>3500</v>
      </c>
    </row>
    <row r="759" spans="2:19" x14ac:dyDescent="0.2">
      <c r="B759" s="83">
        <f t="shared" si="267"/>
        <v>163</v>
      </c>
      <c r="C759" s="3"/>
      <c r="D759" s="3"/>
      <c r="E759" s="3"/>
      <c r="F759" s="26" t="s">
        <v>203</v>
      </c>
      <c r="G759" s="3">
        <v>637</v>
      </c>
      <c r="H759" s="3" t="s">
        <v>134</v>
      </c>
      <c r="I759" s="19">
        <v>7345</v>
      </c>
      <c r="J759" s="19"/>
      <c r="K759" s="19">
        <f t="shared" si="265"/>
        <v>7345</v>
      </c>
      <c r="M759" s="19"/>
      <c r="N759" s="19"/>
      <c r="O759" s="87">
        <f t="shared" si="266"/>
        <v>0</v>
      </c>
      <c r="Q759" s="274">
        <f t="shared" si="263"/>
        <v>7345</v>
      </c>
      <c r="R759" s="87">
        <f t="shared" si="276"/>
        <v>0</v>
      </c>
      <c r="S759" s="87">
        <f t="shared" si="276"/>
        <v>7345</v>
      </c>
    </row>
    <row r="760" spans="2:19" x14ac:dyDescent="0.2">
      <c r="B760" s="83">
        <f t="shared" si="267"/>
        <v>164</v>
      </c>
      <c r="C760" s="7"/>
      <c r="D760" s="7"/>
      <c r="E760" s="7"/>
      <c r="F760" s="25" t="s">
        <v>203</v>
      </c>
      <c r="G760" s="7">
        <v>640</v>
      </c>
      <c r="H760" s="7" t="s">
        <v>141</v>
      </c>
      <c r="I760" s="23">
        <v>3796</v>
      </c>
      <c r="J760" s="23"/>
      <c r="K760" s="23">
        <f t="shared" si="265"/>
        <v>3796</v>
      </c>
      <c r="M760" s="23"/>
      <c r="N760" s="23"/>
      <c r="O760" s="86">
        <f t="shared" si="266"/>
        <v>0</v>
      </c>
      <c r="Q760" s="273">
        <f t="shared" si="263"/>
        <v>3796</v>
      </c>
      <c r="R760" s="86">
        <f t="shared" si="276"/>
        <v>0</v>
      </c>
      <c r="S760" s="86">
        <f t="shared" si="276"/>
        <v>3796</v>
      </c>
    </row>
    <row r="761" spans="2:19" ht="15" x14ac:dyDescent="0.2">
      <c r="B761" s="83">
        <f t="shared" si="267"/>
        <v>165</v>
      </c>
      <c r="C761" s="268">
        <v>2</v>
      </c>
      <c r="D761" s="360" t="s">
        <v>197</v>
      </c>
      <c r="E761" s="361"/>
      <c r="F761" s="361"/>
      <c r="G761" s="361"/>
      <c r="H761" s="362"/>
      <c r="I761" s="36">
        <f>I762+I765+I774+I795+I817+I838+I860+I883+I902+I923</f>
        <v>8136190</v>
      </c>
      <c r="J761" s="36">
        <f t="shared" ref="J761" si="277">J762+J765+J774+J795+J817+J838+J860+J883+J902+J923</f>
        <v>-73930</v>
      </c>
      <c r="K761" s="36">
        <f t="shared" si="265"/>
        <v>8062260</v>
      </c>
      <c r="M761" s="36">
        <f>M762+M765+M774+M795+M817+M838+M860+M883+M902+M923</f>
        <v>471883</v>
      </c>
      <c r="N761" s="36">
        <f>N762+N765+N774+N795+N817+N838+N860+N883+N902+N923</f>
        <v>0</v>
      </c>
      <c r="O761" s="84">
        <f t="shared" si="266"/>
        <v>471883</v>
      </c>
      <c r="Q761" s="272">
        <f t="shared" si="263"/>
        <v>8608073</v>
      </c>
      <c r="R761" s="84">
        <f t="shared" si="276"/>
        <v>-73930</v>
      </c>
      <c r="S761" s="84">
        <f t="shared" si="276"/>
        <v>8534143</v>
      </c>
    </row>
    <row r="762" spans="2:19" x14ac:dyDescent="0.2">
      <c r="B762" s="83">
        <f t="shared" si="267"/>
        <v>166</v>
      </c>
      <c r="C762" s="7"/>
      <c r="D762" s="7"/>
      <c r="E762" s="7"/>
      <c r="F762" s="25" t="s">
        <v>131</v>
      </c>
      <c r="G762" s="7">
        <v>630</v>
      </c>
      <c r="H762" s="7" t="s">
        <v>133</v>
      </c>
      <c r="I762" s="23">
        <f>I763+I764</f>
        <v>31050</v>
      </c>
      <c r="J762" s="23">
        <f t="shared" ref="J762" si="278">J763+J764</f>
        <v>-5000</v>
      </c>
      <c r="K762" s="23">
        <f t="shared" si="265"/>
        <v>26050</v>
      </c>
      <c r="M762" s="23"/>
      <c r="N762" s="23"/>
      <c r="O762" s="86">
        <f t="shared" si="266"/>
        <v>0</v>
      </c>
      <c r="Q762" s="273">
        <f t="shared" si="263"/>
        <v>31050</v>
      </c>
      <c r="R762" s="86">
        <f t="shared" si="276"/>
        <v>-5000</v>
      </c>
      <c r="S762" s="86">
        <f t="shared" si="276"/>
        <v>26050</v>
      </c>
    </row>
    <row r="763" spans="2:19" x14ac:dyDescent="0.2">
      <c r="B763" s="83">
        <f t="shared" si="267"/>
        <v>167</v>
      </c>
      <c r="C763" s="3"/>
      <c r="D763" s="3"/>
      <c r="E763" s="3"/>
      <c r="F763" s="26" t="s">
        <v>131</v>
      </c>
      <c r="G763" s="3">
        <v>635</v>
      </c>
      <c r="H763" s="3" t="s">
        <v>145</v>
      </c>
      <c r="I763" s="19">
        <f>30000-1700</f>
        <v>28300</v>
      </c>
      <c r="J763" s="19">
        <v>-5000</v>
      </c>
      <c r="K763" s="19">
        <f t="shared" si="265"/>
        <v>23300</v>
      </c>
      <c r="M763" s="19"/>
      <c r="N763" s="19"/>
      <c r="O763" s="87">
        <f t="shared" si="266"/>
        <v>0</v>
      </c>
      <c r="Q763" s="274">
        <f t="shared" si="263"/>
        <v>28300</v>
      </c>
      <c r="R763" s="87">
        <f t="shared" si="276"/>
        <v>-5000</v>
      </c>
      <c r="S763" s="87">
        <f t="shared" si="276"/>
        <v>23300</v>
      </c>
    </row>
    <row r="764" spans="2:19" x14ac:dyDescent="0.2">
      <c r="B764" s="83">
        <f t="shared" si="267"/>
        <v>168</v>
      </c>
      <c r="C764" s="3"/>
      <c r="D764" s="3"/>
      <c r="E764" s="3"/>
      <c r="F764" s="26" t="s">
        <v>131</v>
      </c>
      <c r="G764" s="3">
        <v>637</v>
      </c>
      <c r="H764" s="3" t="s">
        <v>453</v>
      </c>
      <c r="I764" s="19">
        <v>2750</v>
      </c>
      <c r="J764" s="19"/>
      <c r="K764" s="19">
        <f t="shared" si="265"/>
        <v>2750</v>
      </c>
      <c r="M764" s="19"/>
      <c r="N764" s="19"/>
      <c r="O764" s="87">
        <f t="shared" si="266"/>
        <v>0</v>
      </c>
      <c r="Q764" s="274">
        <f t="shared" si="263"/>
        <v>2750</v>
      </c>
      <c r="R764" s="87">
        <f t="shared" si="276"/>
        <v>0</v>
      </c>
      <c r="S764" s="87">
        <f t="shared" si="276"/>
        <v>2750</v>
      </c>
    </row>
    <row r="765" spans="2:19" ht="15" x14ac:dyDescent="0.25">
      <c r="B765" s="83">
        <f t="shared" si="267"/>
        <v>169</v>
      </c>
      <c r="C765" s="10"/>
      <c r="D765" s="10"/>
      <c r="E765" s="10">
        <v>4</v>
      </c>
      <c r="F765" s="28"/>
      <c r="G765" s="10"/>
      <c r="H765" s="10" t="s">
        <v>90</v>
      </c>
      <c r="I765" s="38">
        <f>I766</f>
        <v>112990</v>
      </c>
      <c r="J765" s="38">
        <f t="shared" ref="J765" si="279">J766</f>
        <v>10753</v>
      </c>
      <c r="K765" s="38">
        <f t="shared" si="265"/>
        <v>123743</v>
      </c>
      <c r="M765" s="38">
        <v>0</v>
      </c>
      <c r="N765" s="38">
        <v>0</v>
      </c>
      <c r="O765" s="94">
        <f t="shared" si="266"/>
        <v>0</v>
      </c>
      <c r="Q765" s="315">
        <f t="shared" si="263"/>
        <v>112990</v>
      </c>
      <c r="R765" s="94">
        <f t="shared" si="276"/>
        <v>10753</v>
      </c>
      <c r="S765" s="94">
        <f t="shared" si="276"/>
        <v>123743</v>
      </c>
    </row>
    <row r="766" spans="2:19" x14ac:dyDescent="0.2">
      <c r="B766" s="83">
        <f t="shared" si="267"/>
        <v>170</v>
      </c>
      <c r="C766" s="6"/>
      <c r="D766" s="6"/>
      <c r="E766" s="6" t="s">
        <v>98</v>
      </c>
      <c r="F766" s="29"/>
      <c r="G766" s="6"/>
      <c r="H766" s="6" t="s">
        <v>99</v>
      </c>
      <c r="I766" s="41">
        <f>I767+I768+I769</f>
        <v>112990</v>
      </c>
      <c r="J766" s="41">
        <f t="shared" ref="J766" si="280">J767+J768+J769</f>
        <v>10753</v>
      </c>
      <c r="K766" s="41">
        <f t="shared" si="265"/>
        <v>123743</v>
      </c>
      <c r="M766" s="41">
        <v>0</v>
      </c>
      <c r="N766" s="41">
        <v>0</v>
      </c>
      <c r="O766" s="100">
        <f t="shared" si="266"/>
        <v>0</v>
      </c>
      <c r="Q766" s="318">
        <f t="shared" si="263"/>
        <v>112990</v>
      </c>
      <c r="R766" s="100">
        <f t="shared" si="276"/>
        <v>10753</v>
      </c>
      <c r="S766" s="100">
        <f t="shared" si="276"/>
        <v>123743</v>
      </c>
    </row>
    <row r="767" spans="2:19" x14ac:dyDescent="0.2">
      <c r="B767" s="83">
        <f t="shared" si="267"/>
        <v>171</v>
      </c>
      <c r="C767" s="7"/>
      <c r="D767" s="7"/>
      <c r="E767" s="7"/>
      <c r="F767" s="25" t="s">
        <v>131</v>
      </c>
      <c r="G767" s="7">
        <v>610</v>
      </c>
      <c r="H767" s="7" t="s">
        <v>143</v>
      </c>
      <c r="I767" s="23">
        <f>71100+465</f>
        <v>71565</v>
      </c>
      <c r="J767" s="23">
        <v>5790</v>
      </c>
      <c r="K767" s="23">
        <f t="shared" si="265"/>
        <v>77355</v>
      </c>
      <c r="M767" s="23"/>
      <c r="N767" s="23"/>
      <c r="O767" s="86">
        <f t="shared" si="266"/>
        <v>0</v>
      </c>
      <c r="Q767" s="273">
        <f t="shared" si="263"/>
        <v>71565</v>
      </c>
      <c r="R767" s="86">
        <f t="shared" si="276"/>
        <v>5790</v>
      </c>
      <c r="S767" s="86">
        <f t="shared" si="276"/>
        <v>77355</v>
      </c>
    </row>
    <row r="768" spans="2:19" x14ac:dyDescent="0.2">
      <c r="B768" s="83">
        <f t="shared" si="267"/>
        <v>172</v>
      </c>
      <c r="C768" s="7"/>
      <c r="D768" s="7"/>
      <c r="E768" s="7"/>
      <c r="F768" s="25" t="s">
        <v>131</v>
      </c>
      <c r="G768" s="7">
        <v>620</v>
      </c>
      <c r="H768" s="7" t="s">
        <v>136</v>
      </c>
      <c r="I768" s="23">
        <f>25739+172</f>
        <v>25911</v>
      </c>
      <c r="J768" s="23">
        <v>1033</v>
      </c>
      <c r="K768" s="23">
        <f t="shared" si="265"/>
        <v>26944</v>
      </c>
      <c r="M768" s="23"/>
      <c r="N768" s="23"/>
      <c r="O768" s="86">
        <f t="shared" si="266"/>
        <v>0</v>
      </c>
      <c r="Q768" s="273">
        <f t="shared" si="263"/>
        <v>25911</v>
      </c>
      <c r="R768" s="86">
        <f t="shared" si="276"/>
        <v>1033</v>
      </c>
      <c r="S768" s="86">
        <f t="shared" si="276"/>
        <v>26944</v>
      </c>
    </row>
    <row r="769" spans="2:19" x14ac:dyDescent="0.2">
      <c r="B769" s="83">
        <f t="shared" si="267"/>
        <v>173</v>
      </c>
      <c r="C769" s="7"/>
      <c r="D769" s="7"/>
      <c r="E769" s="7"/>
      <c r="F769" s="25" t="s">
        <v>131</v>
      </c>
      <c r="G769" s="7">
        <v>630</v>
      </c>
      <c r="H769" s="7" t="s">
        <v>133</v>
      </c>
      <c r="I769" s="23">
        <f>SUM(I770:I773)</f>
        <v>15514</v>
      </c>
      <c r="J769" s="23">
        <f t="shared" ref="J769" si="281">SUM(J770:J773)</f>
        <v>3930</v>
      </c>
      <c r="K769" s="23">
        <f t="shared" si="265"/>
        <v>19444</v>
      </c>
      <c r="M769" s="23"/>
      <c r="N769" s="23"/>
      <c r="O769" s="86">
        <f t="shared" si="266"/>
        <v>0</v>
      </c>
      <c r="Q769" s="273">
        <f t="shared" si="263"/>
        <v>15514</v>
      </c>
      <c r="R769" s="86">
        <f t="shared" si="276"/>
        <v>3930</v>
      </c>
      <c r="S769" s="86">
        <f t="shared" si="276"/>
        <v>19444</v>
      </c>
    </row>
    <row r="770" spans="2:19" x14ac:dyDescent="0.2">
      <c r="B770" s="83">
        <f t="shared" si="267"/>
        <v>174</v>
      </c>
      <c r="C770" s="3"/>
      <c r="D770" s="3"/>
      <c r="E770" s="3"/>
      <c r="F770" s="26" t="s">
        <v>131</v>
      </c>
      <c r="G770" s="3">
        <v>632</v>
      </c>
      <c r="H770" s="3" t="s">
        <v>146</v>
      </c>
      <c r="I770" s="19">
        <v>5700</v>
      </c>
      <c r="J770" s="19"/>
      <c r="K770" s="19">
        <f t="shared" si="265"/>
        <v>5700</v>
      </c>
      <c r="M770" s="19"/>
      <c r="N770" s="19"/>
      <c r="O770" s="87">
        <f t="shared" si="266"/>
        <v>0</v>
      </c>
      <c r="Q770" s="274">
        <f t="shared" si="263"/>
        <v>5700</v>
      </c>
      <c r="R770" s="87">
        <f t="shared" si="276"/>
        <v>0</v>
      </c>
      <c r="S770" s="87">
        <f t="shared" si="276"/>
        <v>5700</v>
      </c>
    </row>
    <row r="771" spans="2:19" x14ac:dyDescent="0.2">
      <c r="B771" s="83">
        <f t="shared" si="267"/>
        <v>175</v>
      </c>
      <c r="C771" s="3"/>
      <c r="D771" s="3"/>
      <c r="E771" s="3"/>
      <c r="F771" s="26" t="s">
        <v>131</v>
      </c>
      <c r="G771" s="3">
        <v>633</v>
      </c>
      <c r="H771" s="3" t="s">
        <v>137</v>
      </c>
      <c r="I771" s="19">
        <v>3444</v>
      </c>
      <c r="J771" s="19">
        <v>3930</v>
      </c>
      <c r="K771" s="19">
        <f t="shared" si="265"/>
        <v>7374</v>
      </c>
      <c r="M771" s="19"/>
      <c r="N771" s="19"/>
      <c r="O771" s="87">
        <f t="shared" si="266"/>
        <v>0</v>
      </c>
      <c r="Q771" s="274">
        <f t="shared" si="263"/>
        <v>3444</v>
      </c>
      <c r="R771" s="87">
        <f t="shared" si="276"/>
        <v>3930</v>
      </c>
      <c r="S771" s="87">
        <f t="shared" si="276"/>
        <v>7374</v>
      </c>
    </row>
    <row r="772" spans="2:19" x14ac:dyDescent="0.2">
      <c r="B772" s="83">
        <f t="shared" si="267"/>
        <v>176</v>
      </c>
      <c r="C772" s="3"/>
      <c r="D772" s="3"/>
      <c r="E772" s="3"/>
      <c r="F772" s="26" t="s">
        <v>131</v>
      </c>
      <c r="G772" s="3">
        <v>635</v>
      </c>
      <c r="H772" s="3" t="s">
        <v>145</v>
      </c>
      <c r="I772" s="19">
        <v>1000</v>
      </c>
      <c r="J772" s="19"/>
      <c r="K772" s="19">
        <f t="shared" si="265"/>
        <v>1000</v>
      </c>
      <c r="M772" s="19"/>
      <c r="N772" s="19"/>
      <c r="O772" s="87">
        <f t="shared" si="266"/>
        <v>0</v>
      </c>
      <c r="Q772" s="274">
        <f t="shared" si="263"/>
        <v>1000</v>
      </c>
      <c r="R772" s="87">
        <f t="shared" si="276"/>
        <v>0</v>
      </c>
      <c r="S772" s="87">
        <f t="shared" si="276"/>
        <v>1000</v>
      </c>
    </row>
    <row r="773" spans="2:19" x14ac:dyDescent="0.2">
      <c r="B773" s="83">
        <f t="shared" si="267"/>
        <v>177</v>
      </c>
      <c r="C773" s="3"/>
      <c r="D773" s="3"/>
      <c r="E773" s="3"/>
      <c r="F773" s="26" t="s">
        <v>131</v>
      </c>
      <c r="G773" s="3">
        <v>637</v>
      </c>
      <c r="H773" s="3" t="s">
        <v>134</v>
      </c>
      <c r="I773" s="19">
        <v>5370</v>
      </c>
      <c r="J773" s="19"/>
      <c r="K773" s="19">
        <f t="shared" si="265"/>
        <v>5370</v>
      </c>
      <c r="M773" s="19"/>
      <c r="N773" s="19"/>
      <c r="O773" s="87">
        <f t="shared" si="266"/>
        <v>0</v>
      </c>
      <c r="Q773" s="274">
        <f t="shared" si="263"/>
        <v>5370</v>
      </c>
      <c r="R773" s="87">
        <f t="shared" ref="R773:S788" si="282">J773+N773</f>
        <v>0</v>
      </c>
      <c r="S773" s="87">
        <f t="shared" si="282"/>
        <v>5370</v>
      </c>
    </row>
    <row r="774" spans="2:19" ht="15" x14ac:dyDescent="0.25">
      <c r="B774" s="83">
        <f t="shared" si="267"/>
        <v>178</v>
      </c>
      <c r="C774" s="10"/>
      <c r="D774" s="10"/>
      <c r="E774" s="10">
        <v>6</v>
      </c>
      <c r="F774" s="28"/>
      <c r="G774" s="10"/>
      <c r="H774" s="10" t="s">
        <v>12</v>
      </c>
      <c r="I774" s="38">
        <f>I775+I776+I777+I784+I785+I786+I787+I794</f>
        <v>839163</v>
      </c>
      <c r="J774" s="38">
        <f>J775+J776+J777+J784+J785+J786+J787+J794</f>
        <v>-9203</v>
      </c>
      <c r="K774" s="38">
        <f t="shared" si="265"/>
        <v>829960</v>
      </c>
      <c r="M774" s="38">
        <v>0</v>
      </c>
      <c r="N774" s="38">
        <v>0</v>
      </c>
      <c r="O774" s="94">
        <f t="shared" si="266"/>
        <v>0</v>
      </c>
      <c r="Q774" s="315">
        <f t="shared" si="263"/>
        <v>839163</v>
      </c>
      <c r="R774" s="94">
        <f t="shared" si="282"/>
        <v>-9203</v>
      </c>
      <c r="S774" s="94">
        <f t="shared" si="282"/>
        <v>829960</v>
      </c>
    </row>
    <row r="775" spans="2:19" x14ac:dyDescent="0.2">
      <c r="B775" s="83">
        <f t="shared" si="267"/>
        <v>179</v>
      </c>
      <c r="C775" s="7"/>
      <c r="D775" s="7"/>
      <c r="E775" s="7"/>
      <c r="F775" s="25" t="s">
        <v>131</v>
      </c>
      <c r="G775" s="7">
        <v>610</v>
      </c>
      <c r="H775" s="7" t="s">
        <v>143</v>
      </c>
      <c r="I775" s="23">
        <f>223520+15607</f>
        <v>239127</v>
      </c>
      <c r="J775" s="23"/>
      <c r="K775" s="23">
        <f t="shared" si="265"/>
        <v>239127</v>
      </c>
      <c r="M775" s="23"/>
      <c r="N775" s="23"/>
      <c r="O775" s="86">
        <f t="shared" si="266"/>
        <v>0</v>
      </c>
      <c r="Q775" s="273">
        <f t="shared" si="263"/>
        <v>239127</v>
      </c>
      <c r="R775" s="86">
        <f t="shared" si="282"/>
        <v>0</v>
      </c>
      <c r="S775" s="86">
        <f t="shared" si="282"/>
        <v>239127</v>
      </c>
    </row>
    <row r="776" spans="2:19" x14ac:dyDescent="0.2">
      <c r="B776" s="83">
        <f t="shared" si="267"/>
        <v>180</v>
      </c>
      <c r="C776" s="7"/>
      <c r="D776" s="7"/>
      <c r="E776" s="7"/>
      <c r="F776" s="25" t="s">
        <v>131</v>
      </c>
      <c r="G776" s="7">
        <v>620</v>
      </c>
      <c r="H776" s="7" t="s">
        <v>136</v>
      </c>
      <c r="I776" s="23">
        <f>73573+5464</f>
        <v>79037</v>
      </c>
      <c r="J776" s="23"/>
      <c r="K776" s="23">
        <f t="shared" si="265"/>
        <v>79037</v>
      </c>
      <c r="M776" s="23"/>
      <c r="N776" s="23"/>
      <c r="O776" s="86">
        <f t="shared" si="266"/>
        <v>0</v>
      </c>
      <c r="Q776" s="273">
        <f t="shared" si="263"/>
        <v>79037</v>
      </c>
      <c r="R776" s="86">
        <f t="shared" si="282"/>
        <v>0</v>
      </c>
      <c r="S776" s="86">
        <f t="shared" si="282"/>
        <v>79037</v>
      </c>
    </row>
    <row r="777" spans="2:19" x14ac:dyDescent="0.2">
      <c r="B777" s="83">
        <f t="shared" si="267"/>
        <v>181</v>
      </c>
      <c r="C777" s="7"/>
      <c r="D777" s="7"/>
      <c r="E777" s="7"/>
      <c r="F777" s="25" t="s">
        <v>131</v>
      </c>
      <c r="G777" s="7">
        <v>630</v>
      </c>
      <c r="H777" s="7" t="s">
        <v>133</v>
      </c>
      <c r="I777" s="23">
        <f>SUM(I778:I783)</f>
        <v>68155</v>
      </c>
      <c r="J777" s="23">
        <f t="shared" ref="J777" si="283">SUM(J778:J783)</f>
        <v>-4998</v>
      </c>
      <c r="K777" s="23">
        <f t="shared" si="265"/>
        <v>63157</v>
      </c>
      <c r="M777" s="23"/>
      <c r="N777" s="23"/>
      <c r="O777" s="86">
        <f t="shared" si="266"/>
        <v>0</v>
      </c>
      <c r="Q777" s="273">
        <f t="shared" si="263"/>
        <v>68155</v>
      </c>
      <c r="R777" s="86">
        <f t="shared" si="282"/>
        <v>-4998</v>
      </c>
      <c r="S777" s="86">
        <f t="shared" si="282"/>
        <v>63157</v>
      </c>
    </row>
    <row r="778" spans="2:19" x14ac:dyDescent="0.2">
      <c r="B778" s="83">
        <f t="shared" si="267"/>
        <v>182</v>
      </c>
      <c r="C778" s="3"/>
      <c r="D778" s="3"/>
      <c r="E778" s="3"/>
      <c r="F778" s="26" t="s">
        <v>131</v>
      </c>
      <c r="G778" s="3">
        <v>631</v>
      </c>
      <c r="H778" s="3" t="s">
        <v>139</v>
      </c>
      <c r="I778" s="19">
        <v>249</v>
      </c>
      <c r="J778" s="19"/>
      <c r="K778" s="19">
        <f t="shared" si="265"/>
        <v>249</v>
      </c>
      <c r="M778" s="19"/>
      <c r="N778" s="19"/>
      <c r="O778" s="87">
        <f t="shared" si="266"/>
        <v>0</v>
      </c>
      <c r="Q778" s="274">
        <f t="shared" si="263"/>
        <v>249</v>
      </c>
      <c r="R778" s="87">
        <f t="shared" si="282"/>
        <v>0</v>
      </c>
      <c r="S778" s="87">
        <f t="shared" si="282"/>
        <v>249</v>
      </c>
    </row>
    <row r="779" spans="2:19" x14ac:dyDescent="0.2">
      <c r="B779" s="83">
        <f t="shared" si="267"/>
        <v>183</v>
      </c>
      <c r="C779" s="3"/>
      <c r="D779" s="3"/>
      <c r="E779" s="3"/>
      <c r="F779" s="26" t="s">
        <v>131</v>
      </c>
      <c r="G779" s="3">
        <v>632</v>
      </c>
      <c r="H779" s="3" t="s">
        <v>146</v>
      </c>
      <c r="I779" s="19">
        <v>34946</v>
      </c>
      <c r="J779" s="19">
        <v>-4998</v>
      </c>
      <c r="K779" s="19">
        <f t="shared" si="265"/>
        <v>29948</v>
      </c>
      <c r="M779" s="19"/>
      <c r="N779" s="19"/>
      <c r="O779" s="87">
        <f t="shared" si="266"/>
        <v>0</v>
      </c>
      <c r="Q779" s="274">
        <f t="shared" si="263"/>
        <v>34946</v>
      </c>
      <c r="R779" s="87">
        <f t="shared" si="282"/>
        <v>-4998</v>
      </c>
      <c r="S779" s="87">
        <f t="shared" si="282"/>
        <v>29948</v>
      </c>
    </row>
    <row r="780" spans="2:19" x14ac:dyDescent="0.2">
      <c r="B780" s="83">
        <f t="shared" si="267"/>
        <v>184</v>
      </c>
      <c r="C780" s="3"/>
      <c r="D780" s="3"/>
      <c r="E780" s="3"/>
      <c r="F780" s="26" t="s">
        <v>131</v>
      </c>
      <c r="G780" s="3">
        <v>633</v>
      </c>
      <c r="H780" s="3" t="s">
        <v>137</v>
      </c>
      <c r="I780" s="19">
        <v>10317</v>
      </c>
      <c r="J780" s="19"/>
      <c r="K780" s="19">
        <f t="shared" si="265"/>
        <v>10317</v>
      </c>
      <c r="M780" s="19"/>
      <c r="N780" s="19"/>
      <c r="O780" s="87">
        <f t="shared" si="266"/>
        <v>0</v>
      </c>
      <c r="Q780" s="274">
        <f t="shared" si="263"/>
        <v>10317</v>
      </c>
      <c r="R780" s="87">
        <f t="shared" si="282"/>
        <v>0</v>
      </c>
      <c r="S780" s="87">
        <f t="shared" si="282"/>
        <v>10317</v>
      </c>
    </row>
    <row r="781" spans="2:19" x14ac:dyDescent="0.2">
      <c r="B781" s="83">
        <f t="shared" si="267"/>
        <v>185</v>
      </c>
      <c r="C781" s="3"/>
      <c r="D781" s="3"/>
      <c r="E781" s="3"/>
      <c r="F781" s="26" t="s">
        <v>131</v>
      </c>
      <c r="G781" s="3">
        <v>634</v>
      </c>
      <c r="H781" s="3" t="s">
        <v>144</v>
      </c>
      <c r="I781" s="19">
        <v>987</v>
      </c>
      <c r="J781" s="19"/>
      <c r="K781" s="19">
        <f t="shared" si="265"/>
        <v>987</v>
      </c>
      <c r="M781" s="19"/>
      <c r="N781" s="19"/>
      <c r="O781" s="87">
        <f t="shared" si="266"/>
        <v>0</v>
      </c>
      <c r="Q781" s="274">
        <f t="shared" si="263"/>
        <v>987</v>
      </c>
      <c r="R781" s="87">
        <f t="shared" si="282"/>
        <v>0</v>
      </c>
      <c r="S781" s="87">
        <f t="shared" si="282"/>
        <v>987</v>
      </c>
    </row>
    <row r="782" spans="2:19" x14ac:dyDescent="0.2">
      <c r="B782" s="83">
        <f t="shared" si="267"/>
        <v>186</v>
      </c>
      <c r="C782" s="3"/>
      <c r="D782" s="3"/>
      <c r="E782" s="3"/>
      <c r="F782" s="26" t="s">
        <v>131</v>
      </c>
      <c r="G782" s="3">
        <v>635</v>
      </c>
      <c r="H782" s="3" t="s">
        <v>145</v>
      </c>
      <c r="I782" s="19">
        <v>6231</v>
      </c>
      <c r="J782" s="19"/>
      <c r="K782" s="19">
        <f t="shared" si="265"/>
        <v>6231</v>
      </c>
      <c r="M782" s="19"/>
      <c r="N782" s="19"/>
      <c r="O782" s="87">
        <f t="shared" si="266"/>
        <v>0</v>
      </c>
      <c r="Q782" s="274">
        <f t="shared" si="263"/>
        <v>6231</v>
      </c>
      <c r="R782" s="87">
        <f t="shared" si="282"/>
        <v>0</v>
      </c>
      <c r="S782" s="87">
        <f t="shared" si="282"/>
        <v>6231</v>
      </c>
    </row>
    <row r="783" spans="2:19" x14ac:dyDescent="0.2">
      <c r="B783" s="83">
        <f t="shared" si="267"/>
        <v>187</v>
      </c>
      <c r="C783" s="3"/>
      <c r="D783" s="3"/>
      <c r="E783" s="3"/>
      <c r="F783" s="26" t="s">
        <v>131</v>
      </c>
      <c r="G783" s="3">
        <v>637</v>
      </c>
      <c r="H783" s="3" t="s">
        <v>134</v>
      </c>
      <c r="I783" s="19">
        <v>15425</v>
      </c>
      <c r="J783" s="19"/>
      <c r="K783" s="19">
        <f t="shared" si="265"/>
        <v>15425</v>
      </c>
      <c r="M783" s="19"/>
      <c r="N783" s="19"/>
      <c r="O783" s="87">
        <f t="shared" si="266"/>
        <v>0</v>
      </c>
      <c r="Q783" s="274">
        <f t="shared" si="263"/>
        <v>15425</v>
      </c>
      <c r="R783" s="87">
        <f t="shared" si="282"/>
        <v>0</v>
      </c>
      <c r="S783" s="87">
        <f t="shared" si="282"/>
        <v>15425</v>
      </c>
    </row>
    <row r="784" spans="2:19" x14ac:dyDescent="0.2">
      <c r="B784" s="83">
        <f t="shared" si="267"/>
        <v>188</v>
      </c>
      <c r="C784" s="7"/>
      <c r="D784" s="7"/>
      <c r="E784" s="7"/>
      <c r="F784" s="25" t="s">
        <v>131</v>
      </c>
      <c r="G784" s="7">
        <v>640</v>
      </c>
      <c r="H784" s="7" t="s">
        <v>141</v>
      </c>
      <c r="I784" s="23">
        <v>473</v>
      </c>
      <c r="J784" s="23"/>
      <c r="K784" s="23">
        <f t="shared" si="265"/>
        <v>473</v>
      </c>
      <c r="M784" s="23"/>
      <c r="N784" s="23"/>
      <c r="O784" s="86">
        <f t="shared" si="266"/>
        <v>0</v>
      </c>
      <c r="Q784" s="273">
        <f t="shared" si="263"/>
        <v>473</v>
      </c>
      <c r="R784" s="86">
        <f t="shared" si="282"/>
        <v>0</v>
      </c>
      <c r="S784" s="86">
        <f t="shared" si="282"/>
        <v>473</v>
      </c>
    </row>
    <row r="785" spans="2:19" x14ac:dyDescent="0.2">
      <c r="B785" s="83">
        <f t="shared" si="267"/>
        <v>189</v>
      </c>
      <c r="C785" s="7"/>
      <c r="D785" s="7"/>
      <c r="E785" s="7"/>
      <c r="F785" s="25" t="s">
        <v>118</v>
      </c>
      <c r="G785" s="7">
        <v>610</v>
      </c>
      <c r="H785" s="7" t="s">
        <v>143</v>
      </c>
      <c r="I785" s="23">
        <f>273177+15607</f>
        <v>288784</v>
      </c>
      <c r="J785" s="23">
        <v>50</v>
      </c>
      <c r="K785" s="23">
        <f t="shared" si="265"/>
        <v>288834</v>
      </c>
      <c r="M785" s="23"/>
      <c r="N785" s="23"/>
      <c r="O785" s="86">
        <f t="shared" si="266"/>
        <v>0</v>
      </c>
      <c r="Q785" s="273">
        <f t="shared" si="263"/>
        <v>288784</v>
      </c>
      <c r="R785" s="86">
        <f t="shared" si="282"/>
        <v>50</v>
      </c>
      <c r="S785" s="86">
        <f t="shared" si="282"/>
        <v>288834</v>
      </c>
    </row>
    <row r="786" spans="2:19" x14ac:dyDescent="0.2">
      <c r="B786" s="83">
        <f t="shared" si="267"/>
        <v>190</v>
      </c>
      <c r="C786" s="7"/>
      <c r="D786" s="7"/>
      <c r="E786" s="7"/>
      <c r="F786" s="25" t="s">
        <v>118</v>
      </c>
      <c r="G786" s="7">
        <v>620</v>
      </c>
      <c r="H786" s="7" t="s">
        <v>136</v>
      </c>
      <c r="I786" s="23">
        <f>89913+5465</f>
        <v>95378</v>
      </c>
      <c r="J786" s="23">
        <v>10</v>
      </c>
      <c r="K786" s="23">
        <f t="shared" si="265"/>
        <v>95388</v>
      </c>
      <c r="M786" s="23"/>
      <c r="N786" s="23"/>
      <c r="O786" s="86">
        <f t="shared" si="266"/>
        <v>0</v>
      </c>
      <c r="Q786" s="273">
        <f t="shared" si="263"/>
        <v>95378</v>
      </c>
      <c r="R786" s="86">
        <f t="shared" si="282"/>
        <v>10</v>
      </c>
      <c r="S786" s="86">
        <f t="shared" si="282"/>
        <v>95388</v>
      </c>
    </row>
    <row r="787" spans="2:19" x14ac:dyDescent="0.2">
      <c r="B787" s="83">
        <f t="shared" si="267"/>
        <v>191</v>
      </c>
      <c r="C787" s="7"/>
      <c r="D787" s="7"/>
      <c r="E787" s="7"/>
      <c r="F787" s="25" t="s">
        <v>118</v>
      </c>
      <c r="G787" s="7">
        <v>630</v>
      </c>
      <c r="H787" s="7" t="s">
        <v>133</v>
      </c>
      <c r="I787" s="23">
        <f>SUM(I788:I793)</f>
        <v>67631</v>
      </c>
      <c r="J787" s="23">
        <f t="shared" ref="J787" si="284">SUM(J788:J793)</f>
        <v>-4265</v>
      </c>
      <c r="K787" s="23">
        <f t="shared" si="265"/>
        <v>63366</v>
      </c>
      <c r="M787" s="23"/>
      <c r="N787" s="23"/>
      <c r="O787" s="86">
        <f t="shared" si="266"/>
        <v>0</v>
      </c>
      <c r="Q787" s="273">
        <f t="shared" si="263"/>
        <v>67631</v>
      </c>
      <c r="R787" s="86">
        <f t="shared" si="282"/>
        <v>-4265</v>
      </c>
      <c r="S787" s="86">
        <f t="shared" si="282"/>
        <v>63366</v>
      </c>
    </row>
    <row r="788" spans="2:19" x14ac:dyDescent="0.2">
      <c r="B788" s="83">
        <f t="shared" si="267"/>
        <v>192</v>
      </c>
      <c r="C788" s="3"/>
      <c r="D788" s="3"/>
      <c r="E788" s="3"/>
      <c r="F788" s="26" t="s">
        <v>118</v>
      </c>
      <c r="G788" s="3">
        <v>631</v>
      </c>
      <c r="H788" s="3" t="s">
        <v>139</v>
      </c>
      <c r="I788" s="19">
        <v>205</v>
      </c>
      <c r="J788" s="19"/>
      <c r="K788" s="19">
        <f t="shared" si="265"/>
        <v>205</v>
      </c>
      <c r="M788" s="19"/>
      <c r="N788" s="19"/>
      <c r="O788" s="87">
        <f t="shared" si="266"/>
        <v>0</v>
      </c>
      <c r="Q788" s="274">
        <f t="shared" si="263"/>
        <v>205</v>
      </c>
      <c r="R788" s="87">
        <f t="shared" si="282"/>
        <v>0</v>
      </c>
      <c r="S788" s="87">
        <f t="shared" si="282"/>
        <v>205</v>
      </c>
    </row>
    <row r="789" spans="2:19" x14ac:dyDescent="0.2">
      <c r="B789" s="83">
        <f t="shared" si="267"/>
        <v>193</v>
      </c>
      <c r="C789" s="3"/>
      <c r="D789" s="3"/>
      <c r="E789" s="3"/>
      <c r="F789" s="26" t="s">
        <v>118</v>
      </c>
      <c r="G789" s="3">
        <v>632</v>
      </c>
      <c r="H789" s="3" t="s">
        <v>146</v>
      </c>
      <c r="I789" s="19">
        <f>29625</f>
        <v>29625</v>
      </c>
      <c r="J789" s="19">
        <v>-4265</v>
      </c>
      <c r="K789" s="19">
        <f t="shared" si="265"/>
        <v>25360</v>
      </c>
      <c r="M789" s="19"/>
      <c r="N789" s="19"/>
      <c r="O789" s="87">
        <f t="shared" si="266"/>
        <v>0</v>
      </c>
      <c r="Q789" s="274">
        <f t="shared" ref="Q789:Q853" si="285">I789+M789</f>
        <v>29625</v>
      </c>
      <c r="R789" s="87">
        <f t="shared" ref="R789:S804" si="286">J789+N789</f>
        <v>-4265</v>
      </c>
      <c r="S789" s="87">
        <f t="shared" si="286"/>
        <v>25360</v>
      </c>
    </row>
    <row r="790" spans="2:19" x14ac:dyDescent="0.2">
      <c r="B790" s="83">
        <f t="shared" si="267"/>
        <v>194</v>
      </c>
      <c r="C790" s="3"/>
      <c r="D790" s="3"/>
      <c r="E790" s="3"/>
      <c r="F790" s="26" t="s">
        <v>118</v>
      </c>
      <c r="G790" s="3">
        <v>633</v>
      </c>
      <c r="H790" s="3" t="s">
        <v>137</v>
      </c>
      <c r="I790" s="19">
        <f>8441+7792</f>
        <v>16233</v>
      </c>
      <c r="J790" s="19"/>
      <c r="K790" s="19">
        <f t="shared" ref="K790:K854" si="287">I790+J790</f>
        <v>16233</v>
      </c>
      <c r="M790" s="19"/>
      <c r="N790" s="19"/>
      <c r="O790" s="87">
        <f t="shared" ref="O790:O854" si="288">M790+N790</f>
        <v>0</v>
      </c>
      <c r="Q790" s="274">
        <f t="shared" si="285"/>
        <v>16233</v>
      </c>
      <c r="R790" s="87">
        <f t="shared" si="286"/>
        <v>0</v>
      </c>
      <c r="S790" s="87">
        <f t="shared" si="286"/>
        <v>16233</v>
      </c>
    </row>
    <row r="791" spans="2:19" x14ac:dyDescent="0.2">
      <c r="B791" s="83">
        <f t="shared" ref="B791:B855" si="289">B790+1</f>
        <v>195</v>
      </c>
      <c r="C791" s="3"/>
      <c r="D791" s="3"/>
      <c r="E791" s="3"/>
      <c r="F791" s="26" t="s">
        <v>118</v>
      </c>
      <c r="G791" s="3">
        <v>634</v>
      </c>
      <c r="H791" s="3" t="s">
        <v>144</v>
      </c>
      <c r="I791" s="19">
        <v>2337</v>
      </c>
      <c r="J791" s="19"/>
      <c r="K791" s="19">
        <f t="shared" si="287"/>
        <v>2337</v>
      </c>
      <c r="M791" s="19"/>
      <c r="N791" s="19"/>
      <c r="O791" s="87">
        <f t="shared" si="288"/>
        <v>0</v>
      </c>
      <c r="Q791" s="274">
        <f t="shared" si="285"/>
        <v>2337</v>
      </c>
      <c r="R791" s="87">
        <f t="shared" si="286"/>
        <v>0</v>
      </c>
      <c r="S791" s="87">
        <f t="shared" si="286"/>
        <v>2337</v>
      </c>
    </row>
    <row r="792" spans="2:19" x14ac:dyDescent="0.2">
      <c r="B792" s="83">
        <f t="shared" si="289"/>
        <v>196</v>
      </c>
      <c r="C792" s="3"/>
      <c r="D792" s="3"/>
      <c r="E792" s="3"/>
      <c r="F792" s="26" t="s">
        <v>118</v>
      </c>
      <c r="G792" s="3">
        <v>635</v>
      </c>
      <c r="H792" s="3" t="s">
        <v>145</v>
      </c>
      <c r="I792" s="19">
        <f>4214+1000</f>
        <v>5214</v>
      </c>
      <c r="J792" s="19"/>
      <c r="K792" s="19">
        <f t="shared" si="287"/>
        <v>5214</v>
      </c>
      <c r="M792" s="19"/>
      <c r="N792" s="19"/>
      <c r="O792" s="87">
        <f t="shared" si="288"/>
        <v>0</v>
      </c>
      <c r="Q792" s="274">
        <f t="shared" si="285"/>
        <v>5214</v>
      </c>
      <c r="R792" s="87">
        <f t="shared" si="286"/>
        <v>0</v>
      </c>
      <c r="S792" s="87">
        <f t="shared" si="286"/>
        <v>5214</v>
      </c>
    </row>
    <row r="793" spans="2:19" x14ac:dyDescent="0.2">
      <c r="B793" s="83">
        <f t="shared" si="289"/>
        <v>197</v>
      </c>
      <c r="C793" s="3"/>
      <c r="D793" s="3"/>
      <c r="E793" s="3"/>
      <c r="F793" s="26" t="s">
        <v>118</v>
      </c>
      <c r="G793" s="3">
        <v>637</v>
      </c>
      <c r="H793" s="3" t="s">
        <v>134</v>
      </c>
      <c r="I793" s="19">
        <f>12689+1328</f>
        <v>14017</v>
      </c>
      <c r="J793" s="19"/>
      <c r="K793" s="19">
        <f t="shared" si="287"/>
        <v>14017</v>
      </c>
      <c r="M793" s="19"/>
      <c r="N793" s="19"/>
      <c r="O793" s="87">
        <f t="shared" si="288"/>
        <v>0</v>
      </c>
      <c r="Q793" s="274">
        <f t="shared" si="285"/>
        <v>14017</v>
      </c>
      <c r="R793" s="87">
        <f t="shared" si="286"/>
        <v>0</v>
      </c>
      <c r="S793" s="87">
        <f t="shared" si="286"/>
        <v>14017</v>
      </c>
    </row>
    <row r="794" spans="2:19" x14ac:dyDescent="0.2">
      <c r="B794" s="83">
        <f t="shared" si="289"/>
        <v>198</v>
      </c>
      <c r="C794" s="7"/>
      <c r="D794" s="7"/>
      <c r="E794" s="7"/>
      <c r="F794" s="25" t="s">
        <v>118</v>
      </c>
      <c r="G794" s="7">
        <v>640</v>
      </c>
      <c r="H794" s="7" t="s">
        <v>141</v>
      </c>
      <c r="I794" s="23">
        <v>578</v>
      </c>
      <c r="J794" s="23"/>
      <c r="K794" s="23">
        <f t="shared" si="287"/>
        <v>578</v>
      </c>
      <c r="M794" s="23"/>
      <c r="N794" s="23"/>
      <c r="O794" s="86">
        <f t="shared" si="288"/>
        <v>0</v>
      </c>
      <c r="Q794" s="273">
        <f t="shared" si="285"/>
        <v>578</v>
      </c>
      <c r="R794" s="86">
        <f t="shared" si="286"/>
        <v>0</v>
      </c>
      <c r="S794" s="86">
        <f t="shared" si="286"/>
        <v>578</v>
      </c>
    </row>
    <row r="795" spans="2:19" ht="15" x14ac:dyDescent="0.25">
      <c r="B795" s="83">
        <f t="shared" si="289"/>
        <v>199</v>
      </c>
      <c r="C795" s="10"/>
      <c r="D795" s="10"/>
      <c r="E795" s="10">
        <v>7</v>
      </c>
      <c r="F795" s="28"/>
      <c r="G795" s="10"/>
      <c r="H795" s="10" t="s">
        <v>13</v>
      </c>
      <c r="I795" s="38">
        <f>I796+I797+I798+I804+I805+I806+I807+I813</f>
        <v>1183996</v>
      </c>
      <c r="J795" s="38">
        <f t="shared" ref="J795" si="290">J796+J797+J798+J804+J805+J806+J807+J813</f>
        <v>-42070</v>
      </c>
      <c r="K795" s="38">
        <f t="shared" si="287"/>
        <v>1141926</v>
      </c>
      <c r="M795" s="38">
        <f>M814</f>
        <v>49933</v>
      </c>
      <c r="N795" s="38">
        <f t="shared" ref="N795" si="291">N814</f>
        <v>0</v>
      </c>
      <c r="O795" s="94">
        <f t="shared" si="288"/>
        <v>49933</v>
      </c>
      <c r="Q795" s="315">
        <f t="shared" si="285"/>
        <v>1233929</v>
      </c>
      <c r="R795" s="94">
        <f t="shared" si="286"/>
        <v>-42070</v>
      </c>
      <c r="S795" s="94">
        <f t="shared" si="286"/>
        <v>1191859</v>
      </c>
    </row>
    <row r="796" spans="2:19" x14ac:dyDescent="0.2">
      <c r="B796" s="83">
        <f t="shared" si="289"/>
        <v>200</v>
      </c>
      <c r="C796" s="7"/>
      <c r="D796" s="7"/>
      <c r="E796" s="7"/>
      <c r="F796" s="25" t="s">
        <v>131</v>
      </c>
      <c r="G796" s="7">
        <v>610</v>
      </c>
      <c r="H796" s="7" t="s">
        <v>143</v>
      </c>
      <c r="I796" s="23">
        <f>284709+8415</f>
        <v>293124</v>
      </c>
      <c r="J796" s="23">
        <v>-12472</v>
      </c>
      <c r="K796" s="23">
        <f t="shared" si="287"/>
        <v>280652</v>
      </c>
      <c r="M796" s="23"/>
      <c r="N796" s="23"/>
      <c r="O796" s="86">
        <f t="shared" si="288"/>
        <v>0</v>
      </c>
      <c r="Q796" s="273">
        <f t="shared" si="285"/>
        <v>293124</v>
      </c>
      <c r="R796" s="86">
        <f t="shared" si="286"/>
        <v>-12472</v>
      </c>
      <c r="S796" s="86">
        <f t="shared" si="286"/>
        <v>280652</v>
      </c>
    </row>
    <row r="797" spans="2:19" x14ac:dyDescent="0.2">
      <c r="B797" s="83">
        <f t="shared" si="289"/>
        <v>201</v>
      </c>
      <c r="C797" s="7"/>
      <c r="D797" s="7"/>
      <c r="E797" s="7"/>
      <c r="F797" s="25" t="s">
        <v>131</v>
      </c>
      <c r="G797" s="7">
        <v>620</v>
      </c>
      <c r="H797" s="7" t="s">
        <v>136</v>
      </c>
      <c r="I797" s="23">
        <f>100216+2962</f>
        <v>103178</v>
      </c>
      <c r="J797" s="23">
        <v>-4391</v>
      </c>
      <c r="K797" s="23">
        <f t="shared" si="287"/>
        <v>98787</v>
      </c>
      <c r="M797" s="23"/>
      <c r="N797" s="23"/>
      <c r="O797" s="86">
        <f t="shared" si="288"/>
        <v>0</v>
      </c>
      <c r="Q797" s="273">
        <f t="shared" si="285"/>
        <v>103178</v>
      </c>
      <c r="R797" s="86">
        <f t="shared" si="286"/>
        <v>-4391</v>
      </c>
      <c r="S797" s="86">
        <f t="shared" si="286"/>
        <v>98787</v>
      </c>
    </row>
    <row r="798" spans="2:19" x14ac:dyDescent="0.2">
      <c r="B798" s="83">
        <f t="shared" si="289"/>
        <v>202</v>
      </c>
      <c r="C798" s="7"/>
      <c r="D798" s="7"/>
      <c r="E798" s="7"/>
      <c r="F798" s="25" t="s">
        <v>131</v>
      </c>
      <c r="G798" s="7">
        <v>630</v>
      </c>
      <c r="H798" s="7" t="s">
        <v>133</v>
      </c>
      <c r="I798" s="23">
        <f>SUM(I799:I803)</f>
        <v>73070</v>
      </c>
      <c r="J798" s="23">
        <f t="shared" ref="J798" si="292">SUM(J799:J803)</f>
        <v>-15267</v>
      </c>
      <c r="K798" s="23">
        <f t="shared" si="287"/>
        <v>57803</v>
      </c>
      <c r="M798" s="23"/>
      <c r="N798" s="23"/>
      <c r="O798" s="86">
        <f t="shared" si="288"/>
        <v>0</v>
      </c>
      <c r="Q798" s="273">
        <f t="shared" si="285"/>
        <v>73070</v>
      </c>
      <c r="R798" s="86">
        <f t="shared" si="286"/>
        <v>-15267</v>
      </c>
      <c r="S798" s="86">
        <f t="shared" si="286"/>
        <v>57803</v>
      </c>
    </row>
    <row r="799" spans="2:19" x14ac:dyDescent="0.2">
      <c r="B799" s="83">
        <f t="shared" si="289"/>
        <v>203</v>
      </c>
      <c r="C799" s="3"/>
      <c r="D799" s="3"/>
      <c r="E799" s="3"/>
      <c r="F799" s="26" t="s">
        <v>131</v>
      </c>
      <c r="G799" s="3">
        <v>631</v>
      </c>
      <c r="H799" s="3" t="s">
        <v>139</v>
      </c>
      <c r="I799" s="19">
        <v>113</v>
      </c>
      <c r="J799" s="19"/>
      <c r="K799" s="19">
        <f t="shared" si="287"/>
        <v>113</v>
      </c>
      <c r="M799" s="19"/>
      <c r="N799" s="19"/>
      <c r="O799" s="87">
        <f t="shared" si="288"/>
        <v>0</v>
      </c>
      <c r="Q799" s="274">
        <f t="shared" si="285"/>
        <v>113</v>
      </c>
      <c r="R799" s="87">
        <f t="shared" si="286"/>
        <v>0</v>
      </c>
      <c r="S799" s="87">
        <f t="shared" si="286"/>
        <v>113</v>
      </c>
    </row>
    <row r="800" spans="2:19" x14ac:dyDescent="0.2">
      <c r="B800" s="83">
        <f t="shared" si="289"/>
        <v>204</v>
      </c>
      <c r="C800" s="3"/>
      <c r="D800" s="3"/>
      <c r="E800" s="3"/>
      <c r="F800" s="26" t="s">
        <v>131</v>
      </c>
      <c r="G800" s="3">
        <v>632</v>
      </c>
      <c r="H800" s="3" t="s">
        <v>146</v>
      </c>
      <c r="I800" s="19">
        <v>16863</v>
      </c>
      <c r="J800" s="19"/>
      <c r="K800" s="19">
        <f t="shared" si="287"/>
        <v>16863</v>
      </c>
      <c r="M800" s="19"/>
      <c r="N800" s="19"/>
      <c r="O800" s="87">
        <f t="shared" si="288"/>
        <v>0</v>
      </c>
      <c r="Q800" s="274">
        <f t="shared" si="285"/>
        <v>16863</v>
      </c>
      <c r="R800" s="87">
        <f t="shared" si="286"/>
        <v>0</v>
      </c>
      <c r="S800" s="87">
        <f t="shared" si="286"/>
        <v>16863</v>
      </c>
    </row>
    <row r="801" spans="2:19" x14ac:dyDescent="0.2">
      <c r="B801" s="83">
        <f t="shared" si="289"/>
        <v>205</v>
      </c>
      <c r="C801" s="3"/>
      <c r="D801" s="3"/>
      <c r="E801" s="3"/>
      <c r="F801" s="26" t="s">
        <v>131</v>
      </c>
      <c r="G801" s="3">
        <v>633</v>
      </c>
      <c r="H801" s="3" t="s">
        <v>137</v>
      </c>
      <c r="I801" s="19">
        <v>19794</v>
      </c>
      <c r="J801" s="19">
        <v>-10000</v>
      </c>
      <c r="K801" s="19">
        <f t="shared" si="287"/>
        <v>9794</v>
      </c>
      <c r="M801" s="19"/>
      <c r="N801" s="19"/>
      <c r="O801" s="87">
        <f t="shared" si="288"/>
        <v>0</v>
      </c>
      <c r="Q801" s="274">
        <f t="shared" si="285"/>
        <v>19794</v>
      </c>
      <c r="R801" s="87">
        <f t="shared" si="286"/>
        <v>-10000</v>
      </c>
      <c r="S801" s="87">
        <f t="shared" si="286"/>
        <v>9794</v>
      </c>
    </row>
    <row r="802" spans="2:19" x14ac:dyDescent="0.2">
      <c r="B802" s="83">
        <f t="shared" si="289"/>
        <v>206</v>
      </c>
      <c r="C802" s="3"/>
      <c r="D802" s="3"/>
      <c r="E802" s="3"/>
      <c r="F802" s="26" t="s">
        <v>131</v>
      </c>
      <c r="G802" s="3">
        <v>635</v>
      </c>
      <c r="H802" s="3" t="s">
        <v>145</v>
      </c>
      <c r="I802" s="19">
        <v>10350</v>
      </c>
      <c r="J802" s="19">
        <v>5000</v>
      </c>
      <c r="K802" s="19">
        <f t="shared" si="287"/>
        <v>15350</v>
      </c>
      <c r="M802" s="19"/>
      <c r="N802" s="19"/>
      <c r="O802" s="87">
        <f t="shared" si="288"/>
        <v>0</v>
      </c>
      <c r="Q802" s="274">
        <f t="shared" si="285"/>
        <v>10350</v>
      </c>
      <c r="R802" s="87">
        <f t="shared" si="286"/>
        <v>5000</v>
      </c>
      <c r="S802" s="87">
        <f t="shared" si="286"/>
        <v>15350</v>
      </c>
    </row>
    <row r="803" spans="2:19" x14ac:dyDescent="0.2">
      <c r="B803" s="83">
        <f t="shared" si="289"/>
        <v>207</v>
      </c>
      <c r="C803" s="3"/>
      <c r="D803" s="3"/>
      <c r="E803" s="3"/>
      <c r="F803" s="26" t="s">
        <v>131</v>
      </c>
      <c r="G803" s="3">
        <v>637</v>
      </c>
      <c r="H803" s="3" t="s">
        <v>134</v>
      </c>
      <c r="I803" s="19">
        <v>25950</v>
      </c>
      <c r="J803" s="19">
        <v>-10267</v>
      </c>
      <c r="K803" s="19">
        <f t="shared" si="287"/>
        <v>15683</v>
      </c>
      <c r="M803" s="19"/>
      <c r="N803" s="19"/>
      <c r="O803" s="87">
        <f t="shared" si="288"/>
        <v>0</v>
      </c>
      <c r="Q803" s="274">
        <f t="shared" si="285"/>
        <v>25950</v>
      </c>
      <c r="R803" s="87">
        <f t="shared" si="286"/>
        <v>-10267</v>
      </c>
      <c r="S803" s="87">
        <f t="shared" si="286"/>
        <v>15683</v>
      </c>
    </row>
    <row r="804" spans="2:19" x14ac:dyDescent="0.2">
      <c r="B804" s="83">
        <f t="shared" si="289"/>
        <v>208</v>
      </c>
      <c r="C804" s="7"/>
      <c r="D804" s="7"/>
      <c r="E804" s="7"/>
      <c r="F804" s="25" t="s">
        <v>131</v>
      </c>
      <c r="G804" s="7">
        <v>640</v>
      </c>
      <c r="H804" s="7" t="s">
        <v>141</v>
      </c>
      <c r="I804" s="23">
        <v>1351</v>
      </c>
      <c r="J804" s="23"/>
      <c r="K804" s="23">
        <f t="shared" si="287"/>
        <v>1351</v>
      </c>
      <c r="M804" s="23"/>
      <c r="N804" s="23"/>
      <c r="O804" s="86">
        <f t="shared" si="288"/>
        <v>0</v>
      </c>
      <c r="Q804" s="273">
        <f t="shared" si="285"/>
        <v>1351</v>
      </c>
      <c r="R804" s="86">
        <f t="shared" si="286"/>
        <v>0</v>
      </c>
      <c r="S804" s="86">
        <f t="shared" si="286"/>
        <v>1351</v>
      </c>
    </row>
    <row r="805" spans="2:19" x14ac:dyDescent="0.2">
      <c r="B805" s="83">
        <f t="shared" si="289"/>
        <v>209</v>
      </c>
      <c r="C805" s="7"/>
      <c r="D805" s="7"/>
      <c r="E805" s="7"/>
      <c r="F805" s="25" t="s">
        <v>118</v>
      </c>
      <c r="G805" s="7">
        <v>610</v>
      </c>
      <c r="H805" s="7" t="s">
        <v>143</v>
      </c>
      <c r="I805" s="23">
        <f>443722+8414</f>
        <v>452136</v>
      </c>
      <c r="J805" s="23">
        <v>50</v>
      </c>
      <c r="K805" s="23">
        <f t="shared" si="287"/>
        <v>452186</v>
      </c>
      <c r="M805" s="23"/>
      <c r="N805" s="23"/>
      <c r="O805" s="86">
        <f t="shared" si="288"/>
        <v>0</v>
      </c>
      <c r="Q805" s="273">
        <f t="shared" si="285"/>
        <v>452136</v>
      </c>
      <c r="R805" s="86">
        <f t="shared" ref="R805:S820" si="293">J805+N805</f>
        <v>50</v>
      </c>
      <c r="S805" s="86">
        <f t="shared" si="293"/>
        <v>452186</v>
      </c>
    </row>
    <row r="806" spans="2:19" x14ac:dyDescent="0.2">
      <c r="B806" s="83">
        <f t="shared" si="289"/>
        <v>210</v>
      </c>
      <c r="C806" s="7"/>
      <c r="D806" s="7"/>
      <c r="E806" s="7"/>
      <c r="F806" s="25" t="s">
        <v>118</v>
      </c>
      <c r="G806" s="7">
        <v>620</v>
      </c>
      <c r="H806" s="7" t="s">
        <v>136</v>
      </c>
      <c r="I806" s="23">
        <f>156192+2962</f>
        <v>159154</v>
      </c>
      <c r="J806" s="23">
        <v>10</v>
      </c>
      <c r="K806" s="23">
        <f t="shared" si="287"/>
        <v>159164</v>
      </c>
      <c r="M806" s="23"/>
      <c r="N806" s="23"/>
      <c r="O806" s="86">
        <f t="shared" si="288"/>
        <v>0</v>
      </c>
      <c r="Q806" s="273">
        <f t="shared" si="285"/>
        <v>159154</v>
      </c>
      <c r="R806" s="86">
        <f t="shared" si="293"/>
        <v>10</v>
      </c>
      <c r="S806" s="86">
        <f t="shared" si="293"/>
        <v>159164</v>
      </c>
    </row>
    <row r="807" spans="2:19" x14ac:dyDescent="0.2">
      <c r="B807" s="83">
        <f t="shared" si="289"/>
        <v>211</v>
      </c>
      <c r="C807" s="7"/>
      <c r="D807" s="7"/>
      <c r="E807" s="7"/>
      <c r="F807" s="25" t="s">
        <v>118</v>
      </c>
      <c r="G807" s="7">
        <v>630</v>
      </c>
      <c r="H807" s="7" t="s">
        <v>133</v>
      </c>
      <c r="I807" s="23">
        <f>SUM(I808:I812)</f>
        <v>100334</v>
      </c>
      <c r="J807" s="23">
        <f t="shared" ref="J807" si="294">SUM(J808:J812)</f>
        <v>-10000</v>
      </c>
      <c r="K807" s="23">
        <f t="shared" si="287"/>
        <v>90334</v>
      </c>
      <c r="M807" s="23"/>
      <c r="N807" s="23"/>
      <c r="O807" s="86">
        <f t="shared" si="288"/>
        <v>0</v>
      </c>
      <c r="Q807" s="273">
        <f t="shared" si="285"/>
        <v>100334</v>
      </c>
      <c r="R807" s="86">
        <f t="shared" si="293"/>
        <v>-10000</v>
      </c>
      <c r="S807" s="86">
        <f t="shared" si="293"/>
        <v>90334</v>
      </c>
    </row>
    <row r="808" spans="2:19" x14ac:dyDescent="0.2">
      <c r="B808" s="83">
        <f t="shared" si="289"/>
        <v>212</v>
      </c>
      <c r="C808" s="3"/>
      <c r="D808" s="3"/>
      <c r="E808" s="3"/>
      <c r="F808" s="26" t="s">
        <v>118</v>
      </c>
      <c r="G808" s="3">
        <v>631</v>
      </c>
      <c r="H808" s="3" t="s">
        <v>139</v>
      </c>
      <c r="I808" s="19">
        <v>137</v>
      </c>
      <c r="J808" s="19"/>
      <c r="K808" s="19">
        <f t="shared" si="287"/>
        <v>137</v>
      </c>
      <c r="M808" s="19"/>
      <c r="N808" s="19"/>
      <c r="O808" s="87">
        <f t="shared" si="288"/>
        <v>0</v>
      </c>
      <c r="Q808" s="274">
        <f t="shared" si="285"/>
        <v>137</v>
      </c>
      <c r="R808" s="87">
        <f t="shared" si="293"/>
        <v>0</v>
      </c>
      <c r="S808" s="87">
        <f t="shared" si="293"/>
        <v>137</v>
      </c>
    </row>
    <row r="809" spans="2:19" x14ac:dyDescent="0.2">
      <c r="B809" s="83">
        <f t="shared" si="289"/>
        <v>213</v>
      </c>
      <c r="C809" s="3"/>
      <c r="D809" s="3"/>
      <c r="E809" s="3"/>
      <c r="F809" s="26" t="s">
        <v>118</v>
      </c>
      <c r="G809" s="3">
        <v>632</v>
      </c>
      <c r="H809" s="3" t="s">
        <v>146</v>
      </c>
      <c r="I809" s="19">
        <v>22415</v>
      </c>
      <c r="J809" s="19"/>
      <c r="K809" s="19">
        <f t="shared" si="287"/>
        <v>22415</v>
      </c>
      <c r="M809" s="19"/>
      <c r="N809" s="19"/>
      <c r="O809" s="87">
        <f t="shared" si="288"/>
        <v>0</v>
      </c>
      <c r="Q809" s="274">
        <f t="shared" si="285"/>
        <v>22415</v>
      </c>
      <c r="R809" s="87">
        <f t="shared" si="293"/>
        <v>0</v>
      </c>
      <c r="S809" s="87">
        <f t="shared" si="293"/>
        <v>22415</v>
      </c>
    </row>
    <row r="810" spans="2:19" x14ac:dyDescent="0.2">
      <c r="B810" s="83">
        <f t="shared" si="289"/>
        <v>214</v>
      </c>
      <c r="C810" s="3"/>
      <c r="D810" s="3"/>
      <c r="E810" s="3"/>
      <c r="F810" s="26" t="s">
        <v>118</v>
      </c>
      <c r="G810" s="3">
        <v>633</v>
      </c>
      <c r="H810" s="3" t="s">
        <v>137</v>
      </c>
      <c r="I810" s="19">
        <v>36552</v>
      </c>
      <c r="J810" s="19">
        <v>-10000</v>
      </c>
      <c r="K810" s="19">
        <f t="shared" si="287"/>
        <v>26552</v>
      </c>
      <c r="M810" s="19"/>
      <c r="N810" s="19"/>
      <c r="O810" s="87">
        <f t="shared" si="288"/>
        <v>0</v>
      </c>
      <c r="Q810" s="274">
        <f t="shared" si="285"/>
        <v>36552</v>
      </c>
      <c r="R810" s="87">
        <f t="shared" si="293"/>
        <v>-10000</v>
      </c>
      <c r="S810" s="87">
        <f t="shared" si="293"/>
        <v>26552</v>
      </c>
    </row>
    <row r="811" spans="2:19" x14ac:dyDescent="0.2">
      <c r="B811" s="83">
        <f t="shared" si="289"/>
        <v>215</v>
      </c>
      <c r="C811" s="3"/>
      <c r="D811" s="3"/>
      <c r="E811" s="3"/>
      <c r="F811" s="26" t="s">
        <v>118</v>
      </c>
      <c r="G811" s="3">
        <v>635</v>
      </c>
      <c r="H811" s="3" t="s">
        <v>145</v>
      </c>
      <c r="I811" s="19">
        <v>13150</v>
      </c>
      <c r="J811" s="19">
        <v>5000</v>
      </c>
      <c r="K811" s="19">
        <f t="shared" si="287"/>
        <v>18150</v>
      </c>
      <c r="M811" s="19"/>
      <c r="N811" s="19"/>
      <c r="O811" s="87">
        <f t="shared" si="288"/>
        <v>0</v>
      </c>
      <c r="Q811" s="274">
        <f t="shared" si="285"/>
        <v>13150</v>
      </c>
      <c r="R811" s="87">
        <f t="shared" si="293"/>
        <v>5000</v>
      </c>
      <c r="S811" s="87">
        <f t="shared" si="293"/>
        <v>18150</v>
      </c>
    </row>
    <row r="812" spans="2:19" x14ac:dyDescent="0.2">
      <c r="B812" s="83">
        <f t="shared" si="289"/>
        <v>216</v>
      </c>
      <c r="C812" s="3"/>
      <c r="D812" s="3"/>
      <c r="E812" s="3"/>
      <c r="F812" s="26" t="s">
        <v>118</v>
      </c>
      <c r="G812" s="3">
        <v>637</v>
      </c>
      <c r="H812" s="3" t="s">
        <v>134</v>
      </c>
      <c r="I812" s="19">
        <f>26080+2000</f>
        <v>28080</v>
      </c>
      <c r="J812" s="19">
        <v>-5000</v>
      </c>
      <c r="K812" s="19">
        <f t="shared" si="287"/>
        <v>23080</v>
      </c>
      <c r="M812" s="19"/>
      <c r="N812" s="19"/>
      <c r="O812" s="87">
        <f t="shared" si="288"/>
        <v>0</v>
      </c>
      <c r="Q812" s="274">
        <f t="shared" si="285"/>
        <v>28080</v>
      </c>
      <c r="R812" s="87">
        <f t="shared" si="293"/>
        <v>-5000</v>
      </c>
      <c r="S812" s="87">
        <f t="shared" si="293"/>
        <v>23080</v>
      </c>
    </row>
    <row r="813" spans="2:19" x14ac:dyDescent="0.2">
      <c r="B813" s="83">
        <f t="shared" si="289"/>
        <v>217</v>
      </c>
      <c r="C813" s="7"/>
      <c r="D813" s="7"/>
      <c r="E813" s="7"/>
      <c r="F813" s="25" t="s">
        <v>118</v>
      </c>
      <c r="G813" s="7">
        <v>640</v>
      </c>
      <c r="H813" s="7" t="s">
        <v>141</v>
      </c>
      <c r="I813" s="23">
        <v>1649</v>
      </c>
      <c r="J813" s="23"/>
      <c r="K813" s="23">
        <f t="shared" si="287"/>
        <v>1649</v>
      </c>
      <c r="M813" s="23"/>
      <c r="N813" s="23"/>
      <c r="O813" s="86">
        <f t="shared" si="288"/>
        <v>0</v>
      </c>
      <c r="Q813" s="273">
        <f t="shared" si="285"/>
        <v>1649</v>
      </c>
      <c r="R813" s="86">
        <f t="shared" si="293"/>
        <v>0</v>
      </c>
      <c r="S813" s="86">
        <f t="shared" si="293"/>
        <v>1649</v>
      </c>
    </row>
    <row r="814" spans="2:19" x14ac:dyDescent="0.2">
      <c r="B814" s="83">
        <f t="shared" si="289"/>
        <v>218</v>
      </c>
      <c r="C814" s="7"/>
      <c r="D814" s="7"/>
      <c r="E814" s="7"/>
      <c r="F814" s="25" t="s">
        <v>118</v>
      </c>
      <c r="G814" s="7">
        <v>710</v>
      </c>
      <c r="H814" s="7" t="s">
        <v>188</v>
      </c>
      <c r="I814" s="23"/>
      <c r="J814" s="23"/>
      <c r="K814" s="23">
        <f t="shared" si="287"/>
        <v>0</v>
      </c>
      <c r="M814" s="23">
        <f>M815</f>
        <v>49933</v>
      </c>
      <c r="N814" s="23">
        <f t="shared" ref="N814:N815" si="295">N815</f>
        <v>0</v>
      </c>
      <c r="O814" s="86">
        <f t="shared" si="288"/>
        <v>49933</v>
      </c>
      <c r="Q814" s="273">
        <f t="shared" si="285"/>
        <v>49933</v>
      </c>
      <c r="R814" s="86">
        <f t="shared" si="293"/>
        <v>0</v>
      </c>
      <c r="S814" s="86">
        <f t="shared" si="293"/>
        <v>49933</v>
      </c>
    </row>
    <row r="815" spans="2:19" x14ac:dyDescent="0.2">
      <c r="B815" s="83">
        <f t="shared" si="289"/>
        <v>219</v>
      </c>
      <c r="C815" s="3"/>
      <c r="D815" s="3"/>
      <c r="E815" s="3"/>
      <c r="F815" s="26" t="s">
        <v>118</v>
      </c>
      <c r="G815" s="3">
        <v>716</v>
      </c>
      <c r="H815" s="3" t="s">
        <v>232</v>
      </c>
      <c r="I815" s="19"/>
      <c r="J815" s="19"/>
      <c r="K815" s="19">
        <f t="shared" si="287"/>
        <v>0</v>
      </c>
      <c r="M815" s="19">
        <f>M816</f>
        <v>49933</v>
      </c>
      <c r="N815" s="19">
        <f t="shared" si="295"/>
        <v>0</v>
      </c>
      <c r="O815" s="87">
        <f t="shared" si="288"/>
        <v>49933</v>
      </c>
      <c r="Q815" s="274">
        <f t="shared" si="285"/>
        <v>49933</v>
      </c>
      <c r="R815" s="87">
        <f t="shared" si="293"/>
        <v>0</v>
      </c>
      <c r="S815" s="87">
        <f t="shared" si="293"/>
        <v>49933</v>
      </c>
    </row>
    <row r="816" spans="2:19" x14ac:dyDescent="0.2">
      <c r="B816" s="83">
        <f t="shared" si="289"/>
        <v>220</v>
      </c>
      <c r="C816" s="4"/>
      <c r="D816" s="4"/>
      <c r="E816" s="4"/>
      <c r="F816" s="27"/>
      <c r="G816" s="4"/>
      <c r="H816" s="4" t="s">
        <v>439</v>
      </c>
      <c r="I816" s="21"/>
      <c r="J816" s="21"/>
      <c r="K816" s="21">
        <f t="shared" si="287"/>
        <v>0</v>
      </c>
      <c r="M816" s="21">
        <f>50160-227</f>
        <v>49933</v>
      </c>
      <c r="N816" s="21"/>
      <c r="O816" s="88">
        <f t="shared" si="288"/>
        <v>49933</v>
      </c>
      <c r="Q816" s="275">
        <f t="shared" si="285"/>
        <v>49933</v>
      </c>
      <c r="R816" s="88">
        <f t="shared" si="293"/>
        <v>0</v>
      </c>
      <c r="S816" s="88">
        <f t="shared" si="293"/>
        <v>49933</v>
      </c>
    </row>
    <row r="817" spans="2:19" ht="15" x14ac:dyDescent="0.25">
      <c r="B817" s="83">
        <f t="shared" si="289"/>
        <v>221</v>
      </c>
      <c r="C817" s="10"/>
      <c r="D817" s="10"/>
      <c r="E817" s="10">
        <v>8</v>
      </c>
      <c r="F817" s="28"/>
      <c r="G817" s="10"/>
      <c r="H817" s="10" t="s">
        <v>10</v>
      </c>
      <c r="I817" s="38">
        <f>I818+I819+I820+I828+I829+I830+I837</f>
        <v>1679756</v>
      </c>
      <c r="J817" s="38">
        <f>J818+J819+J820+J828+J829+J830+J837+J827</f>
        <v>-66354</v>
      </c>
      <c r="K817" s="38">
        <f t="shared" si="287"/>
        <v>1613402</v>
      </c>
      <c r="M817" s="38">
        <v>0</v>
      </c>
      <c r="N817" s="38"/>
      <c r="O817" s="94">
        <f t="shared" si="288"/>
        <v>0</v>
      </c>
      <c r="Q817" s="315">
        <f t="shared" si="285"/>
        <v>1679756</v>
      </c>
      <c r="R817" s="94">
        <f t="shared" si="293"/>
        <v>-66354</v>
      </c>
      <c r="S817" s="94">
        <f t="shared" si="293"/>
        <v>1613402</v>
      </c>
    </row>
    <row r="818" spans="2:19" x14ac:dyDescent="0.2">
      <c r="B818" s="83">
        <f t="shared" si="289"/>
        <v>222</v>
      </c>
      <c r="C818" s="7"/>
      <c r="D818" s="7"/>
      <c r="E818" s="7"/>
      <c r="F818" s="25" t="s">
        <v>131</v>
      </c>
      <c r="G818" s="7">
        <v>610</v>
      </c>
      <c r="H818" s="7" t="s">
        <v>143</v>
      </c>
      <c r="I818" s="23">
        <f>383230+1066+7280</f>
        <v>391576</v>
      </c>
      <c r="J818" s="23">
        <v>-43990</v>
      </c>
      <c r="K818" s="23">
        <f t="shared" si="287"/>
        <v>347586</v>
      </c>
      <c r="M818" s="23"/>
      <c r="N818" s="23"/>
      <c r="O818" s="86">
        <f t="shared" si="288"/>
        <v>0</v>
      </c>
      <c r="Q818" s="273">
        <f t="shared" si="285"/>
        <v>391576</v>
      </c>
      <c r="R818" s="86">
        <f t="shared" si="293"/>
        <v>-43990</v>
      </c>
      <c r="S818" s="86">
        <f t="shared" si="293"/>
        <v>347586</v>
      </c>
    </row>
    <row r="819" spans="2:19" x14ac:dyDescent="0.2">
      <c r="B819" s="83">
        <f t="shared" si="289"/>
        <v>223</v>
      </c>
      <c r="C819" s="7"/>
      <c r="D819" s="7"/>
      <c r="E819" s="7"/>
      <c r="F819" s="25" t="s">
        <v>131</v>
      </c>
      <c r="G819" s="7">
        <v>620</v>
      </c>
      <c r="H819" s="7" t="s">
        <v>136</v>
      </c>
      <c r="I819" s="23">
        <f>134082+373+2548</f>
        <v>137003</v>
      </c>
      <c r="J819" s="23">
        <v>-15396</v>
      </c>
      <c r="K819" s="23">
        <f t="shared" si="287"/>
        <v>121607</v>
      </c>
      <c r="M819" s="23"/>
      <c r="N819" s="23"/>
      <c r="O819" s="86">
        <f t="shared" si="288"/>
        <v>0</v>
      </c>
      <c r="Q819" s="273">
        <f t="shared" si="285"/>
        <v>137003</v>
      </c>
      <c r="R819" s="86">
        <f t="shared" si="293"/>
        <v>-15396</v>
      </c>
      <c r="S819" s="86">
        <f t="shared" si="293"/>
        <v>121607</v>
      </c>
    </row>
    <row r="820" spans="2:19" x14ac:dyDescent="0.2">
      <c r="B820" s="83">
        <f t="shared" si="289"/>
        <v>224</v>
      </c>
      <c r="C820" s="7"/>
      <c r="D820" s="7"/>
      <c r="E820" s="7"/>
      <c r="F820" s="25" t="s">
        <v>131</v>
      </c>
      <c r="G820" s="7">
        <v>630</v>
      </c>
      <c r="H820" s="7" t="s">
        <v>133</v>
      </c>
      <c r="I820" s="23">
        <f>SUM(I821:I826)</f>
        <v>86243</v>
      </c>
      <c r="J820" s="23">
        <f t="shared" ref="J820" si="296">SUM(J821:J826)</f>
        <v>-7978</v>
      </c>
      <c r="K820" s="23">
        <f t="shared" si="287"/>
        <v>78265</v>
      </c>
      <c r="M820" s="23"/>
      <c r="N820" s="23"/>
      <c r="O820" s="86">
        <f t="shared" si="288"/>
        <v>0</v>
      </c>
      <c r="Q820" s="273">
        <f t="shared" si="285"/>
        <v>86243</v>
      </c>
      <c r="R820" s="86">
        <f t="shared" si="293"/>
        <v>-7978</v>
      </c>
      <c r="S820" s="86">
        <f t="shared" si="293"/>
        <v>78265</v>
      </c>
    </row>
    <row r="821" spans="2:19" x14ac:dyDescent="0.2">
      <c r="B821" s="83">
        <f t="shared" si="289"/>
        <v>225</v>
      </c>
      <c r="C821" s="3"/>
      <c r="D821" s="3"/>
      <c r="E821" s="3"/>
      <c r="F821" s="26" t="s">
        <v>131</v>
      </c>
      <c r="G821" s="3">
        <v>631</v>
      </c>
      <c r="H821" s="3" t="s">
        <v>139</v>
      </c>
      <c r="I821" s="19">
        <v>20</v>
      </c>
      <c r="J821" s="19"/>
      <c r="K821" s="19">
        <f t="shared" si="287"/>
        <v>20</v>
      </c>
      <c r="M821" s="19"/>
      <c r="N821" s="19"/>
      <c r="O821" s="87">
        <f t="shared" si="288"/>
        <v>0</v>
      </c>
      <c r="Q821" s="274">
        <f t="shared" si="285"/>
        <v>20</v>
      </c>
      <c r="R821" s="87">
        <f t="shared" ref="R821:S837" si="297">J821+N821</f>
        <v>0</v>
      </c>
      <c r="S821" s="87">
        <f t="shared" si="297"/>
        <v>20</v>
      </c>
    </row>
    <row r="822" spans="2:19" x14ac:dyDescent="0.2">
      <c r="B822" s="83">
        <f t="shared" si="289"/>
        <v>226</v>
      </c>
      <c r="C822" s="3"/>
      <c r="D822" s="3"/>
      <c r="E822" s="3"/>
      <c r="F822" s="26" t="s">
        <v>131</v>
      </c>
      <c r="G822" s="3">
        <v>632</v>
      </c>
      <c r="H822" s="3" t="s">
        <v>146</v>
      </c>
      <c r="I822" s="19">
        <v>44390</v>
      </c>
      <c r="J822" s="19">
        <v>-7978</v>
      </c>
      <c r="K822" s="19">
        <f t="shared" si="287"/>
        <v>36412</v>
      </c>
      <c r="M822" s="19"/>
      <c r="N822" s="19"/>
      <c r="O822" s="87">
        <f t="shared" si="288"/>
        <v>0</v>
      </c>
      <c r="Q822" s="274">
        <f t="shared" si="285"/>
        <v>44390</v>
      </c>
      <c r="R822" s="87">
        <f t="shared" si="297"/>
        <v>-7978</v>
      </c>
      <c r="S822" s="87">
        <f t="shared" si="297"/>
        <v>36412</v>
      </c>
    </row>
    <row r="823" spans="2:19" x14ac:dyDescent="0.2">
      <c r="B823" s="83">
        <f t="shared" si="289"/>
        <v>227</v>
      </c>
      <c r="C823" s="3"/>
      <c r="D823" s="3"/>
      <c r="E823" s="3"/>
      <c r="F823" s="26" t="s">
        <v>131</v>
      </c>
      <c r="G823" s="3">
        <v>633</v>
      </c>
      <c r="H823" s="3" t="s">
        <v>137</v>
      </c>
      <c r="I823" s="19">
        <v>10583</v>
      </c>
      <c r="J823" s="19"/>
      <c r="K823" s="19">
        <f t="shared" si="287"/>
        <v>10583</v>
      </c>
      <c r="M823" s="19"/>
      <c r="N823" s="19"/>
      <c r="O823" s="87">
        <f t="shared" si="288"/>
        <v>0</v>
      </c>
      <c r="Q823" s="274">
        <f t="shared" si="285"/>
        <v>10583</v>
      </c>
      <c r="R823" s="87">
        <f t="shared" si="297"/>
        <v>0</v>
      </c>
      <c r="S823" s="87">
        <f t="shared" si="297"/>
        <v>10583</v>
      </c>
    </row>
    <row r="824" spans="2:19" x14ac:dyDescent="0.2">
      <c r="B824" s="83">
        <f t="shared" si="289"/>
        <v>228</v>
      </c>
      <c r="C824" s="3"/>
      <c r="D824" s="3"/>
      <c r="E824" s="3"/>
      <c r="F824" s="26" t="s">
        <v>131</v>
      </c>
      <c r="G824" s="3">
        <v>635</v>
      </c>
      <c r="H824" s="3" t="s">
        <v>145</v>
      </c>
      <c r="I824" s="19">
        <v>4010</v>
      </c>
      <c r="J824" s="19"/>
      <c r="K824" s="19">
        <f t="shared" si="287"/>
        <v>4010</v>
      </c>
      <c r="M824" s="19"/>
      <c r="N824" s="19"/>
      <c r="O824" s="87">
        <f t="shared" si="288"/>
        <v>0</v>
      </c>
      <c r="Q824" s="274">
        <f t="shared" si="285"/>
        <v>4010</v>
      </c>
      <c r="R824" s="87">
        <f t="shared" si="297"/>
        <v>0</v>
      </c>
      <c r="S824" s="87">
        <f t="shared" si="297"/>
        <v>4010</v>
      </c>
    </row>
    <row r="825" spans="2:19" x14ac:dyDescent="0.2">
      <c r="B825" s="83">
        <f t="shared" si="289"/>
        <v>229</v>
      </c>
      <c r="C825" s="3"/>
      <c r="D825" s="3"/>
      <c r="E825" s="3"/>
      <c r="F825" s="26" t="s">
        <v>131</v>
      </c>
      <c r="G825" s="3">
        <v>636</v>
      </c>
      <c r="H825" s="3" t="s">
        <v>138</v>
      </c>
      <c r="I825" s="19">
        <v>1400</v>
      </c>
      <c r="J825" s="19"/>
      <c r="K825" s="19">
        <f t="shared" si="287"/>
        <v>1400</v>
      </c>
      <c r="M825" s="19"/>
      <c r="N825" s="19"/>
      <c r="O825" s="87">
        <f t="shared" si="288"/>
        <v>0</v>
      </c>
      <c r="Q825" s="274">
        <f t="shared" si="285"/>
        <v>1400</v>
      </c>
      <c r="R825" s="87">
        <f t="shared" si="297"/>
        <v>0</v>
      </c>
      <c r="S825" s="87">
        <f t="shared" si="297"/>
        <v>1400</v>
      </c>
    </row>
    <row r="826" spans="2:19" x14ac:dyDescent="0.2">
      <c r="B826" s="83">
        <f t="shared" si="289"/>
        <v>230</v>
      </c>
      <c r="C826" s="3"/>
      <c r="D826" s="3"/>
      <c r="E826" s="3"/>
      <c r="F826" s="26" t="s">
        <v>131</v>
      </c>
      <c r="G826" s="3">
        <v>637</v>
      </c>
      <c r="H826" s="3" t="s">
        <v>134</v>
      </c>
      <c r="I826" s="19">
        <v>25840</v>
      </c>
      <c r="J826" s="19"/>
      <c r="K826" s="19">
        <f t="shared" si="287"/>
        <v>25840</v>
      </c>
      <c r="M826" s="19"/>
      <c r="N826" s="19"/>
      <c r="O826" s="87">
        <f t="shared" si="288"/>
        <v>0</v>
      </c>
      <c r="Q826" s="274">
        <f t="shared" si="285"/>
        <v>25840</v>
      </c>
      <c r="R826" s="87">
        <f t="shared" si="297"/>
        <v>0</v>
      </c>
      <c r="S826" s="87">
        <f t="shared" si="297"/>
        <v>25840</v>
      </c>
    </row>
    <row r="827" spans="2:19" x14ac:dyDescent="0.2">
      <c r="B827" s="83">
        <f t="shared" si="289"/>
        <v>231</v>
      </c>
      <c r="C827" s="3"/>
      <c r="D827" s="3"/>
      <c r="E827" s="3"/>
      <c r="F827" s="25" t="s">
        <v>131</v>
      </c>
      <c r="G827" s="7">
        <v>640</v>
      </c>
      <c r="H827" s="7" t="s">
        <v>141</v>
      </c>
      <c r="I827" s="23">
        <v>0</v>
      </c>
      <c r="J827" s="23">
        <v>950</v>
      </c>
      <c r="K827" s="23">
        <f t="shared" ref="K827" si="298">I827+J827</f>
        <v>950</v>
      </c>
      <c r="M827" s="23"/>
      <c r="N827" s="23"/>
      <c r="O827" s="86">
        <f t="shared" ref="O827" si="299">M827+N827</f>
        <v>0</v>
      </c>
      <c r="Q827" s="273">
        <f t="shared" ref="Q827" si="300">I827+M827</f>
        <v>0</v>
      </c>
      <c r="R827" s="86">
        <f t="shared" si="297"/>
        <v>950</v>
      </c>
      <c r="S827" s="86">
        <f t="shared" si="297"/>
        <v>950</v>
      </c>
    </row>
    <row r="828" spans="2:19" x14ac:dyDescent="0.2">
      <c r="B828" s="83">
        <f t="shared" si="289"/>
        <v>232</v>
      </c>
      <c r="C828" s="7"/>
      <c r="D828" s="7"/>
      <c r="E828" s="7"/>
      <c r="F828" s="25" t="s">
        <v>118</v>
      </c>
      <c r="G828" s="7">
        <v>610</v>
      </c>
      <c r="H828" s="7" t="s">
        <v>143</v>
      </c>
      <c r="I828" s="23">
        <f>619412+1066+7280</f>
        <v>627758</v>
      </c>
      <c r="J828" s="23">
        <v>50</v>
      </c>
      <c r="K828" s="23">
        <f t="shared" si="287"/>
        <v>627808</v>
      </c>
      <c r="M828" s="23"/>
      <c r="N828" s="23"/>
      <c r="O828" s="86">
        <f t="shared" si="288"/>
        <v>0</v>
      </c>
      <c r="Q828" s="273">
        <f t="shared" si="285"/>
        <v>627758</v>
      </c>
      <c r="R828" s="86">
        <f t="shared" si="297"/>
        <v>50</v>
      </c>
      <c r="S828" s="86">
        <f t="shared" si="297"/>
        <v>627808</v>
      </c>
    </row>
    <row r="829" spans="2:19" x14ac:dyDescent="0.2">
      <c r="B829" s="83">
        <f t="shared" si="289"/>
        <v>233</v>
      </c>
      <c r="C829" s="7"/>
      <c r="D829" s="7"/>
      <c r="E829" s="7"/>
      <c r="F829" s="25" t="s">
        <v>118</v>
      </c>
      <c r="G829" s="7">
        <v>620</v>
      </c>
      <c r="H829" s="7" t="s">
        <v>136</v>
      </c>
      <c r="I829" s="23">
        <f>216841+374+2548</f>
        <v>219763</v>
      </c>
      <c r="J829" s="23">
        <v>10</v>
      </c>
      <c r="K829" s="23">
        <f t="shared" si="287"/>
        <v>219773</v>
      </c>
      <c r="M829" s="23"/>
      <c r="N829" s="23"/>
      <c r="O829" s="86">
        <f t="shared" si="288"/>
        <v>0</v>
      </c>
      <c r="Q829" s="273">
        <f t="shared" si="285"/>
        <v>219763</v>
      </c>
      <c r="R829" s="86">
        <f t="shared" si="297"/>
        <v>10</v>
      </c>
      <c r="S829" s="86">
        <f t="shared" si="297"/>
        <v>219773</v>
      </c>
    </row>
    <row r="830" spans="2:19" x14ac:dyDescent="0.2">
      <c r="B830" s="83">
        <f t="shared" si="289"/>
        <v>234</v>
      </c>
      <c r="C830" s="7"/>
      <c r="D830" s="7"/>
      <c r="E830" s="7"/>
      <c r="F830" s="25" t="s">
        <v>118</v>
      </c>
      <c r="G830" s="7">
        <v>630</v>
      </c>
      <c r="H830" s="7" t="s">
        <v>133</v>
      </c>
      <c r="I830" s="23">
        <f>SUM(I831:I836)</f>
        <v>209003</v>
      </c>
      <c r="J830" s="23">
        <f t="shared" ref="J830" si="301">SUM(J831:J836)</f>
        <v>0</v>
      </c>
      <c r="K830" s="23">
        <f t="shared" si="287"/>
        <v>209003</v>
      </c>
      <c r="M830" s="23"/>
      <c r="N830" s="23"/>
      <c r="O830" s="86">
        <f t="shared" si="288"/>
        <v>0</v>
      </c>
      <c r="Q830" s="273">
        <f t="shared" si="285"/>
        <v>209003</v>
      </c>
      <c r="R830" s="86">
        <f t="shared" si="297"/>
        <v>0</v>
      </c>
      <c r="S830" s="86">
        <f t="shared" si="297"/>
        <v>209003</v>
      </c>
    </row>
    <row r="831" spans="2:19" x14ac:dyDescent="0.2">
      <c r="B831" s="83">
        <f t="shared" si="289"/>
        <v>235</v>
      </c>
      <c r="C831" s="3"/>
      <c r="D831" s="3"/>
      <c r="E831" s="3"/>
      <c r="F831" s="26" t="s">
        <v>118</v>
      </c>
      <c r="G831" s="3">
        <v>631</v>
      </c>
      <c r="H831" s="3" t="s">
        <v>139</v>
      </c>
      <c r="I831" s="19">
        <v>30</v>
      </c>
      <c r="J831" s="19"/>
      <c r="K831" s="19">
        <f t="shared" si="287"/>
        <v>30</v>
      </c>
      <c r="M831" s="19"/>
      <c r="N831" s="19"/>
      <c r="O831" s="87">
        <f t="shared" si="288"/>
        <v>0</v>
      </c>
      <c r="Q831" s="274">
        <f t="shared" si="285"/>
        <v>30</v>
      </c>
      <c r="R831" s="87">
        <f t="shared" si="297"/>
        <v>0</v>
      </c>
      <c r="S831" s="87">
        <f t="shared" si="297"/>
        <v>30</v>
      </c>
    </row>
    <row r="832" spans="2:19" x14ac:dyDescent="0.2">
      <c r="B832" s="83">
        <f t="shared" si="289"/>
        <v>236</v>
      </c>
      <c r="C832" s="3"/>
      <c r="D832" s="3"/>
      <c r="E832" s="3"/>
      <c r="F832" s="26" t="s">
        <v>118</v>
      </c>
      <c r="G832" s="3">
        <v>632</v>
      </c>
      <c r="H832" s="3" t="s">
        <v>146</v>
      </c>
      <c r="I832" s="19">
        <v>82725</v>
      </c>
      <c r="J832" s="19"/>
      <c r="K832" s="19">
        <f t="shared" si="287"/>
        <v>82725</v>
      </c>
      <c r="M832" s="19"/>
      <c r="N832" s="19"/>
      <c r="O832" s="87">
        <f t="shared" si="288"/>
        <v>0</v>
      </c>
      <c r="Q832" s="274">
        <f t="shared" si="285"/>
        <v>82725</v>
      </c>
      <c r="R832" s="87">
        <f t="shared" si="297"/>
        <v>0</v>
      </c>
      <c r="S832" s="87">
        <f t="shared" si="297"/>
        <v>82725</v>
      </c>
    </row>
    <row r="833" spans="2:19" x14ac:dyDescent="0.2">
      <c r="B833" s="83">
        <f t="shared" si="289"/>
        <v>237</v>
      </c>
      <c r="C833" s="3"/>
      <c r="D833" s="3"/>
      <c r="E833" s="3"/>
      <c r="F833" s="26" t="s">
        <v>118</v>
      </c>
      <c r="G833" s="3">
        <v>633</v>
      </c>
      <c r="H833" s="3" t="s">
        <v>137</v>
      </c>
      <c r="I833" s="19">
        <v>32268</v>
      </c>
      <c r="J833" s="19"/>
      <c r="K833" s="19">
        <f t="shared" si="287"/>
        <v>32268</v>
      </c>
      <c r="M833" s="19"/>
      <c r="N833" s="19"/>
      <c r="O833" s="87">
        <f t="shared" si="288"/>
        <v>0</v>
      </c>
      <c r="Q833" s="274">
        <f t="shared" si="285"/>
        <v>32268</v>
      </c>
      <c r="R833" s="87">
        <f t="shared" si="297"/>
        <v>0</v>
      </c>
      <c r="S833" s="87">
        <f t="shared" si="297"/>
        <v>32268</v>
      </c>
    </row>
    <row r="834" spans="2:19" x14ac:dyDescent="0.2">
      <c r="B834" s="83">
        <f t="shared" si="289"/>
        <v>238</v>
      </c>
      <c r="C834" s="3"/>
      <c r="D834" s="3"/>
      <c r="E834" s="3"/>
      <c r="F834" s="26" t="s">
        <v>118</v>
      </c>
      <c r="G834" s="3">
        <v>635</v>
      </c>
      <c r="H834" s="3" t="s">
        <v>145</v>
      </c>
      <c r="I834" s="19">
        <v>10730</v>
      </c>
      <c r="J834" s="19"/>
      <c r="K834" s="19">
        <f t="shared" si="287"/>
        <v>10730</v>
      </c>
      <c r="M834" s="19"/>
      <c r="N834" s="19"/>
      <c r="O834" s="87">
        <f t="shared" si="288"/>
        <v>0</v>
      </c>
      <c r="Q834" s="274">
        <f t="shared" si="285"/>
        <v>10730</v>
      </c>
      <c r="R834" s="87">
        <f t="shared" si="297"/>
        <v>0</v>
      </c>
      <c r="S834" s="87">
        <f t="shared" si="297"/>
        <v>10730</v>
      </c>
    </row>
    <row r="835" spans="2:19" x14ac:dyDescent="0.2">
      <c r="B835" s="83">
        <f t="shared" si="289"/>
        <v>239</v>
      </c>
      <c r="C835" s="3"/>
      <c r="D835" s="3"/>
      <c r="E835" s="3"/>
      <c r="F835" s="26" t="s">
        <v>118</v>
      </c>
      <c r="G835" s="3">
        <v>636</v>
      </c>
      <c r="H835" s="3" t="s">
        <v>138</v>
      </c>
      <c r="I835" s="19">
        <v>43000</v>
      </c>
      <c r="J835" s="19"/>
      <c r="K835" s="19">
        <f t="shared" si="287"/>
        <v>43000</v>
      </c>
      <c r="M835" s="19"/>
      <c r="N835" s="19"/>
      <c r="O835" s="87">
        <f t="shared" si="288"/>
        <v>0</v>
      </c>
      <c r="Q835" s="274">
        <f t="shared" si="285"/>
        <v>43000</v>
      </c>
      <c r="R835" s="87">
        <f t="shared" si="297"/>
        <v>0</v>
      </c>
      <c r="S835" s="87">
        <f t="shared" si="297"/>
        <v>43000</v>
      </c>
    </row>
    <row r="836" spans="2:19" x14ac:dyDescent="0.2">
      <c r="B836" s="83">
        <f t="shared" si="289"/>
        <v>240</v>
      </c>
      <c r="C836" s="3"/>
      <c r="D836" s="3"/>
      <c r="E836" s="3"/>
      <c r="F836" s="26" t="s">
        <v>118</v>
      </c>
      <c r="G836" s="3">
        <v>637</v>
      </c>
      <c r="H836" s="3" t="s">
        <v>134</v>
      </c>
      <c r="I836" s="19">
        <v>40250</v>
      </c>
      <c r="J836" s="19"/>
      <c r="K836" s="19">
        <f t="shared" si="287"/>
        <v>40250</v>
      </c>
      <c r="M836" s="19"/>
      <c r="N836" s="19"/>
      <c r="O836" s="87">
        <f t="shared" si="288"/>
        <v>0</v>
      </c>
      <c r="Q836" s="274">
        <f t="shared" si="285"/>
        <v>40250</v>
      </c>
      <c r="R836" s="87">
        <f t="shared" si="297"/>
        <v>0</v>
      </c>
      <c r="S836" s="87">
        <f t="shared" si="297"/>
        <v>40250</v>
      </c>
    </row>
    <row r="837" spans="2:19" x14ac:dyDescent="0.2">
      <c r="B837" s="83">
        <f t="shared" si="289"/>
        <v>241</v>
      </c>
      <c r="C837" s="7"/>
      <c r="D837" s="7"/>
      <c r="E837" s="7"/>
      <c r="F837" s="25" t="s">
        <v>118</v>
      </c>
      <c r="G837" s="7">
        <v>640</v>
      </c>
      <c r="H837" s="7" t="s">
        <v>141</v>
      </c>
      <c r="I837" s="23">
        <v>8410</v>
      </c>
      <c r="J837" s="23"/>
      <c r="K837" s="23">
        <f t="shared" si="287"/>
        <v>8410</v>
      </c>
      <c r="M837" s="23"/>
      <c r="N837" s="23"/>
      <c r="O837" s="86">
        <f t="shared" si="288"/>
        <v>0</v>
      </c>
      <c r="Q837" s="273">
        <f t="shared" si="285"/>
        <v>8410</v>
      </c>
      <c r="R837" s="86">
        <f t="shared" si="297"/>
        <v>0</v>
      </c>
      <c r="S837" s="86">
        <f t="shared" si="297"/>
        <v>8410</v>
      </c>
    </row>
    <row r="838" spans="2:19" ht="15" x14ac:dyDescent="0.25">
      <c r="B838" s="83">
        <f t="shared" si="289"/>
        <v>242</v>
      </c>
      <c r="C838" s="10"/>
      <c r="D838" s="10"/>
      <c r="E838" s="10">
        <v>9</v>
      </c>
      <c r="F838" s="28"/>
      <c r="G838" s="10"/>
      <c r="H838" s="10" t="s">
        <v>8</v>
      </c>
      <c r="I838" s="38">
        <f>I839+I840+I841+I847+I848+I849+I850+I856</f>
        <v>660112</v>
      </c>
      <c r="J838" s="38">
        <f t="shared" ref="J838" si="302">J839+J840+J841+J847+J848+J849+J850+J856</f>
        <v>51037</v>
      </c>
      <c r="K838" s="38">
        <f t="shared" si="287"/>
        <v>711149</v>
      </c>
      <c r="M838" s="38">
        <f>M839+M840+M841+M847+M848+M849+M850+M856+M857</f>
        <v>370000</v>
      </c>
      <c r="N838" s="38">
        <f t="shared" ref="N838" si="303">N839+N840+N841+N847+N848+N849+N850+N856+N857</f>
        <v>0</v>
      </c>
      <c r="O838" s="94">
        <f t="shared" si="288"/>
        <v>370000</v>
      </c>
      <c r="Q838" s="315">
        <f t="shared" si="285"/>
        <v>1030112</v>
      </c>
      <c r="R838" s="94">
        <f t="shared" ref="R838:S853" si="304">J838+N838</f>
        <v>51037</v>
      </c>
      <c r="S838" s="94">
        <f t="shared" si="304"/>
        <v>1081149</v>
      </c>
    </row>
    <row r="839" spans="2:19" x14ac:dyDescent="0.2">
      <c r="B839" s="83">
        <f t="shared" si="289"/>
        <v>243</v>
      </c>
      <c r="C839" s="7"/>
      <c r="D839" s="7"/>
      <c r="E839" s="7"/>
      <c r="F839" s="25" t="s">
        <v>131</v>
      </c>
      <c r="G839" s="7">
        <v>610</v>
      </c>
      <c r="H839" s="7" t="s">
        <v>143</v>
      </c>
      <c r="I839" s="23">
        <f>190070+14187</f>
        <v>204257</v>
      </c>
      <c r="J839" s="23">
        <v>17287</v>
      </c>
      <c r="K839" s="23">
        <f t="shared" si="287"/>
        <v>221544</v>
      </c>
      <c r="M839" s="23"/>
      <c r="N839" s="23"/>
      <c r="O839" s="86">
        <f t="shared" si="288"/>
        <v>0</v>
      </c>
      <c r="Q839" s="273">
        <f t="shared" si="285"/>
        <v>204257</v>
      </c>
      <c r="R839" s="86">
        <f t="shared" si="304"/>
        <v>17287</v>
      </c>
      <c r="S839" s="86">
        <f t="shared" si="304"/>
        <v>221544</v>
      </c>
    </row>
    <row r="840" spans="2:19" x14ac:dyDescent="0.2">
      <c r="B840" s="83">
        <f t="shared" si="289"/>
        <v>244</v>
      </c>
      <c r="C840" s="7"/>
      <c r="D840" s="7"/>
      <c r="E840" s="7"/>
      <c r="F840" s="25" t="s">
        <v>131</v>
      </c>
      <c r="G840" s="7">
        <v>620</v>
      </c>
      <c r="H840" s="7" t="s">
        <v>136</v>
      </c>
      <c r="I840" s="23">
        <f>67464+4958</f>
        <v>72422</v>
      </c>
      <c r="J840" s="23">
        <v>6042</v>
      </c>
      <c r="K840" s="23">
        <f t="shared" si="287"/>
        <v>78464</v>
      </c>
      <c r="M840" s="23"/>
      <c r="N840" s="23"/>
      <c r="O840" s="86">
        <f t="shared" si="288"/>
        <v>0</v>
      </c>
      <c r="Q840" s="273">
        <f t="shared" si="285"/>
        <v>72422</v>
      </c>
      <c r="R840" s="86">
        <f t="shared" si="304"/>
        <v>6042</v>
      </c>
      <c r="S840" s="86">
        <f t="shared" si="304"/>
        <v>78464</v>
      </c>
    </row>
    <row r="841" spans="2:19" x14ac:dyDescent="0.2">
      <c r="B841" s="83">
        <f t="shared" si="289"/>
        <v>245</v>
      </c>
      <c r="C841" s="7"/>
      <c r="D841" s="7"/>
      <c r="E841" s="7"/>
      <c r="F841" s="25" t="s">
        <v>131</v>
      </c>
      <c r="G841" s="7">
        <v>630</v>
      </c>
      <c r="H841" s="7" t="s">
        <v>133</v>
      </c>
      <c r="I841" s="23">
        <f>SUM(I842:I846)</f>
        <v>44930</v>
      </c>
      <c r="J841" s="23">
        <f t="shared" ref="J841" si="305">SUM(J842:J846)</f>
        <v>2009</v>
      </c>
      <c r="K841" s="23">
        <f t="shared" si="287"/>
        <v>46939</v>
      </c>
      <c r="M841" s="23"/>
      <c r="N841" s="23"/>
      <c r="O841" s="86">
        <f t="shared" si="288"/>
        <v>0</v>
      </c>
      <c r="Q841" s="273">
        <f t="shared" si="285"/>
        <v>44930</v>
      </c>
      <c r="R841" s="86">
        <f t="shared" si="304"/>
        <v>2009</v>
      </c>
      <c r="S841" s="86">
        <f t="shared" si="304"/>
        <v>46939</v>
      </c>
    </row>
    <row r="842" spans="2:19" x14ac:dyDescent="0.2">
      <c r="B842" s="83">
        <f t="shared" si="289"/>
        <v>246</v>
      </c>
      <c r="C842" s="3"/>
      <c r="D842" s="3"/>
      <c r="E842" s="3"/>
      <c r="F842" s="26" t="s">
        <v>131</v>
      </c>
      <c r="G842" s="3">
        <v>631</v>
      </c>
      <c r="H842" s="3" t="s">
        <v>139</v>
      </c>
      <c r="I842" s="19">
        <v>101</v>
      </c>
      <c r="J842" s="19"/>
      <c r="K842" s="19">
        <f t="shared" si="287"/>
        <v>101</v>
      </c>
      <c r="M842" s="19"/>
      <c r="N842" s="19"/>
      <c r="O842" s="87">
        <f t="shared" si="288"/>
        <v>0</v>
      </c>
      <c r="Q842" s="274">
        <f t="shared" si="285"/>
        <v>101</v>
      </c>
      <c r="R842" s="87">
        <f t="shared" si="304"/>
        <v>0</v>
      </c>
      <c r="S842" s="87">
        <f t="shared" si="304"/>
        <v>101</v>
      </c>
    </row>
    <row r="843" spans="2:19" x14ac:dyDescent="0.2">
      <c r="B843" s="83">
        <f t="shared" si="289"/>
        <v>247</v>
      </c>
      <c r="C843" s="3"/>
      <c r="D843" s="3"/>
      <c r="E843" s="3"/>
      <c r="F843" s="26" t="s">
        <v>131</v>
      </c>
      <c r="G843" s="3">
        <v>632</v>
      </c>
      <c r="H843" s="3" t="s">
        <v>146</v>
      </c>
      <c r="I843" s="19">
        <v>18920</v>
      </c>
      <c r="J843" s="19">
        <v>280</v>
      </c>
      <c r="K843" s="19">
        <f t="shared" si="287"/>
        <v>19200</v>
      </c>
      <c r="M843" s="19"/>
      <c r="N843" s="19"/>
      <c r="O843" s="87">
        <f t="shared" si="288"/>
        <v>0</v>
      </c>
      <c r="Q843" s="274">
        <f t="shared" si="285"/>
        <v>18920</v>
      </c>
      <c r="R843" s="87">
        <f t="shared" si="304"/>
        <v>280</v>
      </c>
      <c r="S843" s="87">
        <f t="shared" si="304"/>
        <v>19200</v>
      </c>
    </row>
    <row r="844" spans="2:19" x14ac:dyDescent="0.2">
      <c r="B844" s="83">
        <f t="shared" si="289"/>
        <v>248</v>
      </c>
      <c r="C844" s="3"/>
      <c r="D844" s="3"/>
      <c r="E844" s="3"/>
      <c r="F844" s="26" t="s">
        <v>131</v>
      </c>
      <c r="G844" s="3">
        <v>633</v>
      </c>
      <c r="H844" s="3" t="s">
        <v>137</v>
      </c>
      <c r="I844" s="19">
        <v>5100</v>
      </c>
      <c r="J844" s="19">
        <v>400</v>
      </c>
      <c r="K844" s="19">
        <f t="shared" si="287"/>
        <v>5500</v>
      </c>
      <c r="M844" s="19"/>
      <c r="N844" s="19"/>
      <c r="O844" s="87">
        <f t="shared" si="288"/>
        <v>0</v>
      </c>
      <c r="Q844" s="274">
        <f t="shared" si="285"/>
        <v>5100</v>
      </c>
      <c r="R844" s="87">
        <f t="shared" si="304"/>
        <v>400</v>
      </c>
      <c r="S844" s="87">
        <f t="shared" si="304"/>
        <v>5500</v>
      </c>
    </row>
    <row r="845" spans="2:19" x14ac:dyDescent="0.2">
      <c r="B845" s="83">
        <f t="shared" si="289"/>
        <v>249</v>
      </c>
      <c r="C845" s="3"/>
      <c r="D845" s="3"/>
      <c r="E845" s="3"/>
      <c r="F845" s="26" t="s">
        <v>131</v>
      </c>
      <c r="G845" s="3">
        <v>635</v>
      </c>
      <c r="H845" s="3" t="s">
        <v>145</v>
      </c>
      <c r="I845" s="19">
        <v>1300</v>
      </c>
      <c r="J845" s="19"/>
      <c r="K845" s="19">
        <f t="shared" si="287"/>
        <v>1300</v>
      </c>
      <c r="M845" s="19"/>
      <c r="N845" s="19"/>
      <c r="O845" s="87">
        <f t="shared" si="288"/>
        <v>0</v>
      </c>
      <c r="Q845" s="274">
        <f t="shared" si="285"/>
        <v>1300</v>
      </c>
      <c r="R845" s="87">
        <f t="shared" si="304"/>
        <v>0</v>
      </c>
      <c r="S845" s="87">
        <f t="shared" si="304"/>
        <v>1300</v>
      </c>
    </row>
    <row r="846" spans="2:19" x14ac:dyDescent="0.2">
      <c r="B846" s="83">
        <f t="shared" si="289"/>
        <v>250</v>
      </c>
      <c r="C846" s="3"/>
      <c r="D846" s="3"/>
      <c r="E846" s="3"/>
      <c r="F846" s="26" t="s">
        <v>131</v>
      </c>
      <c r="G846" s="3">
        <v>637</v>
      </c>
      <c r="H846" s="3" t="s">
        <v>134</v>
      </c>
      <c r="I846" s="19">
        <v>19509</v>
      </c>
      <c r="J846" s="19">
        <v>1329</v>
      </c>
      <c r="K846" s="19">
        <f t="shared" si="287"/>
        <v>20838</v>
      </c>
      <c r="M846" s="19"/>
      <c r="N846" s="19"/>
      <c r="O846" s="87">
        <f t="shared" si="288"/>
        <v>0</v>
      </c>
      <c r="Q846" s="274">
        <f t="shared" si="285"/>
        <v>19509</v>
      </c>
      <c r="R846" s="87">
        <f t="shared" si="304"/>
        <v>1329</v>
      </c>
      <c r="S846" s="87">
        <f t="shared" si="304"/>
        <v>20838</v>
      </c>
    </row>
    <row r="847" spans="2:19" x14ac:dyDescent="0.2">
      <c r="B847" s="83">
        <f t="shared" si="289"/>
        <v>251</v>
      </c>
      <c r="C847" s="7"/>
      <c r="D847" s="7"/>
      <c r="E847" s="7"/>
      <c r="F847" s="25" t="s">
        <v>131</v>
      </c>
      <c r="G847" s="7">
        <v>640</v>
      </c>
      <c r="H847" s="7" t="s">
        <v>141</v>
      </c>
      <c r="I847" s="23">
        <v>3350</v>
      </c>
      <c r="J847" s="23">
        <v>150</v>
      </c>
      <c r="K847" s="23">
        <f t="shared" si="287"/>
        <v>3500</v>
      </c>
      <c r="M847" s="23"/>
      <c r="N847" s="23"/>
      <c r="O847" s="86">
        <f t="shared" si="288"/>
        <v>0</v>
      </c>
      <c r="Q847" s="273">
        <f t="shared" si="285"/>
        <v>3350</v>
      </c>
      <c r="R847" s="86">
        <f t="shared" si="304"/>
        <v>150</v>
      </c>
      <c r="S847" s="86">
        <f t="shared" si="304"/>
        <v>3500</v>
      </c>
    </row>
    <row r="848" spans="2:19" x14ac:dyDescent="0.2">
      <c r="B848" s="83">
        <f t="shared" si="289"/>
        <v>252</v>
      </c>
      <c r="C848" s="7"/>
      <c r="D848" s="7"/>
      <c r="E848" s="7"/>
      <c r="F848" s="25" t="s">
        <v>118</v>
      </c>
      <c r="G848" s="7">
        <v>610</v>
      </c>
      <c r="H848" s="7" t="s">
        <v>143</v>
      </c>
      <c r="I848" s="23">
        <f>190070+14188</f>
        <v>204258</v>
      </c>
      <c r="J848" s="23">
        <f>50+17288</f>
        <v>17338</v>
      </c>
      <c r="K848" s="23">
        <f t="shared" si="287"/>
        <v>221596</v>
      </c>
      <c r="M848" s="23"/>
      <c r="N848" s="23"/>
      <c r="O848" s="86">
        <f t="shared" si="288"/>
        <v>0</v>
      </c>
      <c r="Q848" s="273">
        <f t="shared" si="285"/>
        <v>204258</v>
      </c>
      <c r="R848" s="86">
        <f t="shared" si="304"/>
        <v>17338</v>
      </c>
      <c r="S848" s="86">
        <f t="shared" si="304"/>
        <v>221596</v>
      </c>
    </row>
    <row r="849" spans="2:19" x14ac:dyDescent="0.2">
      <c r="B849" s="83">
        <f t="shared" si="289"/>
        <v>253</v>
      </c>
      <c r="C849" s="7"/>
      <c r="D849" s="7"/>
      <c r="E849" s="7"/>
      <c r="F849" s="25" t="s">
        <v>118</v>
      </c>
      <c r="G849" s="7">
        <v>620</v>
      </c>
      <c r="H849" s="7" t="s">
        <v>136</v>
      </c>
      <c r="I849" s="23">
        <f>67466+4959</f>
        <v>72425</v>
      </c>
      <c r="J849" s="23">
        <f>10+6042</f>
        <v>6052</v>
      </c>
      <c r="K849" s="23">
        <f t="shared" si="287"/>
        <v>78477</v>
      </c>
      <c r="M849" s="23"/>
      <c r="N849" s="23"/>
      <c r="O849" s="86">
        <f t="shared" si="288"/>
        <v>0</v>
      </c>
      <c r="Q849" s="273">
        <f t="shared" si="285"/>
        <v>72425</v>
      </c>
      <c r="R849" s="86">
        <f t="shared" si="304"/>
        <v>6052</v>
      </c>
      <c r="S849" s="86">
        <f t="shared" si="304"/>
        <v>78477</v>
      </c>
    </row>
    <row r="850" spans="2:19" x14ac:dyDescent="0.2">
      <c r="B850" s="83">
        <f t="shared" si="289"/>
        <v>254</v>
      </c>
      <c r="C850" s="7"/>
      <c r="D850" s="7"/>
      <c r="E850" s="7"/>
      <c r="F850" s="25" t="s">
        <v>118</v>
      </c>
      <c r="G850" s="7">
        <v>630</v>
      </c>
      <c r="H850" s="7" t="s">
        <v>133</v>
      </c>
      <c r="I850" s="23">
        <f>SUM(I851:I855)</f>
        <v>55120</v>
      </c>
      <c r="J850" s="23">
        <f t="shared" ref="J850" si="306">SUM(J851:J855)</f>
        <v>2009</v>
      </c>
      <c r="K850" s="23">
        <f t="shared" si="287"/>
        <v>57129</v>
      </c>
      <c r="M850" s="23"/>
      <c r="N850" s="23"/>
      <c r="O850" s="86">
        <f t="shared" si="288"/>
        <v>0</v>
      </c>
      <c r="Q850" s="273">
        <f t="shared" si="285"/>
        <v>55120</v>
      </c>
      <c r="R850" s="86">
        <f t="shared" si="304"/>
        <v>2009</v>
      </c>
      <c r="S850" s="86">
        <f t="shared" si="304"/>
        <v>57129</v>
      </c>
    </row>
    <row r="851" spans="2:19" x14ac:dyDescent="0.2">
      <c r="B851" s="83">
        <f t="shared" si="289"/>
        <v>255</v>
      </c>
      <c r="C851" s="3"/>
      <c r="D851" s="3"/>
      <c r="E851" s="3"/>
      <c r="F851" s="26" t="s">
        <v>118</v>
      </c>
      <c r="G851" s="3">
        <v>631</v>
      </c>
      <c r="H851" s="3" t="s">
        <v>139</v>
      </c>
      <c r="I851" s="19">
        <v>101</v>
      </c>
      <c r="J851" s="19"/>
      <c r="K851" s="19">
        <f t="shared" si="287"/>
        <v>101</v>
      </c>
      <c r="M851" s="19"/>
      <c r="N851" s="19"/>
      <c r="O851" s="87">
        <f t="shared" si="288"/>
        <v>0</v>
      </c>
      <c r="Q851" s="274">
        <f t="shared" si="285"/>
        <v>101</v>
      </c>
      <c r="R851" s="87">
        <f t="shared" si="304"/>
        <v>0</v>
      </c>
      <c r="S851" s="87">
        <f t="shared" si="304"/>
        <v>101</v>
      </c>
    </row>
    <row r="852" spans="2:19" x14ac:dyDescent="0.2">
      <c r="B852" s="83">
        <f t="shared" si="289"/>
        <v>256</v>
      </c>
      <c r="C852" s="3"/>
      <c r="D852" s="3"/>
      <c r="E852" s="3"/>
      <c r="F852" s="26" t="s">
        <v>118</v>
      </c>
      <c r="G852" s="3">
        <v>632</v>
      </c>
      <c r="H852" s="3" t="s">
        <v>146</v>
      </c>
      <c r="I852" s="19">
        <v>21920</v>
      </c>
      <c r="J852" s="19">
        <v>280</v>
      </c>
      <c r="K852" s="19">
        <f t="shared" si="287"/>
        <v>22200</v>
      </c>
      <c r="M852" s="19"/>
      <c r="N852" s="19"/>
      <c r="O852" s="87">
        <f t="shared" si="288"/>
        <v>0</v>
      </c>
      <c r="Q852" s="274">
        <f t="shared" si="285"/>
        <v>21920</v>
      </c>
      <c r="R852" s="87">
        <f t="shared" si="304"/>
        <v>280</v>
      </c>
      <c r="S852" s="87">
        <f t="shared" si="304"/>
        <v>22200</v>
      </c>
    </row>
    <row r="853" spans="2:19" x14ac:dyDescent="0.2">
      <c r="B853" s="83">
        <f t="shared" si="289"/>
        <v>257</v>
      </c>
      <c r="C853" s="3"/>
      <c r="D853" s="3"/>
      <c r="E853" s="3"/>
      <c r="F853" s="26" t="s">
        <v>118</v>
      </c>
      <c r="G853" s="3">
        <v>633</v>
      </c>
      <c r="H853" s="3" t="s">
        <v>137</v>
      </c>
      <c r="I853" s="19">
        <v>10540</v>
      </c>
      <c r="J853" s="19">
        <v>400</v>
      </c>
      <c r="K853" s="19">
        <f t="shared" si="287"/>
        <v>10940</v>
      </c>
      <c r="M853" s="19"/>
      <c r="N853" s="19"/>
      <c r="O853" s="87">
        <f t="shared" si="288"/>
        <v>0</v>
      </c>
      <c r="Q853" s="274">
        <f t="shared" si="285"/>
        <v>10540</v>
      </c>
      <c r="R853" s="87">
        <f t="shared" si="304"/>
        <v>400</v>
      </c>
      <c r="S853" s="87">
        <f t="shared" si="304"/>
        <v>10940</v>
      </c>
    </row>
    <row r="854" spans="2:19" x14ac:dyDescent="0.2">
      <c r="B854" s="83">
        <f t="shared" si="289"/>
        <v>258</v>
      </c>
      <c r="C854" s="3"/>
      <c r="D854" s="3"/>
      <c r="E854" s="3"/>
      <c r="F854" s="26" t="s">
        <v>118</v>
      </c>
      <c r="G854" s="3">
        <v>635</v>
      </c>
      <c r="H854" s="3" t="s">
        <v>145</v>
      </c>
      <c r="I854" s="19">
        <v>1300</v>
      </c>
      <c r="J854" s="19"/>
      <c r="K854" s="19">
        <f t="shared" si="287"/>
        <v>1300</v>
      </c>
      <c r="M854" s="19"/>
      <c r="N854" s="19"/>
      <c r="O854" s="87">
        <f t="shared" si="288"/>
        <v>0</v>
      </c>
      <c r="Q854" s="274">
        <f t="shared" ref="Q854:Q917" si="307">I854+M854</f>
        <v>1300</v>
      </c>
      <c r="R854" s="87">
        <f t="shared" ref="R854:S869" si="308">J854+N854</f>
        <v>0</v>
      </c>
      <c r="S854" s="87">
        <f t="shared" si="308"/>
        <v>1300</v>
      </c>
    </row>
    <row r="855" spans="2:19" x14ac:dyDescent="0.2">
      <c r="B855" s="83">
        <f t="shared" si="289"/>
        <v>259</v>
      </c>
      <c r="C855" s="3"/>
      <c r="D855" s="3"/>
      <c r="E855" s="3"/>
      <c r="F855" s="26" t="s">
        <v>118</v>
      </c>
      <c r="G855" s="3">
        <v>637</v>
      </c>
      <c r="H855" s="3" t="s">
        <v>134</v>
      </c>
      <c r="I855" s="19">
        <v>21259</v>
      </c>
      <c r="J855" s="19">
        <v>1329</v>
      </c>
      <c r="K855" s="19">
        <f t="shared" ref="K855:K918" si="309">I855+J855</f>
        <v>22588</v>
      </c>
      <c r="M855" s="19"/>
      <c r="N855" s="19"/>
      <c r="O855" s="87">
        <f t="shared" ref="O855:O918" si="310">M855+N855</f>
        <v>0</v>
      </c>
      <c r="Q855" s="274">
        <f t="shared" si="307"/>
        <v>21259</v>
      </c>
      <c r="R855" s="87">
        <f t="shared" si="308"/>
        <v>1329</v>
      </c>
      <c r="S855" s="87">
        <f t="shared" si="308"/>
        <v>22588</v>
      </c>
    </row>
    <row r="856" spans="2:19" x14ac:dyDescent="0.2">
      <c r="B856" s="83">
        <f t="shared" ref="B856:B919" si="311">B855+1</f>
        <v>260</v>
      </c>
      <c r="C856" s="7"/>
      <c r="D856" s="7"/>
      <c r="E856" s="7"/>
      <c r="F856" s="25" t="s">
        <v>118</v>
      </c>
      <c r="G856" s="7">
        <v>640</v>
      </c>
      <c r="H856" s="7" t="s">
        <v>141</v>
      </c>
      <c r="I856" s="23">
        <v>3350</v>
      </c>
      <c r="J856" s="23">
        <v>150</v>
      </c>
      <c r="K856" s="23">
        <f t="shared" si="309"/>
        <v>3500</v>
      </c>
      <c r="M856" s="23"/>
      <c r="N856" s="23"/>
      <c r="O856" s="86">
        <f t="shared" si="310"/>
        <v>0</v>
      </c>
      <c r="Q856" s="273">
        <f t="shared" si="307"/>
        <v>3350</v>
      </c>
      <c r="R856" s="86">
        <f t="shared" si="308"/>
        <v>150</v>
      </c>
      <c r="S856" s="86">
        <f t="shared" si="308"/>
        <v>3500</v>
      </c>
    </row>
    <row r="857" spans="2:19" x14ac:dyDescent="0.2">
      <c r="B857" s="83">
        <f t="shared" si="311"/>
        <v>261</v>
      </c>
      <c r="C857" s="7"/>
      <c r="D857" s="7"/>
      <c r="E857" s="7"/>
      <c r="F857" s="25" t="s">
        <v>118</v>
      </c>
      <c r="G857" s="7">
        <v>710</v>
      </c>
      <c r="H857" s="7" t="s">
        <v>188</v>
      </c>
      <c r="I857" s="23"/>
      <c r="J857" s="23"/>
      <c r="K857" s="23">
        <f t="shared" si="309"/>
        <v>0</v>
      </c>
      <c r="M857" s="23">
        <f>M858</f>
        <v>370000</v>
      </c>
      <c r="N857" s="23">
        <f t="shared" ref="N857" si="312">N858</f>
        <v>0</v>
      </c>
      <c r="O857" s="86">
        <f t="shared" si="310"/>
        <v>370000</v>
      </c>
      <c r="Q857" s="273">
        <f t="shared" si="307"/>
        <v>370000</v>
      </c>
      <c r="R857" s="86">
        <f t="shared" si="308"/>
        <v>0</v>
      </c>
      <c r="S857" s="86">
        <f t="shared" si="308"/>
        <v>370000</v>
      </c>
    </row>
    <row r="858" spans="2:19" x14ac:dyDescent="0.2">
      <c r="B858" s="83">
        <f t="shared" si="311"/>
        <v>262</v>
      </c>
      <c r="C858" s="3"/>
      <c r="D858" s="3"/>
      <c r="E858" s="3"/>
      <c r="F858" s="26" t="s">
        <v>118</v>
      </c>
      <c r="G858" s="3">
        <v>717</v>
      </c>
      <c r="H858" s="3" t="s">
        <v>198</v>
      </c>
      <c r="I858" s="19"/>
      <c r="J858" s="19"/>
      <c r="K858" s="19">
        <f t="shared" si="309"/>
        <v>0</v>
      </c>
      <c r="M858" s="64">
        <f>SUM(M859:M859)</f>
        <v>370000</v>
      </c>
      <c r="N858" s="64">
        <f t="shared" ref="N858" si="313">SUM(N859:N859)</f>
        <v>0</v>
      </c>
      <c r="O858" s="181">
        <f t="shared" si="310"/>
        <v>370000</v>
      </c>
      <c r="Q858" s="274">
        <f t="shared" si="307"/>
        <v>370000</v>
      </c>
      <c r="R858" s="87">
        <f t="shared" si="308"/>
        <v>0</v>
      </c>
      <c r="S858" s="87">
        <f t="shared" si="308"/>
        <v>370000</v>
      </c>
    </row>
    <row r="859" spans="2:19" x14ac:dyDescent="0.2">
      <c r="B859" s="83">
        <f t="shared" si="311"/>
        <v>263</v>
      </c>
      <c r="C859" s="4"/>
      <c r="D859" s="4"/>
      <c r="E859" s="4"/>
      <c r="F859" s="27"/>
      <c r="G859" s="4"/>
      <c r="H859" s="4" t="s">
        <v>491</v>
      </c>
      <c r="I859" s="21"/>
      <c r="J859" s="21"/>
      <c r="K859" s="21">
        <f t="shared" si="309"/>
        <v>0</v>
      </c>
      <c r="M859" s="40">
        <v>370000</v>
      </c>
      <c r="N859" s="40"/>
      <c r="O859" s="312">
        <f t="shared" si="310"/>
        <v>370000</v>
      </c>
      <c r="Q859" s="275">
        <f t="shared" si="307"/>
        <v>370000</v>
      </c>
      <c r="R859" s="88">
        <f t="shared" si="308"/>
        <v>0</v>
      </c>
      <c r="S859" s="88">
        <f t="shared" si="308"/>
        <v>370000</v>
      </c>
    </row>
    <row r="860" spans="2:19" ht="15" x14ac:dyDescent="0.25">
      <c r="B860" s="83">
        <f t="shared" si="311"/>
        <v>264</v>
      </c>
      <c r="C860" s="10"/>
      <c r="D860" s="10"/>
      <c r="E860" s="10">
        <v>10</v>
      </c>
      <c r="F860" s="28"/>
      <c r="G860" s="10"/>
      <c r="H860" s="10" t="s">
        <v>2</v>
      </c>
      <c r="I860" s="38">
        <f>I861+I862+I863+I869+I870+I871+I872+I879</f>
        <v>496944</v>
      </c>
      <c r="J860" s="38">
        <f t="shared" ref="J860" si="314">J861+J862+J863+J869+J870+J871+J872+J879</f>
        <v>1738</v>
      </c>
      <c r="K860" s="38">
        <f t="shared" si="309"/>
        <v>498682</v>
      </c>
      <c r="M860" s="38">
        <f>M880</f>
        <v>51950</v>
      </c>
      <c r="N860" s="38">
        <f t="shared" ref="N860" si="315">N880</f>
        <v>0</v>
      </c>
      <c r="O860" s="94">
        <f t="shared" si="310"/>
        <v>51950</v>
      </c>
      <c r="Q860" s="315">
        <f t="shared" si="307"/>
        <v>548894</v>
      </c>
      <c r="R860" s="94">
        <f t="shared" si="308"/>
        <v>1738</v>
      </c>
      <c r="S860" s="94">
        <f t="shared" si="308"/>
        <v>550632</v>
      </c>
    </row>
    <row r="861" spans="2:19" x14ac:dyDescent="0.2">
      <c r="B861" s="83">
        <f t="shared" si="311"/>
        <v>265</v>
      </c>
      <c r="C861" s="7"/>
      <c r="D861" s="7"/>
      <c r="E861" s="7"/>
      <c r="F861" s="25" t="s">
        <v>131</v>
      </c>
      <c r="G861" s="7">
        <v>610</v>
      </c>
      <c r="H861" s="7" t="s">
        <v>143</v>
      </c>
      <c r="I861" s="23">
        <f>126145+11681+4810</f>
        <v>142636</v>
      </c>
      <c r="J861" s="23">
        <v>6017</v>
      </c>
      <c r="K861" s="23">
        <f t="shared" si="309"/>
        <v>148653</v>
      </c>
      <c r="M861" s="23"/>
      <c r="N861" s="23"/>
      <c r="O861" s="86">
        <f t="shared" si="310"/>
        <v>0</v>
      </c>
      <c r="Q861" s="273">
        <f t="shared" si="307"/>
        <v>142636</v>
      </c>
      <c r="R861" s="86">
        <f t="shared" si="308"/>
        <v>6017</v>
      </c>
      <c r="S861" s="86">
        <f t="shared" si="308"/>
        <v>148653</v>
      </c>
    </row>
    <row r="862" spans="2:19" x14ac:dyDescent="0.2">
      <c r="B862" s="83">
        <f t="shared" si="311"/>
        <v>266</v>
      </c>
      <c r="C862" s="7"/>
      <c r="D862" s="7"/>
      <c r="E862" s="7"/>
      <c r="F862" s="25" t="s">
        <v>131</v>
      </c>
      <c r="G862" s="7">
        <v>620</v>
      </c>
      <c r="H862" s="7" t="s">
        <v>136</v>
      </c>
      <c r="I862" s="23">
        <f>44200+4083+1690</f>
        <v>49973</v>
      </c>
      <c r="J862" s="23">
        <v>2095</v>
      </c>
      <c r="K862" s="23">
        <f t="shared" si="309"/>
        <v>52068</v>
      </c>
      <c r="M862" s="23"/>
      <c r="N862" s="23"/>
      <c r="O862" s="86">
        <f t="shared" si="310"/>
        <v>0</v>
      </c>
      <c r="Q862" s="273">
        <f t="shared" si="307"/>
        <v>49973</v>
      </c>
      <c r="R862" s="86">
        <f t="shared" si="308"/>
        <v>2095</v>
      </c>
      <c r="S862" s="86">
        <f t="shared" si="308"/>
        <v>52068</v>
      </c>
    </row>
    <row r="863" spans="2:19" x14ac:dyDescent="0.2">
      <c r="B863" s="83">
        <f t="shared" si="311"/>
        <v>267</v>
      </c>
      <c r="C863" s="7"/>
      <c r="D863" s="7"/>
      <c r="E863" s="7"/>
      <c r="F863" s="25" t="s">
        <v>131</v>
      </c>
      <c r="G863" s="7">
        <v>630</v>
      </c>
      <c r="H863" s="7" t="s">
        <v>133</v>
      </c>
      <c r="I863" s="23">
        <f>SUM(I864:I868)</f>
        <v>28965</v>
      </c>
      <c r="J863" s="23">
        <f t="shared" ref="J863" si="316">SUM(J864:J868)</f>
        <v>321</v>
      </c>
      <c r="K863" s="23">
        <f t="shared" si="309"/>
        <v>29286</v>
      </c>
      <c r="M863" s="23"/>
      <c r="N863" s="23"/>
      <c r="O863" s="86">
        <f t="shared" si="310"/>
        <v>0</v>
      </c>
      <c r="Q863" s="273">
        <f t="shared" si="307"/>
        <v>28965</v>
      </c>
      <c r="R863" s="86">
        <f t="shared" si="308"/>
        <v>321</v>
      </c>
      <c r="S863" s="86">
        <f t="shared" si="308"/>
        <v>29286</v>
      </c>
    </row>
    <row r="864" spans="2:19" x14ac:dyDescent="0.2">
      <c r="B864" s="83">
        <f t="shared" si="311"/>
        <v>268</v>
      </c>
      <c r="C864" s="3"/>
      <c r="D864" s="3"/>
      <c r="E864" s="3"/>
      <c r="F864" s="26" t="s">
        <v>131</v>
      </c>
      <c r="G864" s="3">
        <v>631</v>
      </c>
      <c r="H864" s="3" t="s">
        <v>139</v>
      </c>
      <c r="I864" s="19">
        <v>305</v>
      </c>
      <c r="J864" s="19"/>
      <c r="K864" s="19">
        <f t="shared" si="309"/>
        <v>305</v>
      </c>
      <c r="M864" s="19"/>
      <c r="N864" s="19"/>
      <c r="O864" s="87">
        <f t="shared" si="310"/>
        <v>0</v>
      </c>
      <c r="Q864" s="274">
        <f t="shared" si="307"/>
        <v>305</v>
      </c>
      <c r="R864" s="87">
        <f t="shared" si="308"/>
        <v>0</v>
      </c>
      <c r="S864" s="87">
        <f t="shared" si="308"/>
        <v>305</v>
      </c>
    </row>
    <row r="865" spans="2:19" x14ac:dyDescent="0.2">
      <c r="B865" s="83">
        <f t="shared" si="311"/>
        <v>269</v>
      </c>
      <c r="C865" s="3"/>
      <c r="D865" s="3"/>
      <c r="E865" s="3"/>
      <c r="F865" s="26" t="s">
        <v>131</v>
      </c>
      <c r="G865" s="3">
        <v>632</v>
      </c>
      <c r="H865" s="3" t="s">
        <v>146</v>
      </c>
      <c r="I865" s="19">
        <v>11760</v>
      </c>
      <c r="J865" s="19"/>
      <c r="K865" s="19">
        <f t="shared" si="309"/>
        <v>11760</v>
      </c>
      <c r="M865" s="19"/>
      <c r="N865" s="19"/>
      <c r="O865" s="87">
        <f t="shared" si="310"/>
        <v>0</v>
      </c>
      <c r="Q865" s="274">
        <f t="shared" si="307"/>
        <v>11760</v>
      </c>
      <c r="R865" s="87">
        <f t="shared" si="308"/>
        <v>0</v>
      </c>
      <c r="S865" s="87">
        <f t="shared" si="308"/>
        <v>11760</v>
      </c>
    </row>
    <row r="866" spans="2:19" x14ac:dyDescent="0.2">
      <c r="B866" s="83">
        <f t="shared" si="311"/>
        <v>270</v>
      </c>
      <c r="C866" s="3"/>
      <c r="D866" s="3"/>
      <c r="E866" s="3"/>
      <c r="F866" s="26" t="s">
        <v>131</v>
      </c>
      <c r="G866" s="3">
        <v>633</v>
      </c>
      <c r="H866" s="3" t="s">
        <v>137</v>
      </c>
      <c r="I866" s="19">
        <v>5540</v>
      </c>
      <c r="J866" s="19">
        <v>321</v>
      </c>
      <c r="K866" s="19">
        <f t="shared" si="309"/>
        <v>5861</v>
      </c>
      <c r="M866" s="19"/>
      <c r="N866" s="19"/>
      <c r="O866" s="87">
        <f t="shared" si="310"/>
        <v>0</v>
      </c>
      <c r="Q866" s="274">
        <f t="shared" si="307"/>
        <v>5540</v>
      </c>
      <c r="R866" s="87">
        <f t="shared" si="308"/>
        <v>321</v>
      </c>
      <c r="S866" s="87">
        <f t="shared" si="308"/>
        <v>5861</v>
      </c>
    </row>
    <row r="867" spans="2:19" x14ac:dyDescent="0.2">
      <c r="B867" s="83">
        <f t="shared" si="311"/>
        <v>271</v>
      </c>
      <c r="C867" s="3"/>
      <c r="D867" s="3"/>
      <c r="E867" s="3"/>
      <c r="F867" s="26" t="s">
        <v>131</v>
      </c>
      <c r="G867" s="3">
        <v>635</v>
      </c>
      <c r="H867" s="3" t="s">
        <v>145</v>
      </c>
      <c r="I867" s="19">
        <v>2080</v>
      </c>
      <c r="J867" s="19"/>
      <c r="K867" s="19">
        <f t="shared" si="309"/>
        <v>2080</v>
      </c>
      <c r="M867" s="19"/>
      <c r="N867" s="19"/>
      <c r="O867" s="87">
        <f t="shared" si="310"/>
        <v>0</v>
      </c>
      <c r="Q867" s="274">
        <f t="shared" si="307"/>
        <v>2080</v>
      </c>
      <c r="R867" s="87">
        <f t="shared" si="308"/>
        <v>0</v>
      </c>
      <c r="S867" s="87">
        <f t="shared" si="308"/>
        <v>2080</v>
      </c>
    </row>
    <row r="868" spans="2:19" x14ac:dyDescent="0.2">
      <c r="B868" s="83">
        <f t="shared" si="311"/>
        <v>272</v>
      </c>
      <c r="C868" s="3"/>
      <c r="D868" s="3"/>
      <c r="E868" s="3"/>
      <c r="F868" s="26" t="s">
        <v>131</v>
      </c>
      <c r="G868" s="3">
        <v>637</v>
      </c>
      <c r="H868" s="3" t="s">
        <v>134</v>
      </c>
      <c r="I868" s="19">
        <v>9280</v>
      </c>
      <c r="J868" s="19"/>
      <c r="K868" s="19">
        <f t="shared" si="309"/>
        <v>9280</v>
      </c>
      <c r="M868" s="19"/>
      <c r="N868" s="19"/>
      <c r="O868" s="87">
        <f t="shared" si="310"/>
        <v>0</v>
      </c>
      <c r="Q868" s="274">
        <f t="shared" si="307"/>
        <v>9280</v>
      </c>
      <c r="R868" s="87">
        <f t="shared" si="308"/>
        <v>0</v>
      </c>
      <c r="S868" s="87">
        <f t="shared" si="308"/>
        <v>9280</v>
      </c>
    </row>
    <row r="869" spans="2:19" x14ac:dyDescent="0.2">
      <c r="B869" s="83">
        <f t="shared" si="311"/>
        <v>273</v>
      </c>
      <c r="C869" s="7"/>
      <c r="D869" s="7"/>
      <c r="E869" s="7"/>
      <c r="F869" s="25" t="s">
        <v>131</v>
      </c>
      <c r="G869" s="7">
        <v>640</v>
      </c>
      <c r="H869" s="7" t="s">
        <v>141</v>
      </c>
      <c r="I869" s="23">
        <v>315</v>
      </c>
      <c r="J869" s="23">
        <v>-65</v>
      </c>
      <c r="K869" s="23">
        <f t="shared" si="309"/>
        <v>250</v>
      </c>
      <c r="M869" s="23"/>
      <c r="N869" s="23"/>
      <c r="O869" s="86">
        <f t="shared" si="310"/>
        <v>0</v>
      </c>
      <c r="Q869" s="273">
        <f t="shared" si="307"/>
        <v>315</v>
      </c>
      <c r="R869" s="86">
        <f t="shared" si="308"/>
        <v>-65</v>
      </c>
      <c r="S869" s="86">
        <f t="shared" si="308"/>
        <v>250</v>
      </c>
    </row>
    <row r="870" spans="2:19" x14ac:dyDescent="0.2">
      <c r="B870" s="83">
        <f t="shared" si="311"/>
        <v>274</v>
      </c>
      <c r="C870" s="7"/>
      <c r="D870" s="7"/>
      <c r="E870" s="7"/>
      <c r="F870" s="25" t="s">
        <v>118</v>
      </c>
      <c r="G870" s="7">
        <v>610</v>
      </c>
      <c r="H870" s="7" t="s">
        <v>143</v>
      </c>
      <c r="I870" s="23">
        <f>126145+11681</f>
        <v>137826</v>
      </c>
      <c r="J870" s="23">
        <v>6018</v>
      </c>
      <c r="K870" s="23">
        <f t="shared" si="309"/>
        <v>143844</v>
      </c>
      <c r="M870" s="23"/>
      <c r="N870" s="23"/>
      <c r="O870" s="86">
        <f t="shared" si="310"/>
        <v>0</v>
      </c>
      <c r="Q870" s="273">
        <f t="shared" si="307"/>
        <v>137826</v>
      </c>
      <c r="R870" s="86">
        <f t="shared" ref="R870:S885" si="317">J870+N870</f>
        <v>6018</v>
      </c>
      <c r="S870" s="86">
        <f t="shared" si="317"/>
        <v>143844</v>
      </c>
    </row>
    <row r="871" spans="2:19" x14ac:dyDescent="0.2">
      <c r="B871" s="83">
        <f t="shared" si="311"/>
        <v>275</v>
      </c>
      <c r="C871" s="7"/>
      <c r="D871" s="7"/>
      <c r="E871" s="7"/>
      <c r="F871" s="25" t="s">
        <v>118</v>
      </c>
      <c r="G871" s="7">
        <v>620</v>
      </c>
      <c r="H871" s="7" t="s">
        <v>136</v>
      </c>
      <c r="I871" s="23">
        <f>44200+4083</f>
        <v>48283</v>
      </c>
      <c r="J871" s="23">
        <v>2096</v>
      </c>
      <c r="K871" s="23">
        <f t="shared" si="309"/>
        <v>50379</v>
      </c>
      <c r="M871" s="23"/>
      <c r="N871" s="23"/>
      <c r="O871" s="86">
        <f t="shared" si="310"/>
        <v>0</v>
      </c>
      <c r="Q871" s="273">
        <f t="shared" si="307"/>
        <v>48283</v>
      </c>
      <c r="R871" s="86">
        <f t="shared" si="317"/>
        <v>2096</v>
      </c>
      <c r="S871" s="86">
        <f t="shared" si="317"/>
        <v>50379</v>
      </c>
    </row>
    <row r="872" spans="2:19" x14ac:dyDescent="0.2">
      <c r="B872" s="83">
        <f t="shared" si="311"/>
        <v>276</v>
      </c>
      <c r="C872" s="7"/>
      <c r="D872" s="7"/>
      <c r="E872" s="7"/>
      <c r="F872" s="25" t="s">
        <v>118</v>
      </c>
      <c r="G872" s="7">
        <v>630</v>
      </c>
      <c r="H872" s="7" t="s">
        <v>133</v>
      </c>
      <c r="I872" s="23">
        <f>SUM(I873:I878)</f>
        <v>88631</v>
      </c>
      <c r="J872" s="23">
        <f t="shared" ref="J872" si="318">SUM(J873:J878)</f>
        <v>-14679</v>
      </c>
      <c r="K872" s="23">
        <f t="shared" si="309"/>
        <v>73952</v>
      </c>
      <c r="M872" s="23"/>
      <c r="N872" s="23"/>
      <c r="O872" s="86">
        <f t="shared" si="310"/>
        <v>0</v>
      </c>
      <c r="Q872" s="273">
        <f t="shared" si="307"/>
        <v>88631</v>
      </c>
      <c r="R872" s="86">
        <f t="shared" si="317"/>
        <v>-14679</v>
      </c>
      <c r="S872" s="86">
        <f t="shared" si="317"/>
        <v>73952</v>
      </c>
    </row>
    <row r="873" spans="2:19" x14ac:dyDescent="0.2">
      <c r="B873" s="83">
        <f t="shared" si="311"/>
        <v>277</v>
      </c>
      <c r="C873" s="3"/>
      <c r="D873" s="3"/>
      <c r="E873" s="3"/>
      <c r="F873" s="26" t="s">
        <v>118</v>
      </c>
      <c r="G873" s="3">
        <v>631</v>
      </c>
      <c r="H873" s="3" t="s">
        <v>139</v>
      </c>
      <c r="I873" s="19">
        <v>305</v>
      </c>
      <c r="J873" s="19"/>
      <c r="K873" s="19">
        <f t="shared" si="309"/>
        <v>305</v>
      </c>
      <c r="M873" s="19"/>
      <c r="N873" s="19"/>
      <c r="O873" s="87">
        <f t="shared" si="310"/>
        <v>0</v>
      </c>
      <c r="Q873" s="274">
        <f t="shared" si="307"/>
        <v>305</v>
      </c>
      <c r="R873" s="87">
        <f t="shared" si="317"/>
        <v>0</v>
      </c>
      <c r="S873" s="87">
        <f t="shared" si="317"/>
        <v>305</v>
      </c>
    </row>
    <row r="874" spans="2:19" x14ac:dyDescent="0.2">
      <c r="B874" s="83">
        <f t="shared" si="311"/>
        <v>278</v>
      </c>
      <c r="C874" s="3"/>
      <c r="D874" s="3"/>
      <c r="E874" s="3"/>
      <c r="F874" s="26" t="s">
        <v>118</v>
      </c>
      <c r="G874" s="3">
        <v>632</v>
      </c>
      <c r="H874" s="3" t="s">
        <v>146</v>
      </c>
      <c r="I874" s="19">
        <v>57880</v>
      </c>
      <c r="J874" s="19">
        <v>-15000</v>
      </c>
      <c r="K874" s="19">
        <f t="shared" si="309"/>
        <v>42880</v>
      </c>
      <c r="M874" s="19"/>
      <c r="N874" s="19"/>
      <c r="O874" s="87">
        <f t="shared" si="310"/>
        <v>0</v>
      </c>
      <c r="Q874" s="274">
        <f t="shared" si="307"/>
        <v>57880</v>
      </c>
      <c r="R874" s="87">
        <f t="shared" si="317"/>
        <v>-15000</v>
      </c>
      <c r="S874" s="87">
        <f t="shared" si="317"/>
        <v>42880</v>
      </c>
    </row>
    <row r="875" spans="2:19" x14ac:dyDescent="0.2">
      <c r="B875" s="83">
        <f t="shared" si="311"/>
        <v>279</v>
      </c>
      <c r="C875" s="3"/>
      <c r="D875" s="3"/>
      <c r="E875" s="3"/>
      <c r="F875" s="26" t="s">
        <v>118</v>
      </c>
      <c r="G875" s="3">
        <v>633</v>
      </c>
      <c r="H875" s="3" t="s">
        <v>137</v>
      </c>
      <c r="I875" s="19">
        <v>14036</v>
      </c>
      <c r="J875" s="19">
        <v>321</v>
      </c>
      <c r="K875" s="19">
        <f t="shared" si="309"/>
        <v>14357</v>
      </c>
      <c r="M875" s="19"/>
      <c r="N875" s="19"/>
      <c r="O875" s="87">
        <f t="shared" si="310"/>
        <v>0</v>
      </c>
      <c r="Q875" s="274">
        <f t="shared" si="307"/>
        <v>14036</v>
      </c>
      <c r="R875" s="87">
        <f t="shared" si="317"/>
        <v>321</v>
      </c>
      <c r="S875" s="87">
        <f t="shared" si="317"/>
        <v>14357</v>
      </c>
    </row>
    <row r="876" spans="2:19" x14ac:dyDescent="0.2">
      <c r="B876" s="83">
        <f t="shared" si="311"/>
        <v>280</v>
      </c>
      <c r="C876" s="3"/>
      <c r="D876" s="3"/>
      <c r="E876" s="3"/>
      <c r="F876" s="26" t="s">
        <v>118</v>
      </c>
      <c r="G876" s="3">
        <v>634</v>
      </c>
      <c r="H876" s="3" t="s">
        <v>144</v>
      </c>
      <c r="I876" s="19">
        <v>800</v>
      </c>
      <c r="J876" s="19"/>
      <c r="K876" s="19">
        <f t="shared" si="309"/>
        <v>800</v>
      </c>
      <c r="M876" s="19"/>
      <c r="N876" s="19"/>
      <c r="O876" s="87">
        <f t="shared" si="310"/>
        <v>0</v>
      </c>
      <c r="Q876" s="274">
        <f t="shared" si="307"/>
        <v>800</v>
      </c>
      <c r="R876" s="87">
        <f t="shared" si="317"/>
        <v>0</v>
      </c>
      <c r="S876" s="87">
        <f t="shared" si="317"/>
        <v>800</v>
      </c>
    </row>
    <row r="877" spans="2:19" x14ac:dyDescent="0.2">
      <c r="B877" s="83">
        <f t="shared" si="311"/>
        <v>281</v>
      </c>
      <c r="C877" s="3"/>
      <c r="D877" s="3"/>
      <c r="E877" s="3"/>
      <c r="F877" s="26" t="s">
        <v>118</v>
      </c>
      <c r="G877" s="3">
        <v>635</v>
      </c>
      <c r="H877" s="3" t="s">
        <v>145</v>
      </c>
      <c r="I877" s="19">
        <v>3780</v>
      </c>
      <c r="J877" s="19"/>
      <c r="K877" s="19">
        <f t="shared" si="309"/>
        <v>3780</v>
      </c>
      <c r="M877" s="19"/>
      <c r="N877" s="19"/>
      <c r="O877" s="87">
        <f t="shared" si="310"/>
        <v>0</v>
      </c>
      <c r="Q877" s="274">
        <f t="shared" si="307"/>
        <v>3780</v>
      </c>
      <c r="R877" s="87">
        <f t="shared" si="317"/>
        <v>0</v>
      </c>
      <c r="S877" s="87">
        <f t="shared" si="317"/>
        <v>3780</v>
      </c>
    </row>
    <row r="878" spans="2:19" x14ac:dyDescent="0.2">
      <c r="B878" s="83">
        <f t="shared" si="311"/>
        <v>282</v>
      </c>
      <c r="C878" s="3"/>
      <c r="D878" s="3"/>
      <c r="E878" s="3"/>
      <c r="F878" s="26" t="s">
        <v>118</v>
      </c>
      <c r="G878" s="3">
        <v>637</v>
      </c>
      <c r="H878" s="3" t="s">
        <v>134</v>
      </c>
      <c r="I878" s="19">
        <v>11830</v>
      </c>
      <c r="J878" s="19"/>
      <c r="K878" s="19">
        <f t="shared" si="309"/>
        <v>11830</v>
      </c>
      <c r="M878" s="19"/>
      <c r="N878" s="19"/>
      <c r="O878" s="87">
        <f t="shared" si="310"/>
        <v>0</v>
      </c>
      <c r="Q878" s="274">
        <f t="shared" si="307"/>
        <v>11830</v>
      </c>
      <c r="R878" s="87">
        <f t="shared" si="317"/>
        <v>0</v>
      </c>
      <c r="S878" s="87">
        <f t="shared" si="317"/>
        <v>11830</v>
      </c>
    </row>
    <row r="879" spans="2:19" x14ac:dyDescent="0.2">
      <c r="B879" s="83">
        <f t="shared" si="311"/>
        <v>283</v>
      </c>
      <c r="C879" s="7"/>
      <c r="D879" s="7"/>
      <c r="E879" s="7"/>
      <c r="F879" s="25" t="s">
        <v>118</v>
      </c>
      <c r="G879" s="7">
        <v>640</v>
      </c>
      <c r="H879" s="7" t="s">
        <v>141</v>
      </c>
      <c r="I879" s="23">
        <v>315</v>
      </c>
      <c r="J879" s="23">
        <v>-65</v>
      </c>
      <c r="K879" s="23">
        <f t="shared" si="309"/>
        <v>250</v>
      </c>
      <c r="M879" s="23"/>
      <c r="N879" s="23"/>
      <c r="O879" s="86">
        <f t="shared" si="310"/>
        <v>0</v>
      </c>
      <c r="Q879" s="273">
        <f t="shared" si="307"/>
        <v>315</v>
      </c>
      <c r="R879" s="86">
        <f t="shared" si="317"/>
        <v>-65</v>
      </c>
      <c r="S879" s="86">
        <f t="shared" si="317"/>
        <v>250</v>
      </c>
    </row>
    <row r="880" spans="2:19" x14ac:dyDescent="0.2">
      <c r="B880" s="83">
        <f t="shared" si="311"/>
        <v>284</v>
      </c>
      <c r="C880" s="7"/>
      <c r="D880" s="7"/>
      <c r="E880" s="7"/>
      <c r="F880" s="25" t="s">
        <v>118</v>
      </c>
      <c r="G880" s="7">
        <v>710</v>
      </c>
      <c r="H880" s="7" t="s">
        <v>188</v>
      </c>
      <c r="I880" s="23"/>
      <c r="J880" s="23"/>
      <c r="K880" s="23">
        <f t="shared" si="309"/>
        <v>0</v>
      </c>
      <c r="M880" s="23">
        <f>M881</f>
        <v>51950</v>
      </c>
      <c r="N880" s="23">
        <f t="shared" ref="N880" si="319">N881</f>
        <v>0</v>
      </c>
      <c r="O880" s="86">
        <f t="shared" si="310"/>
        <v>51950</v>
      </c>
      <c r="Q880" s="273">
        <f t="shared" si="307"/>
        <v>51950</v>
      </c>
      <c r="R880" s="86">
        <f t="shared" si="317"/>
        <v>0</v>
      </c>
      <c r="S880" s="86">
        <f t="shared" si="317"/>
        <v>51950</v>
      </c>
    </row>
    <row r="881" spans="2:19" x14ac:dyDescent="0.2">
      <c r="B881" s="83">
        <f t="shared" si="311"/>
        <v>285</v>
      </c>
      <c r="C881" s="3"/>
      <c r="D881" s="3"/>
      <c r="E881" s="3"/>
      <c r="F881" s="26" t="s">
        <v>118</v>
      </c>
      <c r="G881" s="3">
        <v>717</v>
      </c>
      <c r="H881" s="3" t="s">
        <v>198</v>
      </c>
      <c r="I881" s="19"/>
      <c r="J881" s="19"/>
      <c r="K881" s="19">
        <f t="shared" si="309"/>
        <v>0</v>
      </c>
      <c r="M881" s="19">
        <f>SUM(M882:M882)</f>
        <v>51950</v>
      </c>
      <c r="N881" s="19">
        <f t="shared" ref="N881" si="320">SUM(N882:N882)</f>
        <v>0</v>
      </c>
      <c r="O881" s="87">
        <f t="shared" si="310"/>
        <v>51950</v>
      </c>
      <c r="Q881" s="274">
        <f t="shared" si="307"/>
        <v>51950</v>
      </c>
      <c r="R881" s="87">
        <f t="shared" si="317"/>
        <v>0</v>
      </c>
      <c r="S881" s="87">
        <f t="shared" si="317"/>
        <v>51950</v>
      </c>
    </row>
    <row r="882" spans="2:19" x14ac:dyDescent="0.2">
      <c r="B882" s="83">
        <f t="shared" si="311"/>
        <v>286</v>
      </c>
      <c r="C882" s="4"/>
      <c r="D882" s="4"/>
      <c r="E882" s="4"/>
      <c r="F882" s="27"/>
      <c r="G882" s="4"/>
      <c r="H882" s="4" t="s">
        <v>339</v>
      </c>
      <c r="I882" s="21"/>
      <c r="J882" s="21"/>
      <c r="K882" s="21">
        <f t="shared" si="309"/>
        <v>0</v>
      </c>
      <c r="M882" s="40">
        <f>60000-7000-1050</f>
        <v>51950</v>
      </c>
      <c r="N882" s="40"/>
      <c r="O882" s="312">
        <f t="shared" si="310"/>
        <v>51950</v>
      </c>
      <c r="Q882" s="275">
        <f t="shared" si="307"/>
        <v>51950</v>
      </c>
      <c r="R882" s="88">
        <f t="shared" si="317"/>
        <v>0</v>
      </c>
      <c r="S882" s="88">
        <f t="shared" si="317"/>
        <v>51950</v>
      </c>
    </row>
    <row r="883" spans="2:19" ht="15" x14ac:dyDescent="0.25">
      <c r="B883" s="83">
        <f t="shared" si="311"/>
        <v>287</v>
      </c>
      <c r="C883" s="10"/>
      <c r="D883" s="10"/>
      <c r="E883" s="10">
        <v>11</v>
      </c>
      <c r="F883" s="28"/>
      <c r="G883" s="10"/>
      <c r="H883" s="10" t="s">
        <v>11</v>
      </c>
      <c r="I883" s="38">
        <f>I884+I885+I886+I892+I893+I894+I895+I901</f>
        <v>1338728</v>
      </c>
      <c r="J883" s="38">
        <f t="shared" ref="J883" si="321">J884+J885+J886+J892+J893+J894+J895+J901</f>
        <v>-8079</v>
      </c>
      <c r="K883" s="38">
        <f t="shared" si="309"/>
        <v>1330649</v>
      </c>
      <c r="M883" s="38">
        <v>0</v>
      </c>
      <c r="N883" s="38">
        <v>0</v>
      </c>
      <c r="O883" s="94">
        <f t="shared" si="310"/>
        <v>0</v>
      </c>
      <c r="Q883" s="315">
        <f t="shared" si="307"/>
        <v>1338728</v>
      </c>
      <c r="R883" s="94">
        <f t="shared" si="317"/>
        <v>-8079</v>
      </c>
      <c r="S883" s="94">
        <f t="shared" si="317"/>
        <v>1330649</v>
      </c>
    </row>
    <row r="884" spans="2:19" x14ac:dyDescent="0.2">
      <c r="B884" s="83">
        <f t="shared" si="311"/>
        <v>288</v>
      </c>
      <c r="C884" s="7"/>
      <c r="D884" s="7"/>
      <c r="E884" s="7"/>
      <c r="F884" s="25" t="s">
        <v>131</v>
      </c>
      <c r="G884" s="7">
        <v>610</v>
      </c>
      <c r="H884" s="7" t="s">
        <v>143</v>
      </c>
      <c r="I884" s="23">
        <f>275039+21295</f>
        <v>296334</v>
      </c>
      <c r="J884" s="23">
        <v>-5012</v>
      </c>
      <c r="K884" s="23">
        <f t="shared" si="309"/>
        <v>291322</v>
      </c>
      <c r="M884" s="23"/>
      <c r="N884" s="23"/>
      <c r="O884" s="86">
        <f t="shared" si="310"/>
        <v>0</v>
      </c>
      <c r="Q884" s="273">
        <f t="shared" si="307"/>
        <v>296334</v>
      </c>
      <c r="R884" s="86">
        <f t="shared" si="317"/>
        <v>-5012</v>
      </c>
      <c r="S884" s="86">
        <f t="shared" si="317"/>
        <v>291322</v>
      </c>
    </row>
    <row r="885" spans="2:19" x14ac:dyDescent="0.2">
      <c r="B885" s="83">
        <f t="shared" si="311"/>
        <v>289</v>
      </c>
      <c r="C885" s="7"/>
      <c r="D885" s="7"/>
      <c r="E885" s="7"/>
      <c r="F885" s="25" t="s">
        <v>131</v>
      </c>
      <c r="G885" s="7">
        <v>620</v>
      </c>
      <c r="H885" s="7" t="s">
        <v>136</v>
      </c>
      <c r="I885" s="23">
        <f>96254+8081</f>
        <v>104335</v>
      </c>
      <c r="J885" s="23">
        <v>-1755</v>
      </c>
      <c r="K885" s="23">
        <f t="shared" si="309"/>
        <v>102580</v>
      </c>
      <c r="M885" s="23"/>
      <c r="N885" s="23"/>
      <c r="O885" s="86">
        <f t="shared" si="310"/>
        <v>0</v>
      </c>
      <c r="Q885" s="273">
        <f t="shared" si="307"/>
        <v>104335</v>
      </c>
      <c r="R885" s="86">
        <f t="shared" si="317"/>
        <v>-1755</v>
      </c>
      <c r="S885" s="86">
        <f t="shared" si="317"/>
        <v>102580</v>
      </c>
    </row>
    <row r="886" spans="2:19" x14ac:dyDescent="0.2">
      <c r="B886" s="83">
        <f t="shared" si="311"/>
        <v>290</v>
      </c>
      <c r="C886" s="7"/>
      <c r="D886" s="7"/>
      <c r="E886" s="7"/>
      <c r="F886" s="25" t="s">
        <v>131</v>
      </c>
      <c r="G886" s="7">
        <v>630</v>
      </c>
      <c r="H886" s="7" t="s">
        <v>133</v>
      </c>
      <c r="I886" s="23">
        <f>SUM(I887:I891)</f>
        <v>67602</v>
      </c>
      <c r="J886" s="23">
        <f t="shared" ref="J886" si="322">SUM(J887:J891)</f>
        <v>-1312</v>
      </c>
      <c r="K886" s="23">
        <f t="shared" si="309"/>
        <v>66290</v>
      </c>
      <c r="M886" s="23"/>
      <c r="N886" s="23"/>
      <c r="O886" s="86">
        <f t="shared" si="310"/>
        <v>0</v>
      </c>
      <c r="Q886" s="273">
        <f t="shared" si="307"/>
        <v>67602</v>
      </c>
      <c r="R886" s="86">
        <f t="shared" ref="R886:S901" si="323">J886+N886</f>
        <v>-1312</v>
      </c>
      <c r="S886" s="86">
        <f t="shared" si="323"/>
        <v>66290</v>
      </c>
    </row>
    <row r="887" spans="2:19" x14ac:dyDescent="0.2">
      <c r="B887" s="83">
        <f t="shared" si="311"/>
        <v>291</v>
      </c>
      <c r="C887" s="3"/>
      <c r="D887" s="3"/>
      <c r="E887" s="3"/>
      <c r="F887" s="26" t="s">
        <v>131</v>
      </c>
      <c r="G887" s="3">
        <v>631</v>
      </c>
      <c r="H887" s="3" t="s">
        <v>139</v>
      </c>
      <c r="I887" s="19">
        <v>17</v>
      </c>
      <c r="J887" s="19"/>
      <c r="K887" s="19">
        <f t="shared" si="309"/>
        <v>17</v>
      </c>
      <c r="M887" s="19"/>
      <c r="N887" s="19"/>
      <c r="O887" s="87">
        <f t="shared" si="310"/>
        <v>0</v>
      </c>
      <c r="Q887" s="274">
        <f t="shared" si="307"/>
        <v>17</v>
      </c>
      <c r="R887" s="87">
        <f t="shared" si="323"/>
        <v>0</v>
      </c>
      <c r="S887" s="87">
        <f t="shared" si="323"/>
        <v>17</v>
      </c>
    </row>
    <row r="888" spans="2:19" x14ac:dyDescent="0.2">
      <c r="B888" s="83">
        <f t="shared" si="311"/>
        <v>292</v>
      </c>
      <c r="C888" s="3"/>
      <c r="D888" s="3"/>
      <c r="E888" s="3"/>
      <c r="F888" s="26" t="s">
        <v>131</v>
      </c>
      <c r="G888" s="3">
        <v>632</v>
      </c>
      <c r="H888" s="3" t="s">
        <v>146</v>
      </c>
      <c r="I888" s="19">
        <v>12010</v>
      </c>
      <c r="J888" s="19">
        <v>-1312</v>
      </c>
      <c r="K888" s="19">
        <f t="shared" si="309"/>
        <v>10698</v>
      </c>
      <c r="M888" s="19"/>
      <c r="N888" s="19"/>
      <c r="O888" s="87">
        <f t="shared" si="310"/>
        <v>0</v>
      </c>
      <c r="Q888" s="274">
        <f t="shared" si="307"/>
        <v>12010</v>
      </c>
      <c r="R888" s="87">
        <f t="shared" si="323"/>
        <v>-1312</v>
      </c>
      <c r="S888" s="87">
        <f t="shared" si="323"/>
        <v>10698</v>
      </c>
    </row>
    <row r="889" spans="2:19" x14ac:dyDescent="0.2">
      <c r="B889" s="83">
        <f t="shared" si="311"/>
        <v>293</v>
      </c>
      <c r="C889" s="3"/>
      <c r="D889" s="3"/>
      <c r="E889" s="3"/>
      <c r="F889" s="26" t="s">
        <v>131</v>
      </c>
      <c r="G889" s="3">
        <v>633</v>
      </c>
      <c r="H889" s="3" t="s">
        <v>137</v>
      </c>
      <c r="I889" s="19">
        <v>18466</v>
      </c>
      <c r="J889" s="19"/>
      <c r="K889" s="19">
        <f t="shared" si="309"/>
        <v>18466</v>
      </c>
      <c r="M889" s="19"/>
      <c r="N889" s="19"/>
      <c r="O889" s="87">
        <f t="shared" si="310"/>
        <v>0</v>
      </c>
      <c r="Q889" s="274">
        <f t="shared" si="307"/>
        <v>18466</v>
      </c>
      <c r="R889" s="87">
        <f t="shared" si="323"/>
        <v>0</v>
      </c>
      <c r="S889" s="87">
        <f t="shared" si="323"/>
        <v>18466</v>
      </c>
    </row>
    <row r="890" spans="2:19" x14ac:dyDescent="0.2">
      <c r="B890" s="83">
        <f t="shared" si="311"/>
        <v>294</v>
      </c>
      <c r="C890" s="3"/>
      <c r="D890" s="3"/>
      <c r="E890" s="3"/>
      <c r="F890" s="26" t="s">
        <v>131</v>
      </c>
      <c r="G890" s="3">
        <v>635</v>
      </c>
      <c r="H890" s="3" t="s">
        <v>145</v>
      </c>
      <c r="I890" s="19">
        <v>13354</v>
      </c>
      <c r="J890" s="19"/>
      <c r="K890" s="19">
        <f t="shared" si="309"/>
        <v>13354</v>
      </c>
      <c r="M890" s="19"/>
      <c r="N890" s="19"/>
      <c r="O890" s="87">
        <f t="shared" si="310"/>
        <v>0</v>
      </c>
      <c r="Q890" s="274">
        <f t="shared" si="307"/>
        <v>13354</v>
      </c>
      <c r="R890" s="87">
        <f t="shared" si="323"/>
        <v>0</v>
      </c>
      <c r="S890" s="87">
        <f t="shared" si="323"/>
        <v>13354</v>
      </c>
    </row>
    <row r="891" spans="2:19" x14ac:dyDescent="0.2">
      <c r="B891" s="83">
        <f t="shared" si="311"/>
        <v>295</v>
      </c>
      <c r="C891" s="3"/>
      <c r="D891" s="3"/>
      <c r="E891" s="3"/>
      <c r="F891" s="26" t="s">
        <v>131</v>
      </c>
      <c r="G891" s="3">
        <v>637</v>
      </c>
      <c r="H891" s="3" t="s">
        <v>134</v>
      </c>
      <c r="I891" s="19">
        <v>23755</v>
      </c>
      <c r="J891" s="19"/>
      <c r="K891" s="19">
        <f t="shared" si="309"/>
        <v>23755</v>
      </c>
      <c r="M891" s="19"/>
      <c r="N891" s="19"/>
      <c r="O891" s="87">
        <f t="shared" si="310"/>
        <v>0</v>
      </c>
      <c r="Q891" s="274">
        <f t="shared" si="307"/>
        <v>23755</v>
      </c>
      <c r="R891" s="87">
        <f t="shared" si="323"/>
        <v>0</v>
      </c>
      <c r="S891" s="87">
        <f t="shared" si="323"/>
        <v>23755</v>
      </c>
    </row>
    <row r="892" spans="2:19" x14ac:dyDescent="0.2">
      <c r="B892" s="83">
        <f t="shared" si="311"/>
        <v>296</v>
      </c>
      <c r="C892" s="7"/>
      <c r="D892" s="7"/>
      <c r="E892" s="7"/>
      <c r="F892" s="25" t="s">
        <v>131</v>
      </c>
      <c r="G892" s="7">
        <v>640</v>
      </c>
      <c r="H892" s="7" t="s">
        <v>141</v>
      </c>
      <c r="I892" s="23">
        <v>1470</v>
      </c>
      <c r="J892" s="23"/>
      <c r="K892" s="23">
        <f t="shared" si="309"/>
        <v>1470</v>
      </c>
      <c r="M892" s="23"/>
      <c r="N892" s="23"/>
      <c r="O892" s="86">
        <f t="shared" si="310"/>
        <v>0</v>
      </c>
      <c r="Q892" s="273">
        <f t="shared" si="307"/>
        <v>1470</v>
      </c>
      <c r="R892" s="86">
        <f t="shared" si="323"/>
        <v>0</v>
      </c>
      <c r="S892" s="86">
        <f t="shared" si="323"/>
        <v>1470</v>
      </c>
    </row>
    <row r="893" spans="2:19" x14ac:dyDescent="0.2">
      <c r="B893" s="83">
        <f t="shared" si="311"/>
        <v>297</v>
      </c>
      <c r="C893" s="7"/>
      <c r="D893" s="7"/>
      <c r="E893" s="7"/>
      <c r="F893" s="25" t="s">
        <v>118</v>
      </c>
      <c r="G893" s="7">
        <v>610</v>
      </c>
      <c r="H893" s="7" t="s">
        <v>143</v>
      </c>
      <c r="I893" s="23">
        <f>482327+21295</f>
        <v>503622</v>
      </c>
      <c r="J893" s="23"/>
      <c r="K893" s="23">
        <f t="shared" si="309"/>
        <v>503622</v>
      </c>
      <c r="M893" s="23"/>
      <c r="N893" s="23"/>
      <c r="O893" s="86">
        <f t="shared" si="310"/>
        <v>0</v>
      </c>
      <c r="Q893" s="273">
        <f t="shared" si="307"/>
        <v>503622</v>
      </c>
      <c r="R893" s="86">
        <f t="shared" si="323"/>
        <v>0</v>
      </c>
      <c r="S893" s="86">
        <f t="shared" si="323"/>
        <v>503622</v>
      </c>
    </row>
    <row r="894" spans="2:19" x14ac:dyDescent="0.2">
      <c r="B894" s="83">
        <f t="shared" si="311"/>
        <v>298</v>
      </c>
      <c r="C894" s="7"/>
      <c r="D894" s="7"/>
      <c r="E894" s="7"/>
      <c r="F894" s="25" t="s">
        <v>118</v>
      </c>
      <c r="G894" s="7">
        <v>620</v>
      </c>
      <c r="H894" s="7" t="s">
        <v>136</v>
      </c>
      <c r="I894" s="23">
        <f>168790+8082</f>
        <v>176872</v>
      </c>
      <c r="J894" s="23"/>
      <c r="K894" s="23">
        <f t="shared" si="309"/>
        <v>176872</v>
      </c>
      <c r="M894" s="23"/>
      <c r="N894" s="23"/>
      <c r="O894" s="86">
        <f t="shared" si="310"/>
        <v>0</v>
      </c>
      <c r="Q894" s="273">
        <f t="shared" si="307"/>
        <v>176872</v>
      </c>
      <c r="R894" s="86">
        <f t="shared" si="323"/>
        <v>0</v>
      </c>
      <c r="S894" s="86">
        <f t="shared" si="323"/>
        <v>176872</v>
      </c>
    </row>
    <row r="895" spans="2:19" x14ac:dyDescent="0.2">
      <c r="B895" s="83">
        <f t="shared" si="311"/>
        <v>299</v>
      </c>
      <c r="C895" s="7"/>
      <c r="D895" s="7"/>
      <c r="E895" s="7"/>
      <c r="F895" s="25" t="s">
        <v>118</v>
      </c>
      <c r="G895" s="7">
        <v>630</v>
      </c>
      <c r="H895" s="7" t="s">
        <v>133</v>
      </c>
      <c r="I895" s="23">
        <f>SUM(I896:I900)</f>
        <v>184628</v>
      </c>
      <c r="J895" s="23">
        <f t="shared" ref="J895" si="324">SUM(J896:J900)</f>
        <v>0</v>
      </c>
      <c r="K895" s="23">
        <f t="shared" si="309"/>
        <v>184628</v>
      </c>
      <c r="M895" s="23"/>
      <c r="N895" s="23"/>
      <c r="O895" s="86">
        <f t="shared" si="310"/>
        <v>0</v>
      </c>
      <c r="Q895" s="273">
        <f t="shared" si="307"/>
        <v>184628</v>
      </c>
      <c r="R895" s="86">
        <f t="shared" si="323"/>
        <v>0</v>
      </c>
      <c r="S895" s="86">
        <f t="shared" si="323"/>
        <v>184628</v>
      </c>
    </row>
    <row r="896" spans="2:19" x14ac:dyDescent="0.2">
      <c r="B896" s="83">
        <f t="shared" si="311"/>
        <v>300</v>
      </c>
      <c r="C896" s="3"/>
      <c r="D896" s="3"/>
      <c r="E896" s="3"/>
      <c r="F896" s="26" t="s">
        <v>118</v>
      </c>
      <c r="G896" s="3">
        <v>631</v>
      </c>
      <c r="H896" s="3" t="s">
        <v>139</v>
      </c>
      <c r="I896" s="19">
        <v>25</v>
      </c>
      <c r="J896" s="19"/>
      <c r="K896" s="19">
        <f t="shared" si="309"/>
        <v>25</v>
      </c>
      <c r="M896" s="19"/>
      <c r="N896" s="19"/>
      <c r="O896" s="87">
        <f t="shared" si="310"/>
        <v>0</v>
      </c>
      <c r="Q896" s="274">
        <f t="shared" si="307"/>
        <v>25</v>
      </c>
      <c r="R896" s="87">
        <f t="shared" si="323"/>
        <v>0</v>
      </c>
      <c r="S896" s="87">
        <f t="shared" si="323"/>
        <v>25</v>
      </c>
    </row>
    <row r="897" spans="2:19" x14ac:dyDescent="0.2">
      <c r="B897" s="83">
        <f t="shared" si="311"/>
        <v>301</v>
      </c>
      <c r="C897" s="3"/>
      <c r="D897" s="3"/>
      <c r="E897" s="3"/>
      <c r="F897" s="26" t="s">
        <v>118</v>
      </c>
      <c r="G897" s="3">
        <v>632</v>
      </c>
      <c r="H897" s="3" t="s">
        <v>146</v>
      </c>
      <c r="I897" s="19">
        <v>65483</v>
      </c>
      <c r="J897" s="19"/>
      <c r="K897" s="19">
        <f t="shared" si="309"/>
        <v>65483</v>
      </c>
      <c r="M897" s="19"/>
      <c r="N897" s="19"/>
      <c r="O897" s="87">
        <f t="shared" si="310"/>
        <v>0</v>
      </c>
      <c r="Q897" s="274">
        <f t="shared" si="307"/>
        <v>65483</v>
      </c>
      <c r="R897" s="87">
        <f t="shared" si="323"/>
        <v>0</v>
      </c>
      <c r="S897" s="87">
        <f t="shared" si="323"/>
        <v>65483</v>
      </c>
    </row>
    <row r="898" spans="2:19" x14ac:dyDescent="0.2">
      <c r="B898" s="83">
        <f t="shared" si="311"/>
        <v>302</v>
      </c>
      <c r="C898" s="3"/>
      <c r="D898" s="3"/>
      <c r="E898" s="3"/>
      <c r="F898" s="26" t="s">
        <v>118</v>
      </c>
      <c r="G898" s="3">
        <v>633</v>
      </c>
      <c r="H898" s="3" t="s">
        <v>137</v>
      </c>
      <c r="I898" s="19">
        <v>40723</v>
      </c>
      <c r="J898" s="19"/>
      <c r="K898" s="19">
        <f t="shared" si="309"/>
        <v>40723</v>
      </c>
      <c r="M898" s="19"/>
      <c r="N898" s="19"/>
      <c r="O898" s="87">
        <f t="shared" si="310"/>
        <v>0</v>
      </c>
      <c r="Q898" s="274">
        <f t="shared" si="307"/>
        <v>40723</v>
      </c>
      <c r="R898" s="87">
        <f t="shared" si="323"/>
        <v>0</v>
      </c>
      <c r="S898" s="87">
        <f t="shared" si="323"/>
        <v>40723</v>
      </c>
    </row>
    <row r="899" spans="2:19" x14ac:dyDescent="0.2">
      <c r="B899" s="83">
        <f t="shared" si="311"/>
        <v>303</v>
      </c>
      <c r="C899" s="3"/>
      <c r="D899" s="3"/>
      <c r="E899" s="3"/>
      <c r="F899" s="26" t="s">
        <v>118</v>
      </c>
      <c r="G899" s="3">
        <v>635</v>
      </c>
      <c r="H899" s="3" t="s">
        <v>145</v>
      </c>
      <c r="I899" s="19">
        <v>28445</v>
      </c>
      <c r="J899" s="19"/>
      <c r="K899" s="19">
        <f t="shared" si="309"/>
        <v>28445</v>
      </c>
      <c r="M899" s="19"/>
      <c r="N899" s="19"/>
      <c r="O899" s="87">
        <f t="shared" si="310"/>
        <v>0</v>
      </c>
      <c r="Q899" s="274">
        <f t="shared" si="307"/>
        <v>28445</v>
      </c>
      <c r="R899" s="87">
        <f t="shared" si="323"/>
        <v>0</v>
      </c>
      <c r="S899" s="87">
        <f t="shared" si="323"/>
        <v>28445</v>
      </c>
    </row>
    <row r="900" spans="2:19" x14ac:dyDescent="0.2">
      <c r="B900" s="83">
        <f t="shared" si="311"/>
        <v>304</v>
      </c>
      <c r="C900" s="3"/>
      <c r="D900" s="3"/>
      <c r="E900" s="3"/>
      <c r="F900" s="26" t="s">
        <v>118</v>
      </c>
      <c r="G900" s="3">
        <v>637</v>
      </c>
      <c r="H900" s="3" t="s">
        <v>134</v>
      </c>
      <c r="I900" s="19">
        <v>49952</v>
      </c>
      <c r="J900" s="19"/>
      <c r="K900" s="19">
        <f t="shared" si="309"/>
        <v>49952</v>
      </c>
      <c r="M900" s="19"/>
      <c r="N900" s="19"/>
      <c r="O900" s="87">
        <f t="shared" si="310"/>
        <v>0</v>
      </c>
      <c r="Q900" s="274">
        <f t="shared" si="307"/>
        <v>49952</v>
      </c>
      <c r="R900" s="87">
        <f t="shared" si="323"/>
        <v>0</v>
      </c>
      <c r="S900" s="87">
        <f t="shared" si="323"/>
        <v>49952</v>
      </c>
    </row>
    <row r="901" spans="2:19" x14ac:dyDescent="0.2">
      <c r="B901" s="83">
        <f t="shared" si="311"/>
        <v>305</v>
      </c>
      <c r="C901" s="7"/>
      <c r="D901" s="7"/>
      <c r="E901" s="7"/>
      <c r="F901" s="25" t="s">
        <v>118</v>
      </c>
      <c r="G901" s="7">
        <v>640</v>
      </c>
      <c r="H901" s="7" t="s">
        <v>141</v>
      </c>
      <c r="I901" s="23">
        <v>3865</v>
      </c>
      <c r="J901" s="23"/>
      <c r="K901" s="23">
        <f t="shared" si="309"/>
        <v>3865</v>
      </c>
      <c r="M901" s="23"/>
      <c r="N901" s="23"/>
      <c r="O901" s="86">
        <f t="shared" si="310"/>
        <v>0</v>
      </c>
      <c r="Q901" s="273">
        <f t="shared" si="307"/>
        <v>3865</v>
      </c>
      <c r="R901" s="86">
        <f t="shared" si="323"/>
        <v>0</v>
      </c>
      <c r="S901" s="86">
        <f t="shared" si="323"/>
        <v>3865</v>
      </c>
    </row>
    <row r="902" spans="2:19" ht="15" x14ac:dyDescent="0.25">
      <c r="B902" s="83">
        <f t="shared" si="311"/>
        <v>306</v>
      </c>
      <c r="C902" s="10"/>
      <c r="D902" s="10"/>
      <c r="E902" s="10">
        <v>12</v>
      </c>
      <c r="F902" s="28"/>
      <c r="G902" s="10"/>
      <c r="H902" s="10" t="s">
        <v>9</v>
      </c>
      <c r="I902" s="38">
        <f>I903+I904+I905+I912+I913+I914+I915+I922</f>
        <v>1306480</v>
      </c>
      <c r="J902" s="38">
        <f t="shared" ref="J902" si="325">J903+J904+J905+J912+J913+J914+J915+J922</f>
        <v>-29079</v>
      </c>
      <c r="K902" s="38">
        <f t="shared" si="309"/>
        <v>1277401</v>
      </c>
      <c r="M902" s="38">
        <v>0</v>
      </c>
      <c r="N902" s="38">
        <v>0</v>
      </c>
      <c r="O902" s="94">
        <f t="shared" si="310"/>
        <v>0</v>
      </c>
      <c r="Q902" s="315">
        <f t="shared" si="307"/>
        <v>1306480</v>
      </c>
      <c r="R902" s="94">
        <f t="shared" ref="R902:S917" si="326">J902+N902</f>
        <v>-29079</v>
      </c>
      <c r="S902" s="94">
        <f t="shared" si="326"/>
        <v>1277401</v>
      </c>
    </row>
    <row r="903" spans="2:19" x14ac:dyDescent="0.2">
      <c r="B903" s="83">
        <f t="shared" si="311"/>
        <v>307</v>
      </c>
      <c r="C903" s="7"/>
      <c r="D903" s="7"/>
      <c r="E903" s="7"/>
      <c r="F903" s="25" t="s">
        <v>131</v>
      </c>
      <c r="G903" s="7">
        <v>610</v>
      </c>
      <c r="H903" s="7" t="s">
        <v>143</v>
      </c>
      <c r="I903" s="23">
        <f>362610+14850</f>
        <v>377460</v>
      </c>
      <c r="J903" s="23">
        <v>-27320</v>
      </c>
      <c r="K903" s="23">
        <f t="shared" si="309"/>
        <v>350140</v>
      </c>
      <c r="M903" s="23"/>
      <c r="N903" s="23"/>
      <c r="O903" s="86">
        <f t="shared" si="310"/>
        <v>0</v>
      </c>
      <c r="Q903" s="273">
        <f t="shared" si="307"/>
        <v>377460</v>
      </c>
      <c r="R903" s="86">
        <f t="shared" si="326"/>
        <v>-27320</v>
      </c>
      <c r="S903" s="86">
        <f t="shared" si="326"/>
        <v>350140</v>
      </c>
    </row>
    <row r="904" spans="2:19" x14ac:dyDescent="0.2">
      <c r="B904" s="83">
        <f t="shared" si="311"/>
        <v>308</v>
      </c>
      <c r="C904" s="7"/>
      <c r="D904" s="7"/>
      <c r="E904" s="7"/>
      <c r="F904" s="25" t="s">
        <v>131</v>
      </c>
      <c r="G904" s="7">
        <v>620</v>
      </c>
      <c r="H904" s="7" t="s">
        <v>136</v>
      </c>
      <c r="I904" s="23">
        <f>125960+5560</f>
        <v>131520</v>
      </c>
      <c r="J904" s="23">
        <v>-1414</v>
      </c>
      <c r="K904" s="23">
        <f t="shared" si="309"/>
        <v>130106</v>
      </c>
      <c r="M904" s="23"/>
      <c r="N904" s="23"/>
      <c r="O904" s="86">
        <f t="shared" si="310"/>
        <v>0</v>
      </c>
      <c r="Q904" s="273">
        <f t="shared" si="307"/>
        <v>131520</v>
      </c>
      <c r="R904" s="86">
        <f t="shared" si="326"/>
        <v>-1414</v>
      </c>
      <c r="S904" s="86">
        <f t="shared" si="326"/>
        <v>130106</v>
      </c>
    </row>
    <row r="905" spans="2:19" x14ac:dyDescent="0.2">
      <c r="B905" s="83">
        <f t="shared" si="311"/>
        <v>309</v>
      </c>
      <c r="C905" s="7"/>
      <c r="D905" s="7"/>
      <c r="E905" s="7"/>
      <c r="F905" s="25" t="s">
        <v>131</v>
      </c>
      <c r="G905" s="7">
        <v>630</v>
      </c>
      <c r="H905" s="7" t="s">
        <v>133</v>
      </c>
      <c r="I905" s="23">
        <f>SUM(I906:I911)</f>
        <v>61765</v>
      </c>
      <c r="J905" s="23">
        <f t="shared" ref="J905" si="327">SUM(J906:J911)</f>
        <v>-2485</v>
      </c>
      <c r="K905" s="23">
        <f t="shared" si="309"/>
        <v>59280</v>
      </c>
      <c r="M905" s="23"/>
      <c r="N905" s="23"/>
      <c r="O905" s="86">
        <f t="shared" si="310"/>
        <v>0</v>
      </c>
      <c r="Q905" s="273">
        <f t="shared" si="307"/>
        <v>61765</v>
      </c>
      <c r="R905" s="86">
        <f t="shared" si="326"/>
        <v>-2485</v>
      </c>
      <c r="S905" s="86">
        <f t="shared" si="326"/>
        <v>59280</v>
      </c>
    </row>
    <row r="906" spans="2:19" x14ac:dyDescent="0.2">
      <c r="B906" s="83">
        <f t="shared" si="311"/>
        <v>310</v>
      </c>
      <c r="C906" s="3"/>
      <c r="D906" s="3"/>
      <c r="E906" s="3"/>
      <c r="F906" s="26" t="s">
        <v>131</v>
      </c>
      <c r="G906" s="3">
        <v>631</v>
      </c>
      <c r="H906" s="3" t="s">
        <v>139</v>
      </c>
      <c r="I906" s="19">
        <v>305</v>
      </c>
      <c r="J906" s="19"/>
      <c r="K906" s="19">
        <f t="shared" si="309"/>
        <v>305</v>
      </c>
      <c r="M906" s="19"/>
      <c r="N906" s="19"/>
      <c r="O906" s="87">
        <f t="shared" si="310"/>
        <v>0</v>
      </c>
      <c r="Q906" s="274">
        <f t="shared" si="307"/>
        <v>305</v>
      </c>
      <c r="R906" s="87">
        <f t="shared" si="326"/>
        <v>0</v>
      </c>
      <c r="S906" s="87">
        <f t="shared" si="326"/>
        <v>305</v>
      </c>
    </row>
    <row r="907" spans="2:19" x14ac:dyDescent="0.2">
      <c r="B907" s="83">
        <f t="shared" si="311"/>
        <v>311</v>
      </c>
      <c r="C907" s="3"/>
      <c r="D907" s="3"/>
      <c r="E907" s="3"/>
      <c r="F907" s="26" t="s">
        <v>131</v>
      </c>
      <c r="G907" s="3">
        <v>632</v>
      </c>
      <c r="H907" s="3" t="s">
        <v>146</v>
      </c>
      <c r="I907" s="19">
        <v>18350</v>
      </c>
      <c r="J907" s="19"/>
      <c r="K907" s="19">
        <f t="shared" si="309"/>
        <v>18350</v>
      </c>
      <c r="M907" s="19"/>
      <c r="N907" s="19"/>
      <c r="O907" s="87">
        <f t="shared" si="310"/>
        <v>0</v>
      </c>
      <c r="Q907" s="274">
        <f t="shared" si="307"/>
        <v>18350</v>
      </c>
      <c r="R907" s="87">
        <f t="shared" si="326"/>
        <v>0</v>
      </c>
      <c r="S907" s="87">
        <f t="shared" si="326"/>
        <v>18350</v>
      </c>
    </row>
    <row r="908" spans="2:19" x14ac:dyDescent="0.2">
      <c r="B908" s="83">
        <f t="shared" si="311"/>
        <v>312</v>
      </c>
      <c r="C908" s="3"/>
      <c r="D908" s="3"/>
      <c r="E908" s="3"/>
      <c r="F908" s="26" t="s">
        <v>131</v>
      </c>
      <c r="G908" s="3">
        <v>633</v>
      </c>
      <c r="H908" s="3" t="s">
        <v>137</v>
      </c>
      <c r="I908" s="19">
        <v>9870</v>
      </c>
      <c r="J908" s="19"/>
      <c r="K908" s="19">
        <f t="shared" si="309"/>
        <v>9870</v>
      </c>
      <c r="M908" s="19"/>
      <c r="N908" s="19"/>
      <c r="O908" s="87">
        <f t="shared" si="310"/>
        <v>0</v>
      </c>
      <c r="Q908" s="274">
        <f t="shared" si="307"/>
        <v>9870</v>
      </c>
      <c r="R908" s="87">
        <f t="shared" si="326"/>
        <v>0</v>
      </c>
      <c r="S908" s="87">
        <f t="shared" si="326"/>
        <v>9870</v>
      </c>
    </row>
    <row r="909" spans="2:19" x14ac:dyDescent="0.2">
      <c r="B909" s="83">
        <f t="shared" si="311"/>
        <v>313</v>
      </c>
      <c r="C909" s="3"/>
      <c r="D909" s="3"/>
      <c r="E909" s="3"/>
      <c r="F909" s="26" t="s">
        <v>131</v>
      </c>
      <c r="G909" s="3">
        <v>635</v>
      </c>
      <c r="H909" s="3" t="s">
        <v>145</v>
      </c>
      <c r="I909" s="19">
        <v>15600</v>
      </c>
      <c r="J909" s="19">
        <v>-2485</v>
      </c>
      <c r="K909" s="19">
        <f t="shared" si="309"/>
        <v>13115</v>
      </c>
      <c r="M909" s="19"/>
      <c r="N909" s="19"/>
      <c r="O909" s="87">
        <f t="shared" si="310"/>
        <v>0</v>
      </c>
      <c r="Q909" s="274">
        <f t="shared" si="307"/>
        <v>15600</v>
      </c>
      <c r="R909" s="87">
        <f t="shared" si="326"/>
        <v>-2485</v>
      </c>
      <c r="S909" s="87">
        <f t="shared" si="326"/>
        <v>13115</v>
      </c>
    </row>
    <row r="910" spans="2:19" x14ac:dyDescent="0.2">
      <c r="B910" s="83">
        <f t="shared" si="311"/>
        <v>314</v>
      </c>
      <c r="C910" s="3"/>
      <c r="D910" s="3"/>
      <c r="E910" s="3"/>
      <c r="F910" s="26" t="s">
        <v>131</v>
      </c>
      <c r="G910" s="3">
        <v>636</v>
      </c>
      <c r="H910" s="3" t="s">
        <v>138</v>
      </c>
      <c r="I910" s="19">
        <v>2400</v>
      </c>
      <c r="J910" s="19"/>
      <c r="K910" s="19">
        <f t="shared" si="309"/>
        <v>2400</v>
      </c>
      <c r="M910" s="19"/>
      <c r="N910" s="19"/>
      <c r="O910" s="87">
        <f t="shared" si="310"/>
        <v>0</v>
      </c>
      <c r="Q910" s="274">
        <f t="shared" si="307"/>
        <v>2400</v>
      </c>
      <c r="R910" s="87">
        <f t="shared" si="326"/>
        <v>0</v>
      </c>
      <c r="S910" s="87">
        <f t="shared" si="326"/>
        <v>2400</v>
      </c>
    </row>
    <row r="911" spans="2:19" x14ac:dyDescent="0.2">
      <c r="B911" s="83">
        <f t="shared" si="311"/>
        <v>315</v>
      </c>
      <c r="C911" s="3"/>
      <c r="D911" s="3"/>
      <c r="E911" s="3"/>
      <c r="F911" s="26" t="s">
        <v>131</v>
      </c>
      <c r="G911" s="3">
        <v>637</v>
      </c>
      <c r="H911" s="3" t="s">
        <v>134</v>
      </c>
      <c r="I911" s="19">
        <v>15240</v>
      </c>
      <c r="J911" s="19"/>
      <c r="K911" s="19">
        <f t="shared" si="309"/>
        <v>15240</v>
      </c>
      <c r="M911" s="19"/>
      <c r="N911" s="19"/>
      <c r="O911" s="87">
        <f t="shared" si="310"/>
        <v>0</v>
      </c>
      <c r="Q911" s="274">
        <f t="shared" si="307"/>
        <v>15240</v>
      </c>
      <c r="R911" s="87">
        <f t="shared" si="326"/>
        <v>0</v>
      </c>
      <c r="S911" s="87">
        <f t="shared" si="326"/>
        <v>15240</v>
      </c>
    </row>
    <row r="912" spans="2:19" x14ac:dyDescent="0.2">
      <c r="B912" s="83">
        <f t="shared" si="311"/>
        <v>316</v>
      </c>
      <c r="C912" s="7"/>
      <c r="D912" s="7"/>
      <c r="E912" s="7"/>
      <c r="F912" s="25" t="s">
        <v>131</v>
      </c>
      <c r="G912" s="7">
        <v>640</v>
      </c>
      <c r="H912" s="7" t="s">
        <v>141</v>
      </c>
      <c r="I912" s="23">
        <v>10400</v>
      </c>
      <c r="J912" s="23">
        <v>2080</v>
      </c>
      <c r="K912" s="23">
        <f t="shared" si="309"/>
        <v>12480</v>
      </c>
      <c r="M912" s="23"/>
      <c r="N912" s="23"/>
      <c r="O912" s="86">
        <f t="shared" si="310"/>
        <v>0</v>
      </c>
      <c r="Q912" s="273">
        <f t="shared" si="307"/>
        <v>10400</v>
      </c>
      <c r="R912" s="86">
        <f t="shared" si="326"/>
        <v>2080</v>
      </c>
      <c r="S912" s="86">
        <f t="shared" si="326"/>
        <v>12480</v>
      </c>
    </row>
    <row r="913" spans="2:19" x14ac:dyDescent="0.2">
      <c r="B913" s="83">
        <f t="shared" si="311"/>
        <v>317</v>
      </c>
      <c r="C913" s="7"/>
      <c r="D913" s="7"/>
      <c r="E913" s="7"/>
      <c r="F913" s="25" t="s">
        <v>118</v>
      </c>
      <c r="G913" s="7">
        <v>610</v>
      </c>
      <c r="H913" s="7" t="s">
        <v>143</v>
      </c>
      <c r="I913" s="23">
        <f>378310+14850</f>
        <v>393160</v>
      </c>
      <c r="J913" s="23">
        <v>50</v>
      </c>
      <c r="K913" s="23">
        <f t="shared" si="309"/>
        <v>393210</v>
      </c>
      <c r="M913" s="23"/>
      <c r="N913" s="23"/>
      <c r="O913" s="86">
        <f t="shared" si="310"/>
        <v>0</v>
      </c>
      <c r="Q913" s="273">
        <f t="shared" si="307"/>
        <v>393160</v>
      </c>
      <c r="R913" s="86">
        <f t="shared" si="326"/>
        <v>50</v>
      </c>
      <c r="S913" s="86">
        <f t="shared" si="326"/>
        <v>393210</v>
      </c>
    </row>
    <row r="914" spans="2:19" x14ac:dyDescent="0.2">
      <c r="B914" s="83">
        <f t="shared" si="311"/>
        <v>318</v>
      </c>
      <c r="C914" s="7"/>
      <c r="D914" s="7"/>
      <c r="E914" s="7"/>
      <c r="F914" s="25" t="s">
        <v>118</v>
      </c>
      <c r="G914" s="7">
        <v>620</v>
      </c>
      <c r="H914" s="7" t="s">
        <v>136</v>
      </c>
      <c r="I914" s="23">
        <f>137080+5560</f>
        <v>142640</v>
      </c>
      <c r="J914" s="23">
        <v>10</v>
      </c>
      <c r="K914" s="23">
        <f t="shared" si="309"/>
        <v>142650</v>
      </c>
      <c r="M914" s="23"/>
      <c r="N914" s="23"/>
      <c r="O914" s="86">
        <f t="shared" si="310"/>
        <v>0</v>
      </c>
      <c r="Q914" s="273">
        <f t="shared" si="307"/>
        <v>142640</v>
      </c>
      <c r="R914" s="86">
        <f t="shared" si="326"/>
        <v>10</v>
      </c>
      <c r="S914" s="86">
        <f t="shared" si="326"/>
        <v>142650</v>
      </c>
    </row>
    <row r="915" spans="2:19" x14ac:dyDescent="0.2">
      <c r="B915" s="83">
        <f t="shared" si="311"/>
        <v>319</v>
      </c>
      <c r="C915" s="7"/>
      <c r="D915" s="7"/>
      <c r="E915" s="7"/>
      <c r="F915" s="25" t="s">
        <v>118</v>
      </c>
      <c r="G915" s="7">
        <v>630</v>
      </c>
      <c r="H915" s="7" t="s">
        <v>133</v>
      </c>
      <c r="I915" s="23">
        <f>SUM(I916:I921)</f>
        <v>172950</v>
      </c>
      <c r="J915" s="23">
        <f t="shared" ref="J915" si="328">SUM(J916:J921)</f>
        <v>0</v>
      </c>
      <c r="K915" s="23">
        <f t="shared" si="309"/>
        <v>172950</v>
      </c>
      <c r="M915" s="23"/>
      <c r="N915" s="23"/>
      <c r="O915" s="86">
        <f t="shared" si="310"/>
        <v>0</v>
      </c>
      <c r="Q915" s="273">
        <f t="shared" si="307"/>
        <v>172950</v>
      </c>
      <c r="R915" s="86">
        <f t="shared" si="326"/>
        <v>0</v>
      </c>
      <c r="S915" s="86">
        <f t="shared" si="326"/>
        <v>172950</v>
      </c>
    </row>
    <row r="916" spans="2:19" x14ac:dyDescent="0.2">
      <c r="B916" s="83">
        <f t="shared" si="311"/>
        <v>320</v>
      </c>
      <c r="C916" s="3"/>
      <c r="D916" s="3"/>
      <c r="E916" s="3"/>
      <c r="F916" s="26" t="s">
        <v>118</v>
      </c>
      <c r="G916" s="3">
        <v>631</v>
      </c>
      <c r="H916" s="3" t="s">
        <v>139</v>
      </c>
      <c r="I916" s="19">
        <v>400</v>
      </c>
      <c r="J916" s="19"/>
      <c r="K916" s="19">
        <f t="shared" si="309"/>
        <v>400</v>
      </c>
      <c r="M916" s="19"/>
      <c r="N916" s="19"/>
      <c r="O916" s="87">
        <f t="shared" si="310"/>
        <v>0</v>
      </c>
      <c r="Q916" s="274">
        <f t="shared" si="307"/>
        <v>400</v>
      </c>
      <c r="R916" s="87">
        <f t="shared" si="326"/>
        <v>0</v>
      </c>
      <c r="S916" s="87">
        <f t="shared" si="326"/>
        <v>400</v>
      </c>
    </row>
    <row r="917" spans="2:19" x14ac:dyDescent="0.2">
      <c r="B917" s="83">
        <f t="shared" si="311"/>
        <v>321</v>
      </c>
      <c r="C917" s="3"/>
      <c r="D917" s="3"/>
      <c r="E917" s="3"/>
      <c r="F917" s="26" t="s">
        <v>118</v>
      </c>
      <c r="G917" s="3">
        <v>632</v>
      </c>
      <c r="H917" s="3" t="s">
        <v>146</v>
      </c>
      <c r="I917" s="19">
        <v>22900</v>
      </c>
      <c r="J917" s="19"/>
      <c r="K917" s="19">
        <f t="shared" si="309"/>
        <v>22900</v>
      </c>
      <c r="M917" s="19"/>
      <c r="N917" s="19"/>
      <c r="O917" s="87">
        <f t="shared" si="310"/>
        <v>0</v>
      </c>
      <c r="Q917" s="274">
        <f t="shared" si="307"/>
        <v>22900</v>
      </c>
      <c r="R917" s="87">
        <f t="shared" si="326"/>
        <v>0</v>
      </c>
      <c r="S917" s="87">
        <f t="shared" si="326"/>
        <v>22900</v>
      </c>
    </row>
    <row r="918" spans="2:19" x14ac:dyDescent="0.2">
      <c r="B918" s="83">
        <f t="shared" si="311"/>
        <v>322</v>
      </c>
      <c r="C918" s="3"/>
      <c r="D918" s="3"/>
      <c r="E918" s="3"/>
      <c r="F918" s="26" t="s">
        <v>118</v>
      </c>
      <c r="G918" s="3">
        <v>633</v>
      </c>
      <c r="H918" s="3" t="s">
        <v>137</v>
      </c>
      <c r="I918" s="19">
        <v>35530</v>
      </c>
      <c r="J918" s="19"/>
      <c r="K918" s="19">
        <f t="shared" si="309"/>
        <v>35530</v>
      </c>
      <c r="M918" s="19"/>
      <c r="N918" s="19"/>
      <c r="O918" s="87">
        <f t="shared" si="310"/>
        <v>0</v>
      </c>
      <c r="Q918" s="274">
        <f t="shared" ref="Q918:Q981" si="329">I918+M918</f>
        <v>35530</v>
      </c>
      <c r="R918" s="87">
        <f t="shared" ref="R918:S933" si="330">J918+N918</f>
        <v>0</v>
      </c>
      <c r="S918" s="87">
        <f t="shared" si="330"/>
        <v>35530</v>
      </c>
    </row>
    <row r="919" spans="2:19" x14ac:dyDescent="0.2">
      <c r="B919" s="83">
        <f t="shared" si="311"/>
        <v>323</v>
      </c>
      <c r="C919" s="3"/>
      <c r="D919" s="3"/>
      <c r="E919" s="3"/>
      <c r="F919" s="26" t="s">
        <v>118</v>
      </c>
      <c r="G919" s="3">
        <v>635</v>
      </c>
      <c r="H919" s="3" t="s">
        <v>145</v>
      </c>
      <c r="I919" s="19">
        <v>70300</v>
      </c>
      <c r="J919" s="19"/>
      <c r="K919" s="19">
        <f t="shared" ref="K919:K982" si="331">I919+J919</f>
        <v>70300</v>
      </c>
      <c r="M919" s="19"/>
      <c r="N919" s="19"/>
      <c r="O919" s="87">
        <f t="shared" ref="O919:O982" si="332">M919+N919</f>
        <v>0</v>
      </c>
      <c r="Q919" s="274">
        <f t="shared" si="329"/>
        <v>70300</v>
      </c>
      <c r="R919" s="87">
        <f t="shared" si="330"/>
        <v>0</v>
      </c>
      <c r="S919" s="87">
        <f t="shared" si="330"/>
        <v>70300</v>
      </c>
    </row>
    <row r="920" spans="2:19" x14ac:dyDescent="0.2">
      <c r="B920" s="83">
        <f t="shared" ref="B920:B983" si="333">B919+1</f>
        <v>324</v>
      </c>
      <c r="C920" s="3"/>
      <c r="D920" s="3"/>
      <c r="E920" s="3"/>
      <c r="F920" s="26" t="s">
        <v>118</v>
      </c>
      <c r="G920" s="3">
        <v>636</v>
      </c>
      <c r="H920" s="3" t="s">
        <v>138</v>
      </c>
      <c r="I920" s="19">
        <v>3000</v>
      </c>
      <c r="J920" s="19"/>
      <c r="K920" s="19">
        <f t="shared" si="331"/>
        <v>3000</v>
      </c>
      <c r="M920" s="19"/>
      <c r="N920" s="19"/>
      <c r="O920" s="87">
        <f t="shared" si="332"/>
        <v>0</v>
      </c>
      <c r="Q920" s="274">
        <f t="shared" si="329"/>
        <v>3000</v>
      </c>
      <c r="R920" s="87">
        <f t="shared" si="330"/>
        <v>0</v>
      </c>
      <c r="S920" s="87">
        <f t="shared" si="330"/>
        <v>3000</v>
      </c>
    </row>
    <row r="921" spans="2:19" x14ac:dyDescent="0.2">
      <c r="B921" s="83">
        <f t="shared" si="333"/>
        <v>325</v>
      </c>
      <c r="C921" s="3"/>
      <c r="D921" s="3"/>
      <c r="E921" s="3"/>
      <c r="F921" s="26" t="s">
        <v>118</v>
      </c>
      <c r="G921" s="3">
        <v>637</v>
      </c>
      <c r="H921" s="3" t="s">
        <v>134</v>
      </c>
      <c r="I921" s="19">
        <v>40820</v>
      </c>
      <c r="J921" s="19"/>
      <c r="K921" s="19">
        <f t="shared" si="331"/>
        <v>40820</v>
      </c>
      <c r="M921" s="19"/>
      <c r="N921" s="19"/>
      <c r="O921" s="87">
        <f t="shared" si="332"/>
        <v>0</v>
      </c>
      <c r="Q921" s="274">
        <f t="shared" si="329"/>
        <v>40820</v>
      </c>
      <c r="R921" s="87">
        <f t="shared" si="330"/>
        <v>0</v>
      </c>
      <c r="S921" s="87">
        <f t="shared" si="330"/>
        <v>40820</v>
      </c>
    </row>
    <row r="922" spans="2:19" x14ac:dyDescent="0.2">
      <c r="B922" s="83">
        <f t="shared" si="333"/>
        <v>326</v>
      </c>
      <c r="C922" s="7"/>
      <c r="D922" s="7"/>
      <c r="E922" s="7"/>
      <c r="F922" s="25" t="s">
        <v>118</v>
      </c>
      <c r="G922" s="7">
        <v>640</v>
      </c>
      <c r="H922" s="7" t="s">
        <v>141</v>
      </c>
      <c r="I922" s="23">
        <v>16585</v>
      </c>
      <c r="J922" s="23"/>
      <c r="K922" s="23">
        <f t="shared" si="331"/>
        <v>16585</v>
      </c>
      <c r="M922" s="23"/>
      <c r="N922" s="23"/>
      <c r="O922" s="86">
        <f t="shared" si="332"/>
        <v>0</v>
      </c>
      <c r="Q922" s="273">
        <f t="shared" si="329"/>
        <v>16585</v>
      </c>
      <c r="R922" s="86">
        <f t="shared" si="330"/>
        <v>0</v>
      </c>
      <c r="S922" s="86">
        <f t="shared" si="330"/>
        <v>16585</v>
      </c>
    </row>
    <row r="923" spans="2:19" ht="15" x14ac:dyDescent="0.25">
      <c r="B923" s="83">
        <f t="shared" si="333"/>
        <v>327</v>
      </c>
      <c r="C923" s="10"/>
      <c r="D923" s="10"/>
      <c r="E923" s="10">
        <v>13</v>
      </c>
      <c r="F923" s="28"/>
      <c r="G923" s="10"/>
      <c r="H923" s="10" t="s">
        <v>19</v>
      </c>
      <c r="I923" s="38">
        <f>I924+I925+I926+I931+I932+I933+I934+I939</f>
        <v>486971</v>
      </c>
      <c r="J923" s="38">
        <f t="shared" ref="J923" si="334">J924+J925+J926+J931+J932+J933+J934+J939</f>
        <v>22327</v>
      </c>
      <c r="K923" s="38">
        <f t="shared" si="331"/>
        <v>509298</v>
      </c>
      <c r="M923" s="38">
        <v>0</v>
      </c>
      <c r="N923" s="38">
        <v>0</v>
      </c>
      <c r="O923" s="94">
        <f t="shared" si="332"/>
        <v>0</v>
      </c>
      <c r="Q923" s="315">
        <f t="shared" si="329"/>
        <v>486971</v>
      </c>
      <c r="R923" s="94">
        <f t="shared" si="330"/>
        <v>22327</v>
      </c>
      <c r="S923" s="94">
        <f t="shared" si="330"/>
        <v>509298</v>
      </c>
    </row>
    <row r="924" spans="2:19" x14ac:dyDescent="0.2">
      <c r="B924" s="83">
        <f t="shared" si="333"/>
        <v>328</v>
      </c>
      <c r="C924" s="7"/>
      <c r="D924" s="7"/>
      <c r="E924" s="7"/>
      <c r="F924" s="25" t="s">
        <v>131</v>
      </c>
      <c r="G924" s="7">
        <v>610</v>
      </c>
      <c r="H924" s="7" t="s">
        <v>143</v>
      </c>
      <c r="I924" s="23">
        <f>91076+26588</f>
        <v>117664</v>
      </c>
      <c r="J924" s="23">
        <v>16545</v>
      </c>
      <c r="K924" s="23">
        <f t="shared" si="331"/>
        <v>134209</v>
      </c>
      <c r="M924" s="23"/>
      <c r="N924" s="23"/>
      <c r="O924" s="86">
        <f t="shared" si="332"/>
        <v>0</v>
      </c>
      <c r="Q924" s="273">
        <f t="shared" si="329"/>
        <v>117664</v>
      </c>
      <c r="R924" s="86">
        <f t="shared" si="330"/>
        <v>16545</v>
      </c>
      <c r="S924" s="86">
        <f t="shared" si="330"/>
        <v>134209</v>
      </c>
    </row>
    <row r="925" spans="2:19" x14ac:dyDescent="0.2">
      <c r="B925" s="83">
        <f t="shared" si="333"/>
        <v>329</v>
      </c>
      <c r="C925" s="7"/>
      <c r="D925" s="7"/>
      <c r="E925" s="7"/>
      <c r="F925" s="25" t="s">
        <v>131</v>
      </c>
      <c r="G925" s="7">
        <v>620</v>
      </c>
      <c r="H925" s="7" t="s">
        <v>136</v>
      </c>
      <c r="I925" s="23">
        <f>31823+9292</f>
        <v>41115</v>
      </c>
      <c r="J925" s="23">
        <v>5782</v>
      </c>
      <c r="K925" s="23">
        <f t="shared" si="331"/>
        <v>46897</v>
      </c>
      <c r="M925" s="23"/>
      <c r="N925" s="23"/>
      <c r="O925" s="86">
        <f t="shared" si="332"/>
        <v>0</v>
      </c>
      <c r="Q925" s="273">
        <f t="shared" si="329"/>
        <v>41115</v>
      </c>
      <c r="R925" s="86">
        <f t="shared" si="330"/>
        <v>5782</v>
      </c>
      <c r="S925" s="86">
        <f t="shared" si="330"/>
        <v>46897</v>
      </c>
    </row>
    <row r="926" spans="2:19" x14ac:dyDescent="0.2">
      <c r="B926" s="83">
        <f t="shared" si="333"/>
        <v>330</v>
      </c>
      <c r="C926" s="7"/>
      <c r="D926" s="7"/>
      <c r="E926" s="7"/>
      <c r="F926" s="25" t="s">
        <v>131</v>
      </c>
      <c r="G926" s="7">
        <v>630</v>
      </c>
      <c r="H926" s="7" t="s">
        <v>133</v>
      </c>
      <c r="I926" s="23">
        <f>SUM(I927:I930)</f>
        <v>29923</v>
      </c>
      <c r="J926" s="23">
        <f t="shared" ref="J926" si="335">SUM(J927:J930)</f>
        <v>0</v>
      </c>
      <c r="K926" s="23">
        <f t="shared" si="331"/>
        <v>29923</v>
      </c>
      <c r="M926" s="23"/>
      <c r="N926" s="23"/>
      <c r="O926" s="86">
        <f t="shared" si="332"/>
        <v>0</v>
      </c>
      <c r="Q926" s="273">
        <f t="shared" si="329"/>
        <v>29923</v>
      </c>
      <c r="R926" s="86">
        <f t="shared" si="330"/>
        <v>0</v>
      </c>
      <c r="S926" s="86">
        <f t="shared" si="330"/>
        <v>29923</v>
      </c>
    </row>
    <row r="927" spans="2:19" x14ac:dyDescent="0.2">
      <c r="B927" s="83">
        <f t="shared" si="333"/>
        <v>331</v>
      </c>
      <c r="C927" s="3"/>
      <c r="D927" s="3"/>
      <c r="E927" s="3"/>
      <c r="F927" s="26" t="s">
        <v>131</v>
      </c>
      <c r="G927" s="3">
        <v>632</v>
      </c>
      <c r="H927" s="3" t="s">
        <v>146</v>
      </c>
      <c r="I927" s="19">
        <v>22142</v>
      </c>
      <c r="J927" s="19"/>
      <c r="K927" s="19">
        <f t="shared" si="331"/>
        <v>22142</v>
      </c>
      <c r="M927" s="19"/>
      <c r="N927" s="19"/>
      <c r="O927" s="87">
        <f t="shared" si="332"/>
        <v>0</v>
      </c>
      <c r="Q927" s="274">
        <f t="shared" si="329"/>
        <v>22142</v>
      </c>
      <c r="R927" s="87">
        <f t="shared" si="330"/>
        <v>0</v>
      </c>
      <c r="S927" s="87">
        <f t="shared" si="330"/>
        <v>22142</v>
      </c>
    </row>
    <row r="928" spans="2:19" x14ac:dyDescent="0.2">
      <c r="B928" s="83">
        <f t="shared" si="333"/>
        <v>332</v>
      </c>
      <c r="C928" s="3"/>
      <c r="D928" s="3"/>
      <c r="E928" s="3"/>
      <c r="F928" s="26" t="s">
        <v>131</v>
      </c>
      <c r="G928" s="3">
        <v>633</v>
      </c>
      <c r="H928" s="3" t="s">
        <v>137</v>
      </c>
      <c r="I928" s="19">
        <v>2251</v>
      </c>
      <c r="J928" s="19"/>
      <c r="K928" s="19">
        <f t="shared" si="331"/>
        <v>2251</v>
      </c>
      <c r="M928" s="19"/>
      <c r="N928" s="19"/>
      <c r="O928" s="87">
        <f t="shared" si="332"/>
        <v>0</v>
      </c>
      <c r="Q928" s="274">
        <f t="shared" si="329"/>
        <v>2251</v>
      </c>
      <c r="R928" s="87">
        <f t="shared" si="330"/>
        <v>0</v>
      </c>
      <c r="S928" s="87">
        <f t="shared" si="330"/>
        <v>2251</v>
      </c>
    </row>
    <row r="929" spans="2:19" x14ac:dyDescent="0.2">
      <c r="B929" s="83">
        <f t="shared" si="333"/>
        <v>333</v>
      </c>
      <c r="C929" s="3"/>
      <c r="D929" s="3"/>
      <c r="E929" s="3"/>
      <c r="F929" s="26" t="s">
        <v>131</v>
      </c>
      <c r="G929" s="3">
        <v>635</v>
      </c>
      <c r="H929" s="3" t="s">
        <v>145</v>
      </c>
      <c r="I929" s="19">
        <v>600</v>
      </c>
      <c r="J929" s="19"/>
      <c r="K929" s="19">
        <f t="shared" si="331"/>
        <v>600</v>
      </c>
      <c r="M929" s="19"/>
      <c r="N929" s="19"/>
      <c r="O929" s="87">
        <f t="shared" si="332"/>
        <v>0</v>
      </c>
      <c r="Q929" s="274">
        <f t="shared" si="329"/>
        <v>600</v>
      </c>
      <c r="R929" s="87">
        <f t="shared" si="330"/>
        <v>0</v>
      </c>
      <c r="S929" s="87">
        <f t="shared" si="330"/>
        <v>600</v>
      </c>
    </row>
    <row r="930" spans="2:19" x14ac:dyDescent="0.2">
      <c r="B930" s="83">
        <f t="shared" si="333"/>
        <v>334</v>
      </c>
      <c r="C930" s="3"/>
      <c r="D930" s="3"/>
      <c r="E930" s="3"/>
      <c r="F930" s="26" t="s">
        <v>131</v>
      </c>
      <c r="G930" s="3">
        <v>637</v>
      </c>
      <c r="H930" s="3" t="s">
        <v>134</v>
      </c>
      <c r="I930" s="19">
        <v>4930</v>
      </c>
      <c r="J930" s="19"/>
      <c r="K930" s="19">
        <f t="shared" si="331"/>
        <v>4930</v>
      </c>
      <c r="M930" s="19"/>
      <c r="N930" s="19"/>
      <c r="O930" s="87">
        <f t="shared" si="332"/>
        <v>0</v>
      </c>
      <c r="Q930" s="274">
        <f t="shared" si="329"/>
        <v>4930</v>
      </c>
      <c r="R930" s="87">
        <f t="shared" si="330"/>
        <v>0</v>
      </c>
      <c r="S930" s="87">
        <f t="shared" si="330"/>
        <v>4930</v>
      </c>
    </row>
    <row r="931" spans="2:19" x14ac:dyDescent="0.2">
      <c r="B931" s="83">
        <f t="shared" si="333"/>
        <v>335</v>
      </c>
      <c r="C931" s="7"/>
      <c r="D931" s="7"/>
      <c r="E931" s="7"/>
      <c r="F931" s="25" t="s">
        <v>131</v>
      </c>
      <c r="G931" s="7">
        <v>640</v>
      </c>
      <c r="H931" s="7" t="s">
        <v>141</v>
      </c>
      <c r="I931" s="23">
        <v>160</v>
      </c>
      <c r="J931" s="23"/>
      <c r="K931" s="23">
        <f t="shared" si="331"/>
        <v>160</v>
      </c>
      <c r="M931" s="23"/>
      <c r="N931" s="23"/>
      <c r="O931" s="86">
        <f t="shared" si="332"/>
        <v>0</v>
      </c>
      <c r="Q931" s="273">
        <f t="shared" si="329"/>
        <v>160</v>
      </c>
      <c r="R931" s="86">
        <f t="shared" si="330"/>
        <v>0</v>
      </c>
      <c r="S931" s="86">
        <f t="shared" si="330"/>
        <v>160</v>
      </c>
    </row>
    <row r="932" spans="2:19" x14ac:dyDescent="0.2">
      <c r="B932" s="83">
        <f t="shared" si="333"/>
        <v>336</v>
      </c>
      <c r="C932" s="7"/>
      <c r="D932" s="7"/>
      <c r="E932" s="7"/>
      <c r="F932" s="25" t="s">
        <v>118</v>
      </c>
      <c r="G932" s="7">
        <v>610</v>
      </c>
      <c r="H932" s="7" t="s">
        <v>143</v>
      </c>
      <c r="I932" s="23">
        <f>142537+26589</f>
        <v>169126</v>
      </c>
      <c r="J932" s="23"/>
      <c r="K932" s="23">
        <f t="shared" si="331"/>
        <v>169126</v>
      </c>
      <c r="M932" s="23"/>
      <c r="N932" s="23"/>
      <c r="O932" s="86">
        <f t="shared" si="332"/>
        <v>0</v>
      </c>
      <c r="Q932" s="273">
        <f t="shared" si="329"/>
        <v>169126</v>
      </c>
      <c r="R932" s="86">
        <f t="shared" si="330"/>
        <v>0</v>
      </c>
      <c r="S932" s="86">
        <f t="shared" si="330"/>
        <v>169126</v>
      </c>
    </row>
    <row r="933" spans="2:19" x14ac:dyDescent="0.2">
      <c r="B933" s="83">
        <f t="shared" si="333"/>
        <v>337</v>
      </c>
      <c r="C933" s="7"/>
      <c r="D933" s="7"/>
      <c r="E933" s="7"/>
      <c r="F933" s="25" t="s">
        <v>118</v>
      </c>
      <c r="G933" s="7">
        <v>620</v>
      </c>
      <c r="H933" s="7" t="s">
        <v>136</v>
      </c>
      <c r="I933" s="23">
        <f>49824+9292</f>
        <v>59116</v>
      </c>
      <c r="J933" s="23"/>
      <c r="K933" s="23">
        <f t="shared" si="331"/>
        <v>59116</v>
      </c>
      <c r="M933" s="23"/>
      <c r="N933" s="23"/>
      <c r="O933" s="86">
        <f t="shared" si="332"/>
        <v>0</v>
      </c>
      <c r="Q933" s="273">
        <f t="shared" si="329"/>
        <v>59116</v>
      </c>
      <c r="R933" s="86">
        <f t="shared" si="330"/>
        <v>0</v>
      </c>
      <c r="S933" s="86">
        <f t="shared" si="330"/>
        <v>59116</v>
      </c>
    </row>
    <row r="934" spans="2:19" x14ac:dyDescent="0.2">
      <c r="B934" s="83">
        <f t="shared" si="333"/>
        <v>338</v>
      </c>
      <c r="C934" s="7"/>
      <c r="D934" s="7"/>
      <c r="E934" s="7"/>
      <c r="F934" s="25" t="s">
        <v>118</v>
      </c>
      <c r="G934" s="7">
        <v>630</v>
      </c>
      <c r="H934" s="7" t="s">
        <v>133</v>
      </c>
      <c r="I934" s="23">
        <f>SUM(I935:I938)</f>
        <v>69627</v>
      </c>
      <c r="J934" s="23">
        <f t="shared" ref="J934" si="336">SUM(J935:J938)</f>
        <v>0</v>
      </c>
      <c r="K934" s="23">
        <f t="shared" si="331"/>
        <v>69627</v>
      </c>
      <c r="M934" s="23"/>
      <c r="N934" s="23"/>
      <c r="O934" s="86">
        <f t="shared" si="332"/>
        <v>0</v>
      </c>
      <c r="Q934" s="273">
        <f t="shared" si="329"/>
        <v>69627</v>
      </c>
      <c r="R934" s="86">
        <f t="shared" ref="R934:S949" si="337">J934+N934</f>
        <v>0</v>
      </c>
      <c r="S934" s="86">
        <f t="shared" si="337"/>
        <v>69627</v>
      </c>
    </row>
    <row r="935" spans="2:19" x14ac:dyDescent="0.2">
      <c r="B935" s="83">
        <f t="shared" si="333"/>
        <v>339</v>
      </c>
      <c r="C935" s="3"/>
      <c r="D935" s="3"/>
      <c r="E935" s="3"/>
      <c r="F935" s="26" t="s">
        <v>118</v>
      </c>
      <c r="G935" s="3">
        <v>632</v>
      </c>
      <c r="H935" s="3" t="s">
        <v>146</v>
      </c>
      <c r="I935" s="19">
        <v>23392</v>
      </c>
      <c r="J935" s="19"/>
      <c r="K935" s="19">
        <f t="shared" si="331"/>
        <v>23392</v>
      </c>
      <c r="M935" s="19"/>
      <c r="N935" s="19"/>
      <c r="O935" s="87">
        <f t="shared" si="332"/>
        <v>0</v>
      </c>
      <c r="Q935" s="274">
        <f t="shared" si="329"/>
        <v>23392</v>
      </c>
      <c r="R935" s="87">
        <f t="shared" si="337"/>
        <v>0</v>
      </c>
      <c r="S935" s="87">
        <f t="shared" si="337"/>
        <v>23392</v>
      </c>
    </row>
    <row r="936" spans="2:19" x14ac:dyDescent="0.2">
      <c r="B936" s="83">
        <f t="shared" si="333"/>
        <v>340</v>
      </c>
      <c r="C936" s="3"/>
      <c r="D936" s="3"/>
      <c r="E936" s="3"/>
      <c r="F936" s="26" t="s">
        <v>118</v>
      </c>
      <c r="G936" s="3">
        <v>633</v>
      </c>
      <c r="H936" s="3" t="s">
        <v>137</v>
      </c>
      <c r="I936" s="19">
        <v>6565</v>
      </c>
      <c r="J936" s="19"/>
      <c r="K936" s="19">
        <f t="shared" si="331"/>
        <v>6565</v>
      </c>
      <c r="M936" s="19"/>
      <c r="N936" s="19"/>
      <c r="O936" s="87">
        <f t="shared" si="332"/>
        <v>0</v>
      </c>
      <c r="Q936" s="274">
        <f t="shared" si="329"/>
        <v>6565</v>
      </c>
      <c r="R936" s="87">
        <f t="shared" si="337"/>
        <v>0</v>
      </c>
      <c r="S936" s="87">
        <f t="shared" si="337"/>
        <v>6565</v>
      </c>
    </row>
    <row r="937" spans="2:19" x14ac:dyDescent="0.2">
      <c r="B937" s="83">
        <f t="shared" si="333"/>
        <v>341</v>
      </c>
      <c r="C937" s="3"/>
      <c r="D937" s="3"/>
      <c r="E937" s="3"/>
      <c r="F937" s="26" t="s">
        <v>118</v>
      </c>
      <c r="G937" s="3">
        <v>635</v>
      </c>
      <c r="H937" s="3" t="s">
        <v>145</v>
      </c>
      <c r="I937" s="19">
        <v>23800</v>
      </c>
      <c r="J937" s="19"/>
      <c r="K937" s="19">
        <f t="shared" si="331"/>
        <v>23800</v>
      </c>
      <c r="M937" s="19"/>
      <c r="N937" s="19"/>
      <c r="O937" s="87">
        <f t="shared" si="332"/>
        <v>0</v>
      </c>
      <c r="Q937" s="274">
        <f t="shared" si="329"/>
        <v>23800</v>
      </c>
      <c r="R937" s="87">
        <f t="shared" si="337"/>
        <v>0</v>
      </c>
      <c r="S937" s="87">
        <f t="shared" si="337"/>
        <v>23800</v>
      </c>
    </row>
    <row r="938" spans="2:19" x14ac:dyDescent="0.2">
      <c r="B938" s="83">
        <f t="shared" si="333"/>
        <v>342</v>
      </c>
      <c r="C938" s="3"/>
      <c r="D938" s="3"/>
      <c r="E938" s="3"/>
      <c r="F938" s="26" t="s">
        <v>118</v>
      </c>
      <c r="G938" s="3">
        <v>637</v>
      </c>
      <c r="H938" s="3" t="s">
        <v>134</v>
      </c>
      <c r="I938" s="19">
        <f>14370+1500</f>
        <v>15870</v>
      </c>
      <c r="J938" s="19"/>
      <c r="K938" s="19">
        <f t="shared" si="331"/>
        <v>15870</v>
      </c>
      <c r="M938" s="19"/>
      <c r="N938" s="19"/>
      <c r="O938" s="87">
        <f t="shared" si="332"/>
        <v>0</v>
      </c>
      <c r="Q938" s="274">
        <f t="shared" si="329"/>
        <v>15870</v>
      </c>
      <c r="R938" s="87">
        <f t="shared" si="337"/>
        <v>0</v>
      </c>
      <c r="S938" s="87">
        <f t="shared" si="337"/>
        <v>15870</v>
      </c>
    </row>
    <row r="939" spans="2:19" x14ac:dyDescent="0.2">
      <c r="B939" s="83">
        <f t="shared" si="333"/>
        <v>343</v>
      </c>
      <c r="C939" s="7"/>
      <c r="D939" s="7"/>
      <c r="E939" s="7"/>
      <c r="F939" s="25" t="s">
        <v>118</v>
      </c>
      <c r="G939" s="7">
        <v>640</v>
      </c>
      <c r="H939" s="7" t="s">
        <v>141</v>
      </c>
      <c r="I939" s="23">
        <v>240</v>
      </c>
      <c r="J939" s="23"/>
      <c r="K939" s="23">
        <f t="shared" si="331"/>
        <v>240</v>
      </c>
      <c r="M939" s="23"/>
      <c r="N939" s="23"/>
      <c r="O939" s="86">
        <f t="shared" si="332"/>
        <v>0</v>
      </c>
      <c r="Q939" s="273">
        <f t="shared" si="329"/>
        <v>240</v>
      </c>
      <c r="R939" s="86">
        <f t="shared" si="337"/>
        <v>0</v>
      </c>
      <c r="S939" s="86">
        <f t="shared" si="337"/>
        <v>240</v>
      </c>
    </row>
    <row r="940" spans="2:19" ht="15" x14ac:dyDescent="0.2">
      <c r="B940" s="83">
        <f t="shared" si="333"/>
        <v>344</v>
      </c>
      <c r="C940" s="268">
        <v>3</v>
      </c>
      <c r="D940" s="360" t="s">
        <v>171</v>
      </c>
      <c r="E940" s="361"/>
      <c r="F940" s="361"/>
      <c r="G940" s="361"/>
      <c r="H940" s="362"/>
      <c r="I940" s="36">
        <f>I941+I951+I961+I968+I976+I984+I993+I1001+I1009+I1017+I1025+I1033</f>
        <v>2779455</v>
      </c>
      <c r="J940" s="36">
        <f t="shared" ref="J940" si="338">J941+J951+J961+J968+J976+J984+J993+J1001+J1009+J1017+J1025+J1033</f>
        <v>60</v>
      </c>
      <c r="K940" s="36">
        <f t="shared" si="331"/>
        <v>2779515</v>
      </c>
      <c r="M940" s="36">
        <v>0</v>
      </c>
      <c r="N940" s="36">
        <v>0</v>
      </c>
      <c r="O940" s="84">
        <f t="shared" si="332"/>
        <v>0</v>
      </c>
      <c r="Q940" s="272">
        <f t="shared" si="329"/>
        <v>2779455</v>
      </c>
      <c r="R940" s="84">
        <f t="shared" si="337"/>
        <v>60</v>
      </c>
      <c r="S940" s="84">
        <f t="shared" si="337"/>
        <v>2779515</v>
      </c>
    </row>
    <row r="941" spans="2:19" x14ac:dyDescent="0.2">
      <c r="B941" s="83">
        <f t="shared" si="333"/>
        <v>345</v>
      </c>
      <c r="C941" s="7"/>
      <c r="D941" s="7"/>
      <c r="E941" s="7"/>
      <c r="F941" s="25" t="s">
        <v>170</v>
      </c>
      <c r="G941" s="7">
        <v>640</v>
      </c>
      <c r="H941" s="7" t="s">
        <v>141</v>
      </c>
      <c r="I941" s="23">
        <f>I942</f>
        <v>538475</v>
      </c>
      <c r="J941" s="23">
        <f t="shared" ref="J941" si="339">J942</f>
        <v>0</v>
      </c>
      <c r="K941" s="23">
        <f t="shared" si="331"/>
        <v>538475</v>
      </c>
      <c r="M941" s="23"/>
      <c r="N941" s="23"/>
      <c r="O941" s="86">
        <f t="shared" si="332"/>
        <v>0</v>
      </c>
      <c r="Q941" s="273">
        <f t="shared" si="329"/>
        <v>538475</v>
      </c>
      <c r="R941" s="86">
        <f t="shared" si="337"/>
        <v>0</v>
      </c>
      <c r="S941" s="86">
        <f t="shared" si="337"/>
        <v>538475</v>
      </c>
    </row>
    <row r="942" spans="2:19" x14ac:dyDescent="0.2">
      <c r="B942" s="83">
        <f t="shared" si="333"/>
        <v>346</v>
      </c>
      <c r="C942" s="3"/>
      <c r="D942" s="3"/>
      <c r="E942" s="3"/>
      <c r="F942" s="26" t="s">
        <v>170</v>
      </c>
      <c r="G942" s="3">
        <v>642</v>
      </c>
      <c r="H942" s="3" t="s">
        <v>142</v>
      </c>
      <c r="I942" s="64">
        <f>SUM(I943:I950)</f>
        <v>538475</v>
      </c>
      <c r="J942" s="64">
        <f t="shared" ref="J942" si="340">SUM(J943:J950)</f>
        <v>0</v>
      </c>
      <c r="K942" s="64">
        <f t="shared" si="331"/>
        <v>538475</v>
      </c>
      <c r="M942" s="19"/>
      <c r="N942" s="19"/>
      <c r="O942" s="87">
        <f t="shared" si="332"/>
        <v>0</v>
      </c>
      <c r="Q942" s="274">
        <f t="shared" si="329"/>
        <v>538475</v>
      </c>
      <c r="R942" s="87">
        <f t="shared" si="337"/>
        <v>0</v>
      </c>
      <c r="S942" s="87">
        <f t="shared" si="337"/>
        <v>538475</v>
      </c>
    </row>
    <row r="943" spans="2:19" x14ac:dyDescent="0.2">
      <c r="B943" s="83">
        <f t="shared" si="333"/>
        <v>347</v>
      </c>
      <c r="C943" s="4"/>
      <c r="D943" s="4"/>
      <c r="E943" s="4"/>
      <c r="F943" s="27"/>
      <c r="G943" s="4"/>
      <c r="H943" s="4" t="s">
        <v>551</v>
      </c>
      <c r="I943" s="40">
        <f>16206+403</f>
        <v>16609</v>
      </c>
      <c r="J943" s="40"/>
      <c r="K943" s="40">
        <f t="shared" si="331"/>
        <v>16609</v>
      </c>
      <c r="M943" s="21"/>
      <c r="N943" s="21"/>
      <c r="O943" s="88">
        <f t="shared" si="332"/>
        <v>0</v>
      </c>
      <c r="Q943" s="275">
        <f t="shared" si="329"/>
        <v>16609</v>
      </c>
      <c r="R943" s="88">
        <f t="shared" si="337"/>
        <v>0</v>
      </c>
      <c r="S943" s="88">
        <f t="shared" si="337"/>
        <v>16609</v>
      </c>
    </row>
    <row r="944" spans="2:19" x14ac:dyDescent="0.2">
      <c r="B944" s="83">
        <f t="shared" si="333"/>
        <v>348</v>
      </c>
      <c r="C944" s="4"/>
      <c r="D944" s="4"/>
      <c r="E944" s="4"/>
      <c r="F944" s="27"/>
      <c r="G944" s="4"/>
      <c r="H944" s="4" t="s">
        <v>552</v>
      </c>
      <c r="I944" s="40">
        <f>17321+8456</f>
        <v>25777</v>
      </c>
      <c r="J944" s="40"/>
      <c r="K944" s="40">
        <f t="shared" si="331"/>
        <v>25777</v>
      </c>
      <c r="M944" s="21"/>
      <c r="N944" s="21"/>
      <c r="O944" s="88">
        <f t="shared" si="332"/>
        <v>0</v>
      </c>
      <c r="Q944" s="275">
        <f t="shared" si="329"/>
        <v>25777</v>
      </c>
      <c r="R944" s="88">
        <f t="shared" si="337"/>
        <v>0</v>
      </c>
      <c r="S944" s="88">
        <f t="shared" si="337"/>
        <v>25777</v>
      </c>
    </row>
    <row r="945" spans="2:19" ht="22.5" x14ac:dyDescent="0.2">
      <c r="B945" s="83">
        <f t="shared" si="333"/>
        <v>349</v>
      </c>
      <c r="C945" s="4"/>
      <c r="D945" s="4"/>
      <c r="E945" s="4"/>
      <c r="F945" s="27"/>
      <c r="G945" s="4"/>
      <c r="H945" s="34" t="s">
        <v>553</v>
      </c>
      <c r="I945" s="40">
        <f>12432+310</f>
        <v>12742</v>
      </c>
      <c r="J945" s="40"/>
      <c r="K945" s="40">
        <f t="shared" si="331"/>
        <v>12742</v>
      </c>
      <c r="M945" s="21"/>
      <c r="N945" s="21"/>
      <c r="O945" s="88">
        <f t="shared" si="332"/>
        <v>0</v>
      </c>
      <c r="Q945" s="275">
        <f t="shared" si="329"/>
        <v>12742</v>
      </c>
      <c r="R945" s="88">
        <f t="shared" si="337"/>
        <v>0</v>
      </c>
      <c r="S945" s="88">
        <f t="shared" si="337"/>
        <v>12742</v>
      </c>
    </row>
    <row r="946" spans="2:19" x14ac:dyDescent="0.2">
      <c r="B946" s="83">
        <f t="shared" si="333"/>
        <v>350</v>
      </c>
      <c r="C946" s="4"/>
      <c r="D946" s="4"/>
      <c r="E946" s="4"/>
      <c r="F946" s="27"/>
      <c r="G946" s="4"/>
      <c r="H946" s="4" t="s">
        <v>554</v>
      </c>
      <c r="I946" s="40">
        <f>13439+6560</f>
        <v>19999</v>
      </c>
      <c r="J946" s="40"/>
      <c r="K946" s="40">
        <f t="shared" si="331"/>
        <v>19999</v>
      </c>
      <c r="M946" s="21"/>
      <c r="N946" s="21"/>
      <c r="O946" s="88">
        <f t="shared" si="332"/>
        <v>0</v>
      </c>
      <c r="Q946" s="275">
        <f t="shared" si="329"/>
        <v>19999</v>
      </c>
      <c r="R946" s="88">
        <f t="shared" si="337"/>
        <v>0</v>
      </c>
      <c r="S946" s="88">
        <f t="shared" si="337"/>
        <v>19999</v>
      </c>
    </row>
    <row r="947" spans="2:19" x14ac:dyDescent="0.2">
      <c r="B947" s="83">
        <f t="shared" si="333"/>
        <v>351</v>
      </c>
      <c r="C947" s="4"/>
      <c r="D947" s="4"/>
      <c r="E947" s="4"/>
      <c r="F947" s="27"/>
      <c r="G947" s="4"/>
      <c r="H947" s="4" t="s">
        <v>555</v>
      </c>
      <c r="I947" s="40">
        <f>144907+826</f>
        <v>145733</v>
      </c>
      <c r="J947" s="40"/>
      <c r="K947" s="40">
        <f t="shared" si="331"/>
        <v>145733</v>
      </c>
      <c r="M947" s="21"/>
      <c r="N947" s="21"/>
      <c r="O947" s="88">
        <f t="shared" si="332"/>
        <v>0</v>
      </c>
      <c r="Q947" s="275">
        <f t="shared" si="329"/>
        <v>145733</v>
      </c>
      <c r="R947" s="88">
        <f t="shared" si="337"/>
        <v>0</v>
      </c>
      <c r="S947" s="88">
        <f t="shared" si="337"/>
        <v>145733</v>
      </c>
    </row>
    <row r="948" spans="2:19" x14ac:dyDescent="0.2">
      <c r="B948" s="83">
        <f t="shared" si="333"/>
        <v>352</v>
      </c>
      <c r="C948" s="4"/>
      <c r="D948" s="4"/>
      <c r="E948" s="4"/>
      <c r="F948" s="27"/>
      <c r="G948" s="4"/>
      <c r="H948" s="4" t="s">
        <v>556</v>
      </c>
      <c r="I948" s="40">
        <f>284286+1628</f>
        <v>285914</v>
      </c>
      <c r="J948" s="40"/>
      <c r="K948" s="40">
        <f t="shared" si="331"/>
        <v>285914</v>
      </c>
      <c r="M948" s="21"/>
      <c r="N948" s="21"/>
      <c r="O948" s="88">
        <f t="shared" si="332"/>
        <v>0</v>
      </c>
      <c r="Q948" s="275">
        <f t="shared" si="329"/>
        <v>285914</v>
      </c>
      <c r="R948" s="88">
        <f t="shared" si="337"/>
        <v>0</v>
      </c>
      <c r="S948" s="88">
        <f t="shared" si="337"/>
        <v>285914</v>
      </c>
    </row>
    <row r="949" spans="2:19" x14ac:dyDescent="0.2">
      <c r="B949" s="83">
        <f t="shared" si="333"/>
        <v>353</v>
      </c>
      <c r="C949" s="4"/>
      <c r="D949" s="4"/>
      <c r="E949" s="4"/>
      <c r="F949" s="27"/>
      <c r="G949" s="4"/>
      <c r="H949" s="4" t="s">
        <v>557</v>
      </c>
      <c r="I949" s="40">
        <f>29311+167</f>
        <v>29478</v>
      </c>
      <c r="J949" s="40"/>
      <c r="K949" s="40">
        <f t="shared" si="331"/>
        <v>29478</v>
      </c>
      <c r="M949" s="21"/>
      <c r="N949" s="21"/>
      <c r="O949" s="88">
        <f t="shared" si="332"/>
        <v>0</v>
      </c>
      <c r="Q949" s="275">
        <f t="shared" si="329"/>
        <v>29478</v>
      </c>
      <c r="R949" s="88">
        <f t="shared" si="337"/>
        <v>0</v>
      </c>
      <c r="S949" s="88">
        <f t="shared" si="337"/>
        <v>29478</v>
      </c>
    </row>
    <row r="950" spans="2:19" ht="22.5" x14ac:dyDescent="0.2">
      <c r="B950" s="83">
        <f t="shared" si="333"/>
        <v>354</v>
      </c>
      <c r="C950" s="4"/>
      <c r="D950" s="4"/>
      <c r="E950" s="4"/>
      <c r="F950" s="27"/>
      <c r="G950" s="4"/>
      <c r="H950" s="34" t="s">
        <v>563</v>
      </c>
      <c r="I950" s="40">
        <f>1494+729</f>
        <v>2223</v>
      </c>
      <c r="J950" s="40"/>
      <c r="K950" s="40">
        <f t="shared" si="331"/>
        <v>2223</v>
      </c>
      <c r="M950" s="21"/>
      <c r="N950" s="21"/>
      <c r="O950" s="88">
        <f t="shared" si="332"/>
        <v>0</v>
      </c>
      <c r="Q950" s="275">
        <f t="shared" si="329"/>
        <v>2223</v>
      </c>
      <c r="R950" s="88">
        <f t="shared" ref="R950:S965" si="341">J950+N950</f>
        <v>0</v>
      </c>
      <c r="S950" s="88">
        <f t="shared" si="341"/>
        <v>2223</v>
      </c>
    </row>
    <row r="951" spans="2:19" ht="15" x14ac:dyDescent="0.25">
      <c r="B951" s="83">
        <f t="shared" si="333"/>
        <v>355</v>
      </c>
      <c r="C951" s="10"/>
      <c r="D951" s="10"/>
      <c r="E951" s="10">
        <v>1</v>
      </c>
      <c r="F951" s="28"/>
      <c r="G951" s="10"/>
      <c r="H951" s="10" t="s">
        <v>54</v>
      </c>
      <c r="I951" s="38">
        <f>I952+I953+I954+I960</f>
        <v>186592</v>
      </c>
      <c r="J951" s="38">
        <f t="shared" ref="J951" si="342">J952+J953+J954+J960</f>
        <v>0</v>
      </c>
      <c r="K951" s="38">
        <f t="shared" si="331"/>
        <v>186592</v>
      </c>
      <c r="M951" s="38">
        <v>0</v>
      </c>
      <c r="N951" s="38">
        <v>0</v>
      </c>
      <c r="O951" s="94">
        <f t="shared" si="332"/>
        <v>0</v>
      </c>
      <c r="Q951" s="315">
        <f t="shared" si="329"/>
        <v>186592</v>
      </c>
      <c r="R951" s="94">
        <f t="shared" si="341"/>
        <v>0</v>
      </c>
      <c r="S951" s="94">
        <f t="shared" si="341"/>
        <v>186592</v>
      </c>
    </row>
    <row r="952" spans="2:19" x14ac:dyDescent="0.2">
      <c r="B952" s="83">
        <f t="shared" si="333"/>
        <v>356</v>
      </c>
      <c r="C952" s="7"/>
      <c r="D952" s="7"/>
      <c r="E952" s="7"/>
      <c r="F952" s="25" t="s">
        <v>170</v>
      </c>
      <c r="G952" s="7">
        <v>610</v>
      </c>
      <c r="H952" s="7" t="s">
        <v>143</v>
      </c>
      <c r="I952" s="23">
        <v>97700</v>
      </c>
      <c r="J952" s="23"/>
      <c r="K952" s="23">
        <f t="shared" si="331"/>
        <v>97700</v>
      </c>
      <c r="M952" s="23"/>
      <c r="N952" s="23"/>
      <c r="O952" s="86">
        <f t="shared" si="332"/>
        <v>0</v>
      </c>
      <c r="Q952" s="273">
        <f t="shared" si="329"/>
        <v>97700</v>
      </c>
      <c r="R952" s="86">
        <f t="shared" si="341"/>
        <v>0</v>
      </c>
      <c r="S952" s="86">
        <f t="shared" si="341"/>
        <v>97700</v>
      </c>
    </row>
    <row r="953" spans="2:19" x14ac:dyDescent="0.2">
      <c r="B953" s="83">
        <f t="shared" si="333"/>
        <v>357</v>
      </c>
      <c r="C953" s="7"/>
      <c r="D953" s="7"/>
      <c r="E953" s="7"/>
      <c r="F953" s="25" t="s">
        <v>170</v>
      </c>
      <c r="G953" s="7">
        <v>620</v>
      </c>
      <c r="H953" s="7" t="s">
        <v>136</v>
      </c>
      <c r="I953" s="23">
        <v>36640</v>
      </c>
      <c r="J953" s="23"/>
      <c r="K953" s="23">
        <f t="shared" si="331"/>
        <v>36640</v>
      </c>
      <c r="M953" s="23"/>
      <c r="N953" s="23"/>
      <c r="O953" s="86">
        <f t="shared" si="332"/>
        <v>0</v>
      </c>
      <c r="Q953" s="273">
        <f t="shared" si="329"/>
        <v>36640</v>
      </c>
      <c r="R953" s="86">
        <f t="shared" si="341"/>
        <v>0</v>
      </c>
      <c r="S953" s="86">
        <f t="shared" si="341"/>
        <v>36640</v>
      </c>
    </row>
    <row r="954" spans="2:19" x14ac:dyDescent="0.2">
      <c r="B954" s="83">
        <f t="shared" si="333"/>
        <v>358</v>
      </c>
      <c r="C954" s="7"/>
      <c r="D954" s="7"/>
      <c r="E954" s="7"/>
      <c r="F954" s="25" t="s">
        <v>170</v>
      </c>
      <c r="G954" s="7">
        <v>630</v>
      </c>
      <c r="H954" s="7" t="s">
        <v>133</v>
      </c>
      <c r="I954" s="23">
        <f>SUM(I955:I959)</f>
        <v>51752</v>
      </c>
      <c r="J954" s="23">
        <f t="shared" ref="J954" si="343">SUM(J955:J959)</f>
        <v>0</v>
      </c>
      <c r="K954" s="23">
        <f t="shared" si="331"/>
        <v>51752</v>
      </c>
      <c r="M954" s="23"/>
      <c r="N954" s="23"/>
      <c r="O954" s="86">
        <f t="shared" si="332"/>
        <v>0</v>
      </c>
      <c r="Q954" s="273">
        <f t="shared" si="329"/>
        <v>51752</v>
      </c>
      <c r="R954" s="86">
        <f t="shared" si="341"/>
        <v>0</v>
      </c>
      <c r="S954" s="86">
        <f t="shared" si="341"/>
        <v>51752</v>
      </c>
    </row>
    <row r="955" spans="2:19" x14ac:dyDescent="0.2">
      <c r="B955" s="83">
        <f t="shared" si="333"/>
        <v>359</v>
      </c>
      <c r="C955" s="3"/>
      <c r="D955" s="3"/>
      <c r="E955" s="3"/>
      <c r="F955" s="26" t="s">
        <v>170</v>
      </c>
      <c r="G955" s="3">
        <v>631</v>
      </c>
      <c r="H955" s="3" t="s">
        <v>139</v>
      </c>
      <c r="I955" s="19">
        <v>400</v>
      </c>
      <c r="J955" s="19"/>
      <c r="K955" s="19">
        <f t="shared" si="331"/>
        <v>400</v>
      </c>
      <c r="M955" s="19"/>
      <c r="N955" s="19"/>
      <c r="O955" s="87">
        <f t="shared" si="332"/>
        <v>0</v>
      </c>
      <c r="Q955" s="274">
        <f t="shared" si="329"/>
        <v>400</v>
      </c>
      <c r="R955" s="87">
        <f t="shared" si="341"/>
        <v>0</v>
      </c>
      <c r="S955" s="87">
        <f t="shared" si="341"/>
        <v>400</v>
      </c>
    </row>
    <row r="956" spans="2:19" x14ac:dyDescent="0.2">
      <c r="B956" s="83">
        <f t="shared" si="333"/>
        <v>360</v>
      </c>
      <c r="C956" s="3"/>
      <c r="D956" s="3"/>
      <c r="E956" s="3"/>
      <c r="F956" s="26" t="s">
        <v>170</v>
      </c>
      <c r="G956" s="3">
        <v>632</v>
      </c>
      <c r="H956" s="3" t="s">
        <v>146</v>
      </c>
      <c r="I956" s="19">
        <v>7400</v>
      </c>
      <c r="J956" s="19"/>
      <c r="K956" s="19">
        <f t="shared" si="331"/>
        <v>7400</v>
      </c>
      <c r="M956" s="19"/>
      <c r="N956" s="19"/>
      <c r="O956" s="87">
        <f t="shared" si="332"/>
        <v>0</v>
      </c>
      <c r="Q956" s="274">
        <f t="shared" si="329"/>
        <v>7400</v>
      </c>
      <c r="R956" s="87">
        <f t="shared" si="341"/>
        <v>0</v>
      </c>
      <c r="S956" s="87">
        <f t="shared" si="341"/>
        <v>7400</v>
      </c>
    </row>
    <row r="957" spans="2:19" x14ac:dyDescent="0.2">
      <c r="B957" s="83">
        <f t="shared" si="333"/>
        <v>361</v>
      </c>
      <c r="C957" s="3"/>
      <c r="D957" s="3"/>
      <c r="E957" s="3"/>
      <c r="F957" s="26" t="s">
        <v>170</v>
      </c>
      <c r="G957" s="3">
        <v>633</v>
      </c>
      <c r="H957" s="3" t="s">
        <v>137</v>
      </c>
      <c r="I957" s="19">
        <f>16152+3000</f>
        <v>19152</v>
      </c>
      <c r="J957" s="19"/>
      <c r="K957" s="19">
        <f t="shared" si="331"/>
        <v>19152</v>
      </c>
      <c r="M957" s="19"/>
      <c r="N957" s="19"/>
      <c r="O957" s="87">
        <f t="shared" si="332"/>
        <v>0</v>
      </c>
      <c r="Q957" s="274">
        <f t="shared" si="329"/>
        <v>19152</v>
      </c>
      <c r="R957" s="87">
        <f t="shared" si="341"/>
        <v>0</v>
      </c>
      <c r="S957" s="87">
        <f t="shared" si="341"/>
        <v>19152</v>
      </c>
    </row>
    <row r="958" spans="2:19" x14ac:dyDescent="0.2">
      <c r="B958" s="83">
        <f t="shared" si="333"/>
        <v>362</v>
      </c>
      <c r="C958" s="3"/>
      <c r="D958" s="3"/>
      <c r="E958" s="3"/>
      <c r="F958" s="26" t="s">
        <v>170</v>
      </c>
      <c r="G958" s="3">
        <v>635</v>
      </c>
      <c r="H958" s="3" t="s">
        <v>145</v>
      </c>
      <c r="I958" s="19">
        <f>500+1000</f>
        <v>1500</v>
      </c>
      <c r="J958" s="19"/>
      <c r="K958" s="19">
        <f t="shared" si="331"/>
        <v>1500</v>
      </c>
      <c r="M958" s="19"/>
      <c r="N958" s="19"/>
      <c r="O958" s="87">
        <f t="shared" si="332"/>
        <v>0</v>
      </c>
      <c r="Q958" s="274">
        <f t="shared" si="329"/>
        <v>1500</v>
      </c>
      <c r="R958" s="87">
        <f t="shared" si="341"/>
        <v>0</v>
      </c>
      <c r="S958" s="87">
        <f t="shared" si="341"/>
        <v>1500</v>
      </c>
    </row>
    <row r="959" spans="2:19" x14ac:dyDescent="0.2">
      <c r="B959" s="83">
        <f t="shared" si="333"/>
        <v>363</v>
      </c>
      <c r="C959" s="3"/>
      <c r="D959" s="3"/>
      <c r="E959" s="3"/>
      <c r="F959" s="26" t="s">
        <v>170</v>
      </c>
      <c r="G959" s="3">
        <v>637</v>
      </c>
      <c r="H959" s="3" t="s">
        <v>134</v>
      </c>
      <c r="I959" s="19">
        <f>17300+3000+3000</f>
        <v>23300</v>
      </c>
      <c r="J959" s="19"/>
      <c r="K959" s="19">
        <f t="shared" si="331"/>
        <v>23300</v>
      </c>
      <c r="M959" s="19"/>
      <c r="N959" s="19"/>
      <c r="O959" s="87">
        <f t="shared" si="332"/>
        <v>0</v>
      </c>
      <c r="Q959" s="274">
        <f t="shared" si="329"/>
        <v>23300</v>
      </c>
      <c r="R959" s="87">
        <f t="shared" si="341"/>
        <v>0</v>
      </c>
      <c r="S959" s="87">
        <f t="shared" si="341"/>
        <v>23300</v>
      </c>
    </row>
    <row r="960" spans="2:19" x14ac:dyDescent="0.2">
      <c r="B960" s="83">
        <f t="shared" si="333"/>
        <v>364</v>
      </c>
      <c r="C960" s="7"/>
      <c r="D960" s="7"/>
      <c r="E960" s="7"/>
      <c r="F960" s="25" t="s">
        <v>170</v>
      </c>
      <c r="G960" s="7">
        <v>640</v>
      </c>
      <c r="H960" s="7" t="s">
        <v>141</v>
      </c>
      <c r="I960" s="23">
        <v>500</v>
      </c>
      <c r="J960" s="23"/>
      <c r="K960" s="23">
        <f t="shared" si="331"/>
        <v>500</v>
      </c>
      <c r="M960" s="23"/>
      <c r="N960" s="23"/>
      <c r="O960" s="86">
        <f t="shared" si="332"/>
        <v>0</v>
      </c>
      <c r="Q960" s="273">
        <f t="shared" si="329"/>
        <v>500</v>
      </c>
      <c r="R960" s="86">
        <f t="shared" si="341"/>
        <v>0</v>
      </c>
      <c r="S960" s="86">
        <f t="shared" si="341"/>
        <v>500</v>
      </c>
    </row>
    <row r="961" spans="2:19" ht="15" x14ac:dyDescent="0.25">
      <c r="B961" s="83">
        <f t="shared" si="333"/>
        <v>365</v>
      </c>
      <c r="C961" s="10"/>
      <c r="D961" s="10"/>
      <c r="E961" s="10">
        <v>4</v>
      </c>
      <c r="F961" s="28"/>
      <c r="G961" s="10"/>
      <c r="H961" s="10" t="s">
        <v>90</v>
      </c>
      <c r="I961" s="38">
        <f>I962+I963+I964</f>
        <v>14094</v>
      </c>
      <c r="J961" s="38">
        <f t="shared" ref="J961" si="344">J962+J963+J964</f>
        <v>0</v>
      </c>
      <c r="K961" s="38">
        <f t="shared" si="331"/>
        <v>14094</v>
      </c>
      <c r="M961" s="38">
        <v>0</v>
      </c>
      <c r="N961" s="38">
        <v>0</v>
      </c>
      <c r="O961" s="94">
        <f t="shared" si="332"/>
        <v>0</v>
      </c>
      <c r="Q961" s="315">
        <f t="shared" si="329"/>
        <v>14094</v>
      </c>
      <c r="R961" s="94">
        <f t="shared" si="341"/>
        <v>0</v>
      </c>
      <c r="S961" s="94">
        <f t="shared" si="341"/>
        <v>14094</v>
      </c>
    </row>
    <row r="962" spans="2:19" x14ac:dyDescent="0.2">
      <c r="B962" s="83">
        <f t="shared" si="333"/>
        <v>366</v>
      </c>
      <c r="C962" s="7"/>
      <c r="D962" s="7"/>
      <c r="E962" s="7"/>
      <c r="F962" s="25" t="s">
        <v>170</v>
      </c>
      <c r="G962" s="7">
        <v>610</v>
      </c>
      <c r="H962" s="7" t="s">
        <v>143</v>
      </c>
      <c r="I962" s="23">
        <f>8535+1020</f>
        <v>9555</v>
      </c>
      <c r="J962" s="23"/>
      <c r="K962" s="23">
        <f t="shared" si="331"/>
        <v>9555</v>
      </c>
      <c r="M962" s="23"/>
      <c r="N962" s="23"/>
      <c r="O962" s="86">
        <f t="shared" si="332"/>
        <v>0</v>
      </c>
      <c r="Q962" s="273">
        <f t="shared" si="329"/>
        <v>9555</v>
      </c>
      <c r="R962" s="86">
        <f t="shared" si="341"/>
        <v>0</v>
      </c>
      <c r="S962" s="86">
        <f t="shared" si="341"/>
        <v>9555</v>
      </c>
    </row>
    <row r="963" spans="2:19" x14ac:dyDescent="0.2">
      <c r="B963" s="83">
        <f t="shared" si="333"/>
        <v>367</v>
      </c>
      <c r="C963" s="7"/>
      <c r="D963" s="7"/>
      <c r="E963" s="7"/>
      <c r="F963" s="25" t="s">
        <v>170</v>
      </c>
      <c r="G963" s="7">
        <v>620</v>
      </c>
      <c r="H963" s="7" t="s">
        <v>136</v>
      </c>
      <c r="I963" s="23">
        <f>2982+377</f>
        <v>3359</v>
      </c>
      <c r="J963" s="23"/>
      <c r="K963" s="23">
        <f t="shared" si="331"/>
        <v>3359</v>
      </c>
      <c r="M963" s="23"/>
      <c r="N963" s="23"/>
      <c r="O963" s="86">
        <f t="shared" si="332"/>
        <v>0</v>
      </c>
      <c r="Q963" s="273">
        <f t="shared" si="329"/>
        <v>3359</v>
      </c>
      <c r="R963" s="86">
        <f t="shared" si="341"/>
        <v>0</v>
      </c>
      <c r="S963" s="86">
        <f t="shared" si="341"/>
        <v>3359</v>
      </c>
    </row>
    <row r="964" spans="2:19" x14ac:dyDescent="0.2">
      <c r="B964" s="83">
        <f t="shared" si="333"/>
        <v>368</v>
      </c>
      <c r="C964" s="7"/>
      <c r="D964" s="7"/>
      <c r="E964" s="7"/>
      <c r="F964" s="25" t="s">
        <v>170</v>
      </c>
      <c r="G964" s="7">
        <v>630</v>
      </c>
      <c r="H964" s="7" t="s">
        <v>133</v>
      </c>
      <c r="I964" s="23">
        <f>SUM(I965:I967)</f>
        <v>1180</v>
      </c>
      <c r="J964" s="23">
        <f t="shared" ref="J964" si="345">SUM(J965:J967)</f>
        <v>0</v>
      </c>
      <c r="K964" s="23">
        <f t="shared" si="331"/>
        <v>1180</v>
      </c>
      <c r="M964" s="23"/>
      <c r="N964" s="23"/>
      <c r="O964" s="86">
        <f t="shared" si="332"/>
        <v>0</v>
      </c>
      <c r="Q964" s="273">
        <f t="shared" si="329"/>
        <v>1180</v>
      </c>
      <c r="R964" s="86">
        <f t="shared" si="341"/>
        <v>0</v>
      </c>
      <c r="S964" s="86">
        <f t="shared" si="341"/>
        <v>1180</v>
      </c>
    </row>
    <row r="965" spans="2:19" x14ac:dyDescent="0.2">
      <c r="B965" s="83">
        <f t="shared" si="333"/>
        <v>369</v>
      </c>
      <c r="C965" s="3"/>
      <c r="D965" s="3"/>
      <c r="E965" s="3"/>
      <c r="F965" s="26" t="s">
        <v>170</v>
      </c>
      <c r="G965" s="3">
        <v>632</v>
      </c>
      <c r="H965" s="3" t="s">
        <v>146</v>
      </c>
      <c r="I965" s="19">
        <v>600</v>
      </c>
      <c r="J965" s="19"/>
      <c r="K965" s="19">
        <f t="shared" si="331"/>
        <v>600</v>
      </c>
      <c r="M965" s="19"/>
      <c r="N965" s="19"/>
      <c r="O965" s="87">
        <f t="shared" si="332"/>
        <v>0</v>
      </c>
      <c r="Q965" s="274">
        <f t="shared" si="329"/>
        <v>600</v>
      </c>
      <c r="R965" s="87">
        <f t="shared" si="341"/>
        <v>0</v>
      </c>
      <c r="S965" s="87">
        <f t="shared" si="341"/>
        <v>600</v>
      </c>
    </row>
    <row r="966" spans="2:19" x14ac:dyDescent="0.2">
      <c r="B966" s="83">
        <f t="shared" si="333"/>
        <v>370</v>
      </c>
      <c r="C966" s="3"/>
      <c r="D966" s="3"/>
      <c r="E966" s="3"/>
      <c r="F966" s="26" t="s">
        <v>170</v>
      </c>
      <c r="G966" s="3">
        <v>633</v>
      </c>
      <c r="H966" s="3" t="s">
        <v>137</v>
      </c>
      <c r="I966" s="19">
        <v>450</v>
      </c>
      <c r="J966" s="19"/>
      <c r="K966" s="19">
        <f t="shared" si="331"/>
        <v>450</v>
      </c>
      <c r="M966" s="19"/>
      <c r="N966" s="19"/>
      <c r="O966" s="87">
        <f t="shared" si="332"/>
        <v>0</v>
      </c>
      <c r="Q966" s="274">
        <f t="shared" si="329"/>
        <v>450</v>
      </c>
      <c r="R966" s="87">
        <f t="shared" ref="R966:S981" si="346">J966+N966</f>
        <v>0</v>
      </c>
      <c r="S966" s="87">
        <f t="shared" si="346"/>
        <v>450</v>
      </c>
    </row>
    <row r="967" spans="2:19" x14ac:dyDescent="0.2">
      <c r="B967" s="83">
        <f t="shared" si="333"/>
        <v>371</v>
      </c>
      <c r="C967" s="3"/>
      <c r="D967" s="3"/>
      <c r="E967" s="3"/>
      <c r="F967" s="26" t="s">
        <v>170</v>
      </c>
      <c r="G967" s="3">
        <v>637</v>
      </c>
      <c r="H967" s="3" t="s">
        <v>134</v>
      </c>
      <c r="I967" s="19">
        <v>130</v>
      </c>
      <c r="J967" s="19"/>
      <c r="K967" s="19">
        <f t="shared" si="331"/>
        <v>130</v>
      </c>
      <c r="M967" s="19"/>
      <c r="N967" s="19"/>
      <c r="O967" s="87">
        <f t="shared" si="332"/>
        <v>0</v>
      </c>
      <c r="Q967" s="274">
        <f t="shared" si="329"/>
        <v>130</v>
      </c>
      <c r="R967" s="87">
        <f t="shared" si="346"/>
        <v>0</v>
      </c>
      <c r="S967" s="87">
        <f t="shared" si="346"/>
        <v>130</v>
      </c>
    </row>
    <row r="968" spans="2:19" ht="15" x14ac:dyDescent="0.25">
      <c r="B968" s="83">
        <f t="shared" si="333"/>
        <v>372</v>
      </c>
      <c r="C968" s="10"/>
      <c r="D968" s="10"/>
      <c r="E968" s="10">
        <v>6</v>
      </c>
      <c r="F968" s="28"/>
      <c r="G968" s="10"/>
      <c r="H968" s="10" t="s">
        <v>12</v>
      </c>
      <c r="I968" s="38">
        <f>I969+I970+I971+I975</f>
        <v>132912</v>
      </c>
      <c r="J968" s="38">
        <f t="shared" ref="J968" si="347">J969+J970+J971+J975</f>
        <v>0</v>
      </c>
      <c r="K968" s="38">
        <f t="shared" si="331"/>
        <v>132912</v>
      </c>
      <c r="M968" s="38">
        <v>0</v>
      </c>
      <c r="N968" s="38">
        <v>0</v>
      </c>
      <c r="O968" s="94">
        <f t="shared" si="332"/>
        <v>0</v>
      </c>
      <c r="Q968" s="315">
        <f t="shared" si="329"/>
        <v>132912</v>
      </c>
      <c r="R968" s="94">
        <f t="shared" si="346"/>
        <v>0</v>
      </c>
      <c r="S968" s="94">
        <f t="shared" si="346"/>
        <v>132912</v>
      </c>
    </row>
    <row r="969" spans="2:19" x14ac:dyDescent="0.2">
      <c r="B969" s="83">
        <f t="shared" si="333"/>
        <v>373</v>
      </c>
      <c r="C969" s="7"/>
      <c r="D969" s="7"/>
      <c r="E969" s="7"/>
      <c r="F969" s="25" t="s">
        <v>170</v>
      </c>
      <c r="G969" s="7">
        <v>610</v>
      </c>
      <c r="H969" s="7" t="s">
        <v>143</v>
      </c>
      <c r="I969" s="23">
        <v>87122</v>
      </c>
      <c r="J969" s="23"/>
      <c r="K969" s="23">
        <f t="shared" si="331"/>
        <v>87122</v>
      </c>
      <c r="M969" s="23"/>
      <c r="N969" s="23"/>
      <c r="O969" s="86">
        <f t="shared" si="332"/>
        <v>0</v>
      </c>
      <c r="Q969" s="273">
        <f t="shared" si="329"/>
        <v>87122</v>
      </c>
      <c r="R969" s="86">
        <f t="shared" si="346"/>
        <v>0</v>
      </c>
      <c r="S969" s="86">
        <f t="shared" si="346"/>
        <v>87122</v>
      </c>
    </row>
    <row r="970" spans="2:19" x14ac:dyDescent="0.2">
      <c r="B970" s="83">
        <f t="shared" si="333"/>
        <v>374</v>
      </c>
      <c r="C970" s="7"/>
      <c r="D970" s="7"/>
      <c r="E970" s="7"/>
      <c r="F970" s="25" t="s">
        <v>170</v>
      </c>
      <c r="G970" s="7">
        <v>620</v>
      </c>
      <c r="H970" s="7" t="s">
        <v>136</v>
      </c>
      <c r="I970" s="23">
        <v>30450</v>
      </c>
      <c r="J970" s="23"/>
      <c r="K970" s="23">
        <f t="shared" si="331"/>
        <v>30450</v>
      </c>
      <c r="M970" s="23"/>
      <c r="N970" s="23"/>
      <c r="O970" s="86">
        <f t="shared" si="332"/>
        <v>0</v>
      </c>
      <c r="Q970" s="273">
        <f t="shared" si="329"/>
        <v>30450</v>
      </c>
      <c r="R970" s="86">
        <f t="shared" si="346"/>
        <v>0</v>
      </c>
      <c r="S970" s="86">
        <f t="shared" si="346"/>
        <v>30450</v>
      </c>
    </row>
    <row r="971" spans="2:19" x14ac:dyDescent="0.2">
      <c r="B971" s="83">
        <f t="shared" si="333"/>
        <v>375</v>
      </c>
      <c r="C971" s="7"/>
      <c r="D971" s="7"/>
      <c r="E971" s="7"/>
      <c r="F971" s="25" t="s">
        <v>170</v>
      </c>
      <c r="G971" s="7">
        <v>630</v>
      </c>
      <c r="H971" s="7" t="s">
        <v>133</v>
      </c>
      <c r="I971" s="23">
        <f>SUM(I972:I974)</f>
        <v>15000</v>
      </c>
      <c r="J971" s="23">
        <f t="shared" ref="J971" si="348">SUM(J972:J974)</f>
        <v>0</v>
      </c>
      <c r="K971" s="23">
        <f t="shared" si="331"/>
        <v>15000</v>
      </c>
      <c r="M971" s="23"/>
      <c r="N971" s="23"/>
      <c r="O971" s="86">
        <f t="shared" si="332"/>
        <v>0</v>
      </c>
      <c r="Q971" s="273">
        <f t="shared" si="329"/>
        <v>15000</v>
      </c>
      <c r="R971" s="86">
        <f t="shared" si="346"/>
        <v>0</v>
      </c>
      <c r="S971" s="86">
        <f t="shared" si="346"/>
        <v>15000</v>
      </c>
    </row>
    <row r="972" spans="2:19" x14ac:dyDescent="0.2">
      <c r="B972" s="83">
        <f t="shared" si="333"/>
        <v>376</v>
      </c>
      <c r="C972" s="3"/>
      <c r="D972" s="3"/>
      <c r="E972" s="3"/>
      <c r="F972" s="26" t="s">
        <v>170</v>
      </c>
      <c r="G972" s="3">
        <v>632</v>
      </c>
      <c r="H972" s="3" t="s">
        <v>146</v>
      </c>
      <c r="I972" s="19">
        <v>12730</v>
      </c>
      <c r="J972" s="19"/>
      <c r="K972" s="19">
        <f t="shared" si="331"/>
        <v>12730</v>
      </c>
      <c r="M972" s="19"/>
      <c r="N972" s="19"/>
      <c r="O972" s="87">
        <f t="shared" si="332"/>
        <v>0</v>
      </c>
      <c r="Q972" s="274">
        <f t="shared" si="329"/>
        <v>12730</v>
      </c>
      <c r="R972" s="87">
        <f t="shared" si="346"/>
        <v>0</v>
      </c>
      <c r="S972" s="87">
        <f t="shared" si="346"/>
        <v>12730</v>
      </c>
    </row>
    <row r="973" spans="2:19" x14ac:dyDescent="0.2">
      <c r="B973" s="83">
        <f t="shared" si="333"/>
        <v>377</v>
      </c>
      <c r="C973" s="3"/>
      <c r="D973" s="3"/>
      <c r="E973" s="3"/>
      <c r="F973" s="26" t="s">
        <v>170</v>
      </c>
      <c r="G973" s="3">
        <v>633</v>
      </c>
      <c r="H973" s="3" t="s">
        <v>137</v>
      </c>
      <c r="I973" s="19">
        <v>1027</v>
      </c>
      <c r="J973" s="19"/>
      <c r="K973" s="19">
        <f t="shared" si="331"/>
        <v>1027</v>
      </c>
      <c r="M973" s="19"/>
      <c r="N973" s="19"/>
      <c r="O973" s="87">
        <f t="shared" si="332"/>
        <v>0</v>
      </c>
      <c r="Q973" s="274">
        <f t="shared" si="329"/>
        <v>1027</v>
      </c>
      <c r="R973" s="87">
        <f t="shared" si="346"/>
        <v>0</v>
      </c>
      <c r="S973" s="87">
        <f t="shared" si="346"/>
        <v>1027</v>
      </c>
    </row>
    <row r="974" spans="2:19" x14ac:dyDescent="0.2">
      <c r="B974" s="83">
        <f t="shared" si="333"/>
        <v>378</v>
      </c>
      <c r="C974" s="3"/>
      <c r="D974" s="3"/>
      <c r="E974" s="3"/>
      <c r="F974" s="26" t="s">
        <v>170</v>
      </c>
      <c r="G974" s="3">
        <v>637</v>
      </c>
      <c r="H974" s="3" t="s">
        <v>134</v>
      </c>
      <c r="I974" s="19">
        <v>1243</v>
      </c>
      <c r="J974" s="19"/>
      <c r="K974" s="19">
        <f t="shared" si="331"/>
        <v>1243</v>
      </c>
      <c r="M974" s="19"/>
      <c r="N974" s="19"/>
      <c r="O974" s="87">
        <f t="shared" si="332"/>
        <v>0</v>
      </c>
      <c r="Q974" s="274">
        <f t="shared" si="329"/>
        <v>1243</v>
      </c>
      <c r="R974" s="87">
        <f t="shared" si="346"/>
        <v>0</v>
      </c>
      <c r="S974" s="87">
        <f t="shared" si="346"/>
        <v>1243</v>
      </c>
    </row>
    <row r="975" spans="2:19" x14ac:dyDescent="0.2">
      <c r="B975" s="83">
        <f t="shared" si="333"/>
        <v>379</v>
      </c>
      <c r="C975" s="7"/>
      <c r="D975" s="7"/>
      <c r="E975" s="7"/>
      <c r="F975" s="25" t="s">
        <v>170</v>
      </c>
      <c r="G975" s="7">
        <v>640</v>
      </c>
      <c r="H975" s="7" t="s">
        <v>141</v>
      </c>
      <c r="I975" s="23">
        <v>340</v>
      </c>
      <c r="J975" s="23"/>
      <c r="K975" s="23">
        <f t="shared" si="331"/>
        <v>340</v>
      </c>
      <c r="M975" s="23"/>
      <c r="N975" s="23"/>
      <c r="O975" s="86">
        <f t="shared" si="332"/>
        <v>0</v>
      </c>
      <c r="Q975" s="273">
        <f t="shared" si="329"/>
        <v>340</v>
      </c>
      <c r="R975" s="86">
        <f t="shared" si="346"/>
        <v>0</v>
      </c>
      <c r="S975" s="86">
        <f t="shared" si="346"/>
        <v>340</v>
      </c>
    </row>
    <row r="976" spans="2:19" ht="15" x14ac:dyDescent="0.25">
      <c r="B976" s="83">
        <f t="shared" si="333"/>
        <v>380</v>
      </c>
      <c r="C976" s="10"/>
      <c r="D976" s="10"/>
      <c r="E976" s="10">
        <v>7</v>
      </c>
      <c r="F976" s="28"/>
      <c r="G976" s="10"/>
      <c r="H976" s="10" t="s">
        <v>13</v>
      </c>
      <c r="I976" s="38">
        <f>I977+I978+I979+I983</f>
        <v>128550</v>
      </c>
      <c r="J976" s="38">
        <f t="shared" ref="J976" si="349">J977+J978+J979+J983</f>
        <v>0</v>
      </c>
      <c r="K976" s="38">
        <f t="shared" si="331"/>
        <v>128550</v>
      </c>
      <c r="M976" s="38">
        <v>0</v>
      </c>
      <c r="N976" s="38">
        <v>0</v>
      </c>
      <c r="O976" s="94">
        <f t="shared" si="332"/>
        <v>0</v>
      </c>
      <c r="Q976" s="315">
        <f t="shared" si="329"/>
        <v>128550</v>
      </c>
      <c r="R976" s="94">
        <f t="shared" si="346"/>
        <v>0</v>
      </c>
      <c r="S976" s="94">
        <f t="shared" si="346"/>
        <v>128550</v>
      </c>
    </row>
    <row r="977" spans="2:19" x14ac:dyDescent="0.2">
      <c r="B977" s="83">
        <f t="shared" si="333"/>
        <v>381</v>
      </c>
      <c r="C977" s="7"/>
      <c r="D977" s="7"/>
      <c r="E977" s="7"/>
      <c r="F977" s="25" t="s">
        <v>170</v>
      </c>
      <c r="G977" s="7">
        <v>610</v>
      </c>
      <c r="H977" s="7" t="s">
        <v>143</v>
      </c>
      <c r="I977" s="23">
        <f>78882+6916</f>
        <v>85798</v>
      </c>
      <c r="J977" s="23"/>
      <c r="K977" s="23">
        <f t="shared" si="331"/>
        <v>85798</v>
      </c>
      <c r="M977" s="23"/>
      <c r="N977" s="23"/>
      <c r="O977" s="86">
        <f t="shared" si="332"/>
        <v>0</v>
      </c>
      <c r="Q977" s="273">
        <f t="shared" si="329"/>
        <v>85798</v>
      </c>
      <c r="R977" s="86">
        <f t="shared" si="346"/>
        <v>0</v>
      </c>
      <c r="S977" s="86">
        <f t="shared" si="346"/>
        <v>85798</v>
      </c>
    </row>
    <row r="978" spans="2:19" x14ac:dyDescent="0.2">
      <c r="B978" s="83">
        <f t="shared" si="333"/>
        <v>382</v>
      </c>
      <c r="C978" s="7"/>
      <c r="D978" s="7"/>
      <c r="E978" s="7"/>
      <c r="F978" s="25" t="s">
        <v>170</v>
      </c>
      <c r="G978" s="7">
        <v>620</v>
      </c>
      <c r="H978" s="7" t="s">
        <v>136</v>
      </c>
      <c r="I978" s="23">
        <f>27761+2441</f>
        <v>30202</v>
      </c>
      <c r="J978" s="23"/>
      <c r="K978" s="23">
        <f t="shared" si="331"/>
        <v>30202</v>
      </c>
      <c r="M978" s="23"/>
      <c r="N978" s="23"/>
      <c r="O978" s="86">
        <f t="shared" si="332"/>
        <v>0</v>
      </c>
      <c r="Q978" s="273">
        <f t="shared" si="329"/>
        <v>30202</v>
      </c>
      <c r="R978" s="86">
        <f t="shared" si="346"/>
        <v>0</v>
      </c>
      <c r="S978" s="86">
        <f t="shared" si="346"/>
        <v>30202</v>
      </c>
    </row>
    <row r="979" spans="2:19" x14ac:dyDescent="0.2">
      <c r="B979" s="83">
        <f t="shared" si="333"/>
        <v>383</v>
      </c>
      <c r="C979" s="7"/>
      <c r="D979" s="7"/>
      <c r="E979" s="7"/>
      <c r="F979" s="25" t="s">
        <v>170</v>
      </c>
      <c r="G979" s="7">
        <v>630</v>
      </c>
      <c r="H979" s="7" t="s">
        <v>133</v>
      </c>
      <c r="I979" s="23">
        <f>SUM(I980:I982)</f>
        <v>10166</v>
      </c>
      <c r="J979" s="23">
        <f t="shared" ref="J979" si="350">SUM(J980:J982)</f>
        <v>0</v>
      </c>
      <c r="K979" s="23">
        <f t="shared" si="331"/>
        <v>10166</v>
      </c>
      <c r="M979" s="23"/>
      <c r="N979" s="23"/>
      <c r="O979" s="86">
        <f t="shared" si="332"/>
        <v>0</v>
      </c>
      <c r="Q979" s="273">
        <f t="shared" si="329"/>
        <v>10166</v>
      </c>
      <c r="R979" s="86">
        <f t="shared" si="346"/>
        <v>0</v>
      </c>
      <c r="S979" s="86">
        <f t="shared" si="346"/>
        <v>10166</v>
      </c>
    </row>
    <row r="980" spans="2:19" x14ac:dyDescent="0.2">
      <c r="B980" s="83">
        <f t="shared" si="333"/>
        <v>384</v>
      </c>
      <c r="C980" s="3"/>
      <c r="D980" s="3"/>
      <c r="E980" s="3"/>
      <c r="F980" s="26" t="s">
        <v>170</v>
      </c>
      <c r="G980" s="3">
        <v>632</v>
      </c>
      <c r="H980" s="3" t="s">
        <v>146</v>
      </c>
      <c r="I980" s="19">
        <v>5294</v>
      </c>
      <c r="J980" s="19"/>
      <c r="K980" s="19">
        <f t="shared" si="331"/>
        <v>5294</v>
      </c>
      <c r="M980" s="19"/>
      <c r="N980" s="19"/>
      <c r="O980" s="87">
        <f t="shared" si="332"/>
        <v>0</v>
      </c>
      <c r="Q980" s="274">
        <f t="shared" si="329"/>
        <v>5294</v>
      </c>
      <c r="R980" s="87">
        <f t="shared" si="346"/>
        <v>0</v>
      </c>
      <c r="S980" s="87">
        <f t="shared" si="346"/>
        <v>5294</v>
      </c>
    </row>
    <row r="981" spans="2:19" x14ac:dyDescent="0.2">
      <c r="B981" s="83">
        <f t="shared" si="333"/>
        <v>385</v>
      </c>
      <c r="C981" s="3"/>
      <c r="D981" s="3"/>
      <c r="E981" s="3"/>
      <c r="F981" s="26" t="s">
        <v>170</v>
      </c>
      <c r="G981" s="3">
        <v>633</v>
      </c>
      <c r="H981" s="3" t="s">
        <v>137</v>
      </c>
      <c r="I981" s="19">
        <v>2372</v>
      </c>
      <c r="J981" s="19"/>
      <c r="K981" s="19">
        <f t="shared" si="331"/>
        <v>2372</v>
      </c>
      <c r="M981" s="19"/>
      <c r="N981" s="19"/>
      <c r="O981" s="87">
        <f t="shared" si="332"/>
        <v>0</v>
      </c>
      <c r="Q981" s="274">
        <f t="shared" si="329"/>
        <v>2372</v>
      </c>
      <c r="R981" s="87">
        <f t="shared" si="346"/>
        <v>0</v>
      </c>
      <c r="S981" s="87">
        <f t="shared" si="346"/>
        <v>2372</v>
      </c>
    </row>
    <row r="982" spans="2:19" x14ac:dyDescent="0.2">
      <c r="B982" s="83">
        <f t="shared" si="333"/>
        <v>386</v>
      </c>
      <c r="C982" s="3"/>
      <c r="D982" s="3"/>
      <c r="E982" s="3"/>
      <c r="F982" s="26" t="s">
        <v>170</v>
      </c>
      <c r="G982" s="3">
        <v>637</v>
      </c>
      <c r="H982" s="3" t="s">
        <v>134</v>
      </c>
      <c r="I982" s="19">
        <v>2500</v>
      </c>
      <c r="J982" s="19"/>
      <c r="K982" s="19">
        <f t="shared" si="331"/>
        <v>2500</v>
      </c>
      <c r="M982" s="19"/>
      <c r="N982" s="19"/>
      <c r="O982" s="87">
        <f t="shared" si="332"/>
        <v>0</v>
      </c>
      <c r="Q982" s="274">
        <f t="shared" ref="Q982:Q1045" si="351">I982+M982</f>
        <v>2500</v>
      </c>
      <c r="R982" s="87">
        <f t="shared" ref="R982:S997" si="352">J982+N982</f>
        <v>0</v>
      </c>
      <c r="S982" s="87">
        <f t="shared" si="352"/>
        <v>2500</v>
      </c>
    </row>
    <row r="983" spans="2:19" x14ac:dyDescent="0.2">
      <c r="B983" s="83">
        <f t="shared" si="333"/>
        <v>387</v>
      </c>
      <c r="C983" s="7"/>
      <c r="D983" s="7"/>
      <c r="E983" s="7"/>
      <c r="F983" s="25" t="s">
        <v>170</v>
      </c>
      <c r="G983" s="7">
        <v>640</v>
      </c>
      <c r="H983" s="7" t="s">
        <v>141</v>
      </c>
      <c r="I983" s="23">
        <v>2384</v>
      </c>
      <c r="J983" s="23"/>
      <c r="K983" s="23">
        <f t="shared" ref="K983:K1046" si="353">I983+J983</f>
        <v>2384</v>
      </c>
      <c r="M983" s="23"/>
      <c r="N983" s="23"/>
      <c r="O983" s="86">
        <f t="shared" ref="O983:O1046" si="354">M983+N983</f>
        <v>0</v>
      </c>
      <c r="Q983" s="273">
        <f t="shared" si="351"/>
        <v>2384</v>
      </c>
      <c r="R983" s="86">
        <f t="shared" si="352"/>
        <v>0</v>
      </c>
      <c r="S983" s="86">
        <f t="shared" si="352"/>
        <v>2384</v>
      </c>
    </row>
    <row r="984" spans="2:19" ht="15" x14ac:dyDescent="0.25">
      <c r="B984" s="83">
        <f t="shared" ref="B984:B1047" si="355">B983+1</f>
        <v>388</v>
      </c>
      <c r="C984" s="10"/>
      <c r="D984" s="10"/>
      <c r="E984" s="10">
        <v>8</v>
      </c>
      <c r="F984" s="28"/>
      <c r="G984" s="10"/>
      <c r="H984" s="62" t="s">
        <v>10</v>
      </c>
      <c r="I984" s="63">
        <f>I985+I986+I987+I992</f>
        <v>249963</v>
      </c>
      <c r="J984" s="63">
        <f t="shared" ref="J984" si="356">J985+J986+J987+J992</f>
        <v>0</v>
      </c>
      <c r="K984" s="63">
        <f t="shared" si="353"/>
        <v>249963</v>
      </c>
      <c r="M984" s="38">
        <v>0</v>
      </c>
      <c r="N984" s="38">
        <v>0</v>
      </c>
      <c r="O984" s="94">
        <f t="shared" si="354"/>
        <v>0</v>
      </c>
      <c r="Q984" s="315">
        <f t="shared" si="351"/>
        <v>249963</v>
      </c>
      <c r="R984" s="94">
        <f t="shared" si="352"/>
        <v>0</v>
      </c>
      <c r="S984" s="94">
        <f t="shared" si="352"/>
        <v>249963</v>
      </c>
    </row>
    <row r="985" spans="2:19" x14ac:dyDescent="0.2">
      <c r="B985" s="83">
        <f t="shared" si="355"/>
        <v>389</v>
      </c>
      <c r="C985" s="7"/>
      <c r="D985" s="7"/>
      <c r="E985" s="7"/>
      <c r="F985" s="25" t="s">
        <v>170</v>
      </c>
      <c r="G985" s="7">
        <v>610</v>
      </c>
      <c r="H985" s="7" t="s">
        <v>143</v>
      </c>
      <c r="I985" s="23">
        <f>145644+22365</f>
        <v>168009</v>
      </c>
      <c r="J985" s="23"/>
      <c r="K985" s="23">
        <f t="shared" si="353"/>
        <v>168009</v>
      </c>
      <c r="M985" s="23"/>
      <c r="N985" s="23"/>
      <c r="O985" s="86">
        <f t="shared" si="354"/>
        <v>0</v>
      </c>
      <c r="Q985" s="273">
        <f t="shared" si="351"/>
        <v>168009</v>
      </c>
      <c r="R985" s="86">
        <f t="shared" si="352"/>
        <v>0</v>
      </c>
      <c r="S985" s="86">
        <f t="shared" si="352"/>
        <v>168009</v>
      </c>
    </row>
    <row r="986" spans="2:19" x14ac:dyDescent="0.2">
      <c r="B986" s="83">
        <f t="shared" si="355"/>
        <v>390</v>
      </c>
      <c r="C986" s="7"/>
      <c r="D986" s="7"/>
      <c r="E986" s="7"/>
      <c r="F986" s="25" t="s">
        <v>170</v>
      </c>
      <c r="G986" s="7">
        <v>620</v>
      </c>
      <c r="H986" s="7" t="s">
        <v>136</v>
      </c>
      <c r="I986" s="23">
        <f>50976+7828</f>
        <v>58804</v>
      </c>
      <c r="J986" s="23"/>
      <c r="K986" s="23">
        <f t="shared" si="353"/>
        <v>58804</v>
      </c>
      <c r="M986" s="23"/>
      <c r="N986" s="23"/>
      <c r="O986" s="86">
        <f t="shared" si="354"/>
        <v>0</v>
      </c>
      <c r="Q986" s="273">
        <f t="shared" si="351"/>
        <v>58804</v>
      </c>
      <c r="R986" s="86">
        <f t="shared" si="352"/>
        <v>0</v>
      </c>
      <c r="S986" s="86">
        <f t="shared" si="352"/>
        <v>58804</v>
      </c>
    </row>
    <row r="987" spans="2:19" x14ac:dyDescent="0.2">
      <c r="B987" s="83">
        <f t="shared" si="355"/>
        <v>391</v>
      </c>
      <c r="C987" s="7"/>
      <c r="D987" s="7"/>
      <c r="E987" s="7"/>
      <c r="F987" s="25" t="s">
        <v>170</v>
      </c>
      <c r="G987" s="7">
        <v>630</v>
      </c>
      <c r="H987" s="7" t="s">
        <v>133</v>
      </c>
      <c r="I987" s="23">
        <f>SUM(I988:I991)</f>
        <v>22150</v>
      </c>
      <c r="J987" s="23">
        <f t="shared" ref="J987" si="357">SUM(J988:J991)</f>
        <v>0</v>
      </c>
      <c r="K987" s="23">
        <f t="shared" si="353"/>
        <v>22150</v>
      </c>
      <c r="M987" s="23"/>
      <c r="N987" s="23"/>
      <c r="O987" s="86">
        <f t="shared" si="354"/>
        <v>0</v>
      </c>
      <c r="Q987" s="273">
        <f t="shared" si="351"/>
        <v>22150</v>
      </c>
      <c r="R987" s="86">
        <f t="shared" si="352"/>
        <v>0</v>
      </c>
      <c r="S987" s="86">
        <f t="shared" si="352"/>
        <v>22150</v>
      </c>
    </row>
    <row r="988" spans="2:19" x14ac:dyDescent="0.2">
      <c r="B988" s="83">
        <f t="shared" si="355"/>
        <v>392</v>
      </c>
      <c r="C988" s="3"/>
      <c r="D988" s="3"/>
      <c r="E988" s="3"/>
      <c r="F988" s="26" t="s">
        <v>170</v>
      </c>
      <c r="G988" s="3">
        <v>632</v>
      </c>
      <c r="H988" s="3" t="s">
        <v>146</v>
      </c>
      <c r="I988" s="20">
        <v>16550</v>
      </c>
      <c r="J988" s="20"/>
      <c r="K988" s="20">
        <f t="shared" si="353"/>
        <v>16550</v>
      </c>
      <c r="M988" s="19"/>
      <c r="N988" s="19"/>
      <c r="O988" s="87">
        <f t="shared" si="354"/>
        <v>0</v>
      </c>
      <c r="Q988" s="274">
        <f t="shared" si="351"/>
        <v>16550</v>
      </c>
      <c r="R988" s="87">
        <f t="shared" si="352"/>
        <v>0</v>
      </c>
      <c r="S988" s="87">
        <f t="shared" si="352"/>
        <v>16550</v>
      </c>
    </row>
    <row r="989" spans="2:19" x14ac:dyDescent="0.2">
      <c r="B989" s="83">
        <f t="shared" si="355"/>
        <v>393</v>
      </c>
      <c r="C989" s="3"/>
      <c r="D989" s="3"/>
      <c r="E989" s="3"/>
      <c r="F989" s="26" t="s">
        <v>170</v>
      </c>
      <c r="G989" s="3">
        <v>633</v>
      </c>
      <c r="H989" s="3" t="s">
        <v>137</v>
      </c>
      <c r="I989" s="20">
        <v>700</v>
      </c>
      <c r="J989" s="20"/>
      <c r="K989" s="20">
        <f t="shared" si="353"/>
        <v>700</v>
      </c>
      <c r="M989" s="19"/>
      <c r="N989" s="19"/>
      <c r="O989" s="87">
        <f t="shared" si="354"/>
        <v>0</v>
      </c>
      <c r="Q989" s="274">
        <f t="shared" si="351"/>
        <v>700</v>
      </c>
      <c r="R989" s="87">
        <f t="shared" si="352"/>
        <v>0</v>
      </c>
      <c r="S989" s="87">
        <f t="shared" si="352"/>
        <v>700</v>
      </c>
    </row>
    <row r="990" spans="2:19" x14ac:dyDescent="0.2">
      <c r="B990" s="83">
        <f t="shared" si="355"/>
        <v>394</v>
      </c>
      <c r="C990" s="3"/>
      <c r="D990" s="3"/>
      <c r="E990" s="3"/>
      <c r="F990" s="26" t="s">
        <v>170</v>
      </c>
      <c r="G990" s="3">
        <v>635</v>
      </c>
      <c r="H990" s="3" t="s">
        <v>145</v>
      </c>
      <c r="I990" s="20">
        <v>500</v>
      </c>
      <c r="J990" s="20"/>
      <c r="K990" s="20">
        <f t="shared" si="353"/>
        <v>500</v>
      </c>
      <c r="M990" s="19"/>
      <c r="N990" s="19"/>
      <c r="O990" s="87">
        <f t="shared" si="354"/>
        <v>0</v>
      </c>
      <c r="Q990" s="274">
        <f t="shared" si="351"/>
        <v>500</v>
      </c>
      <c r="R990" s="87">
        <f t="shared" si="352"/>
        <v>0</v>
      </c>
      <c r="S990" s="87">
        <f t="shared" si="352"/>
        <v>500</v>
      </c>
    </row>
    <row r="991" spans="2:19" x14ac:dyDescent="0.2">
      <c r="B991" s="83">
        <f t="shared" si="355"/>
        <v>395</v>
      </c>
      <c r="C991" s="3"/>
      <c r="D991" s="3"/>
      <c r="E991" s="3"/>
      <c r="F991" s="26" t="s">
        <v>170</v>
      </c>
      <c r="G991" s="3">
        <v>637</v>
      </c>
      <c r="H991" s="3" t="s">
        <v>134</v>
      </c>
      <c r="I991" s="20">
        <v>4400</v>
      </c>
      <c r="J991" s="20"/>
      <c r="K991" s="20">
        <f t="shared" si="353"/>
        <v>4400</v>
      </c>
      <c r="M991" s="19"/>
      <c r="N991" s="19"/>
      <c r="O991" s="87">
        <f t="shared" si="354"/>
        <v>0</v>
      </c>
      <c r="Q991" s="274">
        <f t="shared" si="351"/>
        <v>4400</v>
      </c>
      <c r="R991" s="87">
        <f t="shared" si="352"/>
        <v>0</v>
      </c>
      <c r="S991" s="87">
        <f t="shared" si="352"/>
        <v>4400</v>
      </c>
    </row>
    <row r="992" spans="2:19" x14ac:dyDescent="0.2">
      <c r="B992" s="83">
        <f t="shared" si="355"/>
        <v>396</v>
      </c>
      <c r="C992" s="7"/>
      <c r="D992" s="7"/>
      <c r="E992" s="7"/>
      <c r="F992" s="25" t="s">
        <v>170</v>
      </c>
      <c r="G992" s="7">
        <v>640</v>
      </c>
      <c r="H992" s="7" t="s">
        <v>141</v>
      </c>
      <c r="I992" s="23">
        <v>1000</v>
      </c>
      <c r="J992" s="23"/>
      <c r="K992" s="23">
        <f t="shared" si="353"/>
        <v>1000</v>
      </c>
      <c r="M992" s="23"/>
      <c r="N992" s="23"/>
      <c r="O992" s="86">
        <f t="shared" si="354"/>
        <v>0</v>
      </c>
      <c r="Q992" s="273">
        <f t="shared" si="351"/>
        <v>1000</v>
      </c>
      <c r="R992" s="86">
        <f t="shared" si="352"/>
        <v>0</v>
      </c>
      <c r="S992" s="86">
        <f t="shared" si="352"/>
        <v>1000</v>
      </c>
    </row>
    <row r="993" spans="2:19" ht="15" x14ac:dyDescent="0.25">
      <c r="B993" s="83">
        <f t="shared" si="355"/>
        <v>397</v>
      </c>
      <c r="C993" s="10"/>
      <c r="D993" s="10"/>
      <c r="E993" s="10">
        <v>9</v>
      </c>
      <c r="F993" s="28"/>
      <c r="G993" s="10"/>
      <c r="H993" s="10" t="s">
        <v>8</v>
      </c>
      <c r="I993" s="38">
        <f>I994+I995+I996</f>
        <v>86617</v>
      </c>
      <c r="J993" s="38">
        <f t="shared" ref="J993" si="358">J994+J995+J996</f>
        <v>0</v>
      </c>
      <c r="K993" s="38">
        <f t="shared" si="353"/>
        <v>86617</v>
      </c>
      <c r="M993" s="38">
        <v>0</v>
      </c>
      <c r="N993" s="38">
        <v>0</v>
      </c>
      <c r="O993" s="94">
        <f t="shared" si="354"/>
        <v>0</v>
      </c>
      <c r="Q993" s="315">
        <f t="shared" si="351"/>
        <v>86617</v>
      </c>
      <c r="R993" s="94">
        <f t="shared" si="352"/>
        <v>0</v>
      </c>
      <c r="S993" s="94">
        <f t="shared" si="352"/>
        <v>86617</v>
      </c>
    </row>
    <row r="994" spans="2:19" x14ac:dyDescent="0.2">
      <c r="B994" s="83">
        <f t="shared" si="355"/>
        <v>398</v>
      </c>
      <c r="C994" s="7"/>
      <c r="D994" s="7"/>
      <c r="E994" s="7"/>
      <c r="F994" s="25" t="s">
        <v>170</v>
      </c>
      <c r="G994" s="7">
        <v>610</v>
      </c>
      <c r="H994" s="7" t="s">
        <v>143</v>
      </c>
      <c r="I994" s="23">
        <f>52650+4050</f>
        <v>56700</v>
      </c>
      <c r="J994" s="23"/>
      <c r="K994" s="23">
        <f t="shared" si="353"/>
        <v>56700</v>
      </c>
      <c r="M994" s="23"/>
      <c r="N994" s="23"/>
      <c r="O994" s="86">
        <f t="shared" si="354"/>
        <v>0</v>
      </c>
      <c r="Q994" s="273">
        <f t="shared" si="351"/>
        <v>56700</v>
      </c>
      <c r="R994" s="86">
        <f t="shared" si="352"/>
        <v>0</v>
      </c>
      <c r="S994" s="86">
        <f t="shared" si="352"/>
        <v>56700</v>
      </c>
    </row>
    <row r="995" spans="2:19" x14ac:dyDescent="0.2">
      <c r="B995" s="83">
        <f t="shared" si="355"/>
        <v>399</v>
      </c>
      <c r="C995" s="7"/>
      <c r="D995" s="7"/>
      <c r="E995" s="7"/>
      <c r="F995" s="25" t="s">
        <v>170</v>
      </c>
      <c r="G995" s="7">
        <v>620</v>
      </c>
      <c r="H995" s="7" t="s">
        <v>136</v>
      </c>
      <c r="I995" s="23">
        <f>19005+1412</f>
        <v>20417</v>
      </c>
      <c r="J995" s="23"/>
      <c r="K995" s="23">
        <f t="shared" si="353"/>
        <v>20417</v>
      </c>
      <c r="M995" s="23"/>
      <c r="N995" s="23"/>
      <c r="O995" s="86">
        <f t="shared" si="354"/>
        <v>0</v>
      </c>
      <c r="Q995" s="273">
        <f t="shared" si="351"/>
        <v>20417</v>
      </c>
      <c r="R995" s="86">
        <f t="shared" si="352"/>
        <v>0</v>
      </c>
      <c r="S995" s="86">
        <f t="shared" si="352"/>
        <v>20417</v>
      </c>
    </row>
    <row r="996" spans="2:19" x14ac:dyDescent="0.2">
      <c r="B996" s="83">
        <f t="shared" si="355"/>
        <v>400</v>
      </c>
      <c r="C996" s="7"/>
      <c r="D996" s="7"/>
      <c r="E996" s="7"/>
      <c r="F996" s="25" t="s">
        <v>170</v>
      </c>
      <c r="G996" s="7">
        <v>630</v>
      </c>
      <c r="H996" s="7" t="s">
        <v>133</v>
      </c>
      <c r="I996" s="23">
        <f>SUM(I997:I1000)</f>
        <v>9500</v>
      </c>
      <c r="J996" s="23">
        <f t="shared" ref="J996" si="359">SUM(J997:J1000)</f>
        <v>0</v>
      </c>
      <c r="K996" s="23">
        <f t="shared" si="353"/>
        <v>9500</v>
      </c>
      <c r="M996" s="23"/>
      <c r="N996" s="23"/>
      <c r="O996" s="86">
        <f t="shared" si="354"/>
        <v>0</v>
      </c>
      <c r="Q996" s="273">
        <f t="shared" si="351"/>
        <v>9500</v>
      </c>
      <c r="R996" s="86">
        <f t="shared" si="352"/>
        <v>0</v>
      </c>
      <c r="S996" s="86">
        <f t="shared" si="352"/>
        <v>9500</v>
      </c>
    </row>
    <row r="997" spans="2:19" x14ac:dyDescent="0.2">
      <c r="B997" s="83">
        <f t="shared" si="355"/>
        <v>401</v>
      </c>
      <c r="C997" s="3"/>
      <c r="D997" s="3"/>
      <c r="E997" s="3"/>
      <c r="F997" s="26" t="s">
        <v>170</v>
      </c>
      <c r="G997" s="3">
        <v>632</v>
      </c>
      <c r="H997" s="3" t="s">
        <v>146</v>
      </c>
      <c r="I997" s="19">
        <v>2220</v>
      </c>
      <c r="J997" s="19"/>
      <c r="K997" s="19">
        <f t="shared" si="353"/>
        <v>2220</v>
      </c>
      <c r="M997" s="19"/>
      <c r="N997" s="19"/>
      <c r="O997" s="87">
        <f t="shared" si="354"/>
        <v>0</v>
      </c>
      <c r="Q997" s="274">
        <f t="shared" si="351"/>
        <v>2220</v>
      </c>
      <c r="R997" s="87">
        <f t="shared" si="352"/>
        <v>0</v>
      </c>
      <c r="S997" s="87">
        <f t="shared" si="352"/>
        <v>2220</v>
      </c>
    </row>
    <row r="998" spans="2:19" x14ac:dyDescent="0.2">
      <c r="B998" s="83">
        <f t="shared" si="355"/>
        <v>402</v>
      </c>
      <c r="C998" s="3"/>
      <c r="D998" s="3"/>
      <c r="E998" s="3"/>
      <c r="F998" s="26" t="s">
        <v>170</v>
      </c>
      <c r="G998" s="3">
        <v>633</v>
      </c>
      <c r="H998" s="3" t="s">
        <v>137</v>
      </c>
      <c r="I998" s="19">
        <v>1250</v>
      </c>
      <c r="J998" s="19"/>
      <c r="K998" s="19">
        <f t="shared" si="353"/>
        <v>1250</v>
      </c>
      <c r="M998" s="19"/>
      <c r="N998" s="19"/>
      <c r="O998" s="87">
        <f t="shared" si="354"/>
        <v>0</v>
      </c>
      <c r="Q998" s="274">
        <f t="shared" si="351"/>
        <v>1250</v>
      </c>
      <c r="R998" s="87">
        <f t="shared" ref="R998:S1013" si="360">J998+N998</f>
        <v>0</v>
      </c>
      <c r="S998" s="87">
        <f t="shared" si="360"/>
        <v>1250</v>
      </c>
    </row>
    <row r="999" spans="2:19" x14ac:dyDescent="0.2">
      <c r="B999" s="83">
        <f t="shared" si="355"/>
        <v>403</v>
      </c>
      <c r="C999" s="3"/>
      <c r="D999" s="3"/>
      <c r="E999" s="3"/>
      <c r="F999" s="26" t="s">
        <v>170</v>
      </c>
      <c r="G999" s="3">
        <v>635</v>
      </c>
      <c r="H999" s="3" t="s">
        <v>145</v>
      </c>
      <c r="I999" s="19">
        <v>4680</v>
      </c>
      <c r="J999" s="19"/>
      <c r="K999" s="19">
        <f t="shared" si="353"/>
        <v>4680</v>
      </c>
      <c r="M999" s="19"/>
      <c r="N999" s="19"/>
      <c r="O999" s="87">
        <f t="shared" si="354"/>
        <v>0</v>
      </c>
      <c r="Q999" s="274">
        <f t="shared" si="351"/>
        <v>4680</v>
      </c>
      <c r="R999" s="87">
        <f t="shared" si="360"/>
        <v>0</v>
      </c>
      <c r="S999" s="87">
        <f t="shared" si="360"/>
        <v>4680</v>
      </c>
    </row>
    <row r="1000" spans="2:19" x14ac:dyDescent="0.2">
      <c r="B1000" s="83">
        <f t="shared" si="355"/>
        <v>404</v>
      </c>
      <c r="C1000" s="3"/>
      <c r="D1000" s="3"/>
      <c r="E1000" s="3"/>
      <c r="F1000" s="26" t="s">
        <v>170</v>
      </c>
      <c r="G1000" s="3">
        <v>637</v>
      </c>
      <c r="H1000" s="3" t="s">
        <v>134</v>
      </c>
      <c r="I1000" s="19">
        <v>1350</v>
      </c>
      <c r="J1000" s="19"/>
      <c r="K1000" s="19">
        <f t="shared" si="353"/>
        <v>1350</v>
      </c>
      <c r="M1000" s="19"/>
      <c r="N1000" s="19"/>
      <c r="O1000" s="87">
        <f t="shared" si="354"/>
        <v>0</v>
      </c>
      <c r="Q1000" s="274">
        <f t="shared" si="351"/>
        <v>1350</v>
      </c>
      <c r="R1000" s="87">
        <f t="shared" si="360"/>
        <v>0</v>
      </c>
      <c r="S1000" s="87">
        <f t="shared" si="360"/>
        <v>1350</v>
      </c>
    </row>
    <row r="1001" spans="2:19" ht="15" x14ac:dyDescent="0.25">
      <c r="B1001" s="83">
        <f t="shared" si="355"/>
        <v>405</v>
      </c>
      <c r="C1001" s="10"/>
      <c r="D1001" s="10"/>
      <c r="E1001" s="10">
        <v>10</v>
      </c>
      <c r="F1001" s="28"/>
      <c r="G1001" s="10"/>
      <c r="H1001" s="10" t="s">
        <v>2</v>
      </c>
      <c r="I1001" s="38">
        <f>I1002+I1003+I1004+I1008</f>
        <v>85140</v>
      </c>
      <c r="J1001" s="38">
        <f t="shared" ref="J1001" si="361">J1002+J1003+J1004+J1008</f>
        <v>0</v>
      </c>
      <c r="K1001" s="38">
        <f t="shared" si="353"/>
        <v>85140</v>
      </c>
      <c r="M1001" s="38">
        <v>0</v>
      </c>
      <c r="N1001" s="38">
        <v>0</v>
      </c>
      <c r="O1001" s="94">
        <f t="shared" si="354"/>
        <v>0</v>
      </c>
      <c r="Q1001" s="315">
        <f t="shared" si="351"/>
        <v>85140</v>
      </c>
      <c r="R1001" s="94">
        <f t="shared" si="360"/>
        <v>0</v>
      </c>
      <c r="S1001" s="94">
        <f t="shared" si="360"/>
        <v>85140</v>
      </c>
    </row>
    <row r="1002" spans="2:19" x14ac:dyDescent="0.2">
      <c r="B1002" s="83">
        <f t="shared" si="355"/>
        <v>406</v>
      </c>
      <c r="C1002" s="7"/>
      <c r="D1002" s="7"/>
      <c r="E1002" s="7"/>
      <c r="F1002" s="25" t="s">
        <v>170</v>
      </c>
      <c r="G1002" s="7">
        <v>610</v>
      </c>
      <c r="H1002" s="7" t="s">
        <v>143</v>
      </c>
      <c r="I1002" s="23">
        <f>52100+3630</f>
        <v>55730</v>
      </c>
      <c r="J1002" s="23"/>
      <c r="K1002" s="23">
        <f t="shared" si="353"/>
        <v>55730</v>
      </c>
      <c r="M1002" s="23"/>
      <c r="N1002" s="23"/>
      <c r="O1002" s="86">
        <f t="shared" si="354"/>
        <v>0</v>
      </c>
      <c r="Q1002" s="273">
        <f t="shared" si="351"/>
        <v>55730</v>
      </c>
      <c r="R1002" s="86">
        <f t="shared" si="360"/>
        <v>0</v>
      </c>
      <c r="S1002" s="86">
        <f t="shared" si="360"/>
        <v>55730</v>
      </c>
    </row>
    <row r="1003" spans="2:19" x14ac:dyDescent="0.2">
      <c r="B1003" s="83">
        <f t="shared" si="355"/>
        <v>407</v>
      </c>
      <c r="C1003" s="7"/>
      <c r="D1003" s="7"/>
      <c r="E1003" s="7"/>
      <c r="F1003" s="25" t="s">
        <v>170</v>
      </c>
      <c r="G1003" s="7">
        <v>620</v>
      </c>
      <c r="H1003" s="7" t="s">
        <v>136</v>
      </c>
      <c r="I1003" s="23">
        <f>18210+1270</f>
        <v>19480</v>
      </c>
      <c r="J1003" s="23"/>
      <c r="K1003" s="23">
        <f t="shared" si="353"/>
        <v>19480</v>
      </c>
      <c r="M1003" s="23"/>
      <c r="N1003" s="23"/>
      <c r="O1003" s="86">
        <f t="shared" si="354"/>
        <v>0</v>
      </c>
      <c r="Q1003" s="273">
        <f t="shared" si="351"/>
        <v>19480</v>
      </c>
      <c r="R1003" s="86">
        <f t="shared" si="360"/>
        <v>0</v>
      </c>
      <c r="S1003" s="86">
        <f t="shared" si="360"/>
        <v>19480</v>
      </c>
    </row>
    <row r="1004" spans="2:19" x14ac:dyDescent="0.2">
      <c r="B1004" s="83">
        <f t="shared" si="355"/>
        <v>408</v>
      </c>
      <c r="C1004" s="7"/>
      <c r="D1004" s="7"/>
      <c r="E1004" s="7"/>
      <c r="F1004" s="25" t="s">
        <v>170</v>
      </c>
      <c r="G1004" s="7">
        <v>630</v>
      </c>
      <c r="H1004" s="7" t="s">
        <v>133</v>
      </c>
      <c r="I1004" s="23">
        <f>SUM(I1005:I1007)</f>
        <v>9430</v>
      </c>
      <c r="J1004" s="23">
        <f t="shared" ref="J1004" si="362">SUM(J1005:J1007)</f>
        <v>0</v>
      </c>
      <c r="K1004" s="23">
        <f t="shared" si="353"/>
        <v>9430</v>
      </c>
      <c r="M1004" s="23"/>
      <c r="N1004" s="23"/>
      <c r="O1004" s="86">
        <f t="shared" si="354"/>
        <v>0</v>
      </c>
      <c r="Q1004" s="273">
        <f t="shared" si="351"/>
        <v>9430</v>
      </c>
      <c r="R1004" s="86">
        <f t="shared" si="360"/>
        <v>0</v>
      </c>
      <c r="S1004" s="86">
        <f t="shared" si="360"/>
        <v>9430</v>
      </c>
    </row>
    <row r="1005" spans="2:19" x14ac:dyDescent="0.2">
      <c r="B1005" s="83">
        <f t="shared" si="355"/>
        <v>409</v>
      </c>
      <c r="C1005" s="3"/>
      <c r="D1005" s="3"/>
      <c r="E1005" s="3"/>
      <c r="F1005" s="26" t="s">
        <v>170</v>
      </c>
      <c r="G1005" s="3">
        <v>632</v>
      </c>
      <c r="H1005" s="3" t="s">
        <v>146</v>
      </c>
      <c r="I1005" s="19">
        <v>2700</v>
      </c>
      <c r="J1005" s="19"/>
      <c r="K1005" s="19">
        <f t="shared" si="353"/>
        <v>2700</v>
      </c>
      <c r="M1005" s="19"/>
      <c r="N1005" s="19"/>
      <c r="O1005" s="87">
        <f t="shared" si="354"/>
        <v>0</v>
      </c>
      <c r="Q1005" s="274">
        <f t="shared" si="351"/>
        <v>2700</v>
      </c>
      <c r="R1005" s="87">
        <f t="shared" si="360"/>
        <v>0</v>
      </c>
      <c r="S1005" s="87">
        <f t="shared" si="360"/>
        <v>2700</v>
      </c>
    </row>
    <row r="1006" spans="2:19" x14ac:dyDescent="0.2">
      <c r="B1006" s="83">
        <f t="shared" si="355"/>
        <v>410</v>
      </c>
      <c r="C1006" s="3"/>
      <c r="D1006" s="3"/>
      <c r="E1006" s="3"/>
      <c r="F1006" s="26" t="s">
        <v>170</v>
      </c>
      <c r="G1006" s="3">
        <v>633</v>
      </c>
      <c r="H1006" s="3" t="s">
        <v>137</v>
      </c>
      <c r="I1006" s="19">
        <v>4030</v>
      </c>
      <c r="J1006" s="19"/>
      <c r="K1006" s="19">
        <f t="shared" si="353"/>
        <v>4030</v>
      </c>
      <c r="M1006" s="19"/>
      <c r="N1006" s="19"/>
      <c r="O1006" s="87">
        <f t="shared" si="354"/>
        <v>0</v>
      </c>
      <c r="Q1006" s="274">
        <f t="shared" si="351"/>
        <v>4030</v>
      </c>
      <c r="R1006" s="87">
        <f t="shared" si="360"/>
        <v>0</v>
      </c>
      <c r="S1006" s="87">
        <f t="shared" si="360"/>
        <v>4030</v>
      </c>
    </row>
    <row r="1007" spans="2:19" x14ac:dyDescent="0.2">
      <c r="B1007" s="83">
        <f t="shared" si="355"/>
        <v>411</v>
      </c>
      <c r="C1007" s="3"/>
      <c r="D1007" s="3"/>
      <c r="E1007" s="3"/>
      <c r="F1007" s="26" t="s">
        <v>170</v>
      </c>
      <c r="G1007" s="3">
        <v>637</v>
      </c>
      <c r="H1007" s="3" t="s">
        <v>134</v>
      </c>
      <c r="I1007" s="19">
        <v>2700</v>
      </c>
      <c r="J1007" s="19"/>
      <c r="K1007" s="19">
        <f t="shared" si="353"/>
        <v>2700</v>
      </c>
      <c r="M1007" s="19"/>
      <c r="N1007" s="19"/>
      <c r="O1007" s="87">
        <f t="shared" si="354"/>
        <v>0</v>
      </c>
      <c r="Q1007" s="274">
        <f t="shared" si="351"/>
        <v>2700</v>
      </c>
      <c r="R1007" s="87">
        <f t="shared" si="360"/>
        <v>0</v>
      </c>
      <c r="S1007" s="87">
        <f t="shared" si="360"/>
        <v>2700</v>
      </c>
    </row>
    <row r="1008" spans="2:19" x14ac:dyDescent="0.2">
      <c r="B1008" s="83">
        <f t="shared" si="355"/>
        <v>412</v>
      </c>
      <c r="C1008" s="7"/>
      <c r="D1008" s="7"/>
      <c r="E1008" s="7"/>
      <c r="F1008" s="25" t="s">
        <v>170</v>
      </c>
      <c r="G1008" s="7">
        <v>640</v>
      </c>
      <c r="H1008" s="7" t="s">
        <v>141</v>
      </c>
      <c r="I1008" s="23">
        <v>500</v>
      </c>
      <c r="J1008" s="23"/>
      <c r="K1008" s="23">
        <f t="shared" si="353"/>
        <v>500</v>
      </c>
      <c r="M1008" s="23"/>
      <c r="N1008" s="23"/>
      <c r="O1008" s="86">
        <f t="shared" si="354"/>
        <v>0</v>
      </c>
      <c r="Q1008" s="273">
        <f t="shared" si="351"/>
        <v>500</v>
      </c>
      <c r="R1008" s="86">
        <f t="shared" si="360"/>
        <v>0</v>
      </c>
      <c r="S1008" s="86">
        <f t="shared" si="360"/>
        <v>500</v>
      </c>
    </row>
    <row r="1009" spans="2:19" ht="15" x14ac:dyDescent="0.25">
      <c r="B1009" s="83">
        <f t="shared" si="355"/>
        <v>413</v>
      </c>
      <c r="C1009" s="10"/>
      <c r="D1009" s="10"/>
      <c r="E1009" s="10">
        <v>11</v>
      </c>
      <c r="F1009" s="28"/>
      <c r="G1009" s="10"/>
      <c r="H1009" s="10" t="s">
        <v>11</v>
      </c>
      <c r="I1009" s="38">
        <f>I1010+I1011+I1012+I1016</f>
        <v>142144</v>
      </c>
      <c r="J1009" s="38">
        <f t="shared" ref="J1009" si="363">J1010+J1011+J1012+J1016</f>
        <v>0</v>
      </c>
      <c r="K1009" s="38">
        <f t="shared" si="353"/>
        <v>142144</v>
      </c>
      <c r="M1009" s="38">
        <v>0</v>
      </c>
      <c r="N1009" s="38">
        <v>0</v>
      </c>
      <c r="O1009" s="94">
        <f t="shared" si="354"/>
        <v>0</v>
      </c>
      <c r="Q1009" s="315">
        <f t="shared" si="351"/>
        <v>142144</v>
      </c>
      <c r="R1009" s="94">
        <f t="shared" si="360"/>
        <v>0</v>
      </c>
      <c r="S1009" s="94">
        <f t="shared" si="360"/>
        <v>142144</v>
      </c>
    </row>
    <row r="1010" spans="2:19" x14ac:dyDescent="0.2">
      <c r="B1010" s="83">
        <f t="shared" si="355"/>
        <v>414</v>
      </c>
      <c r="C1010" s="7"/>
      <c r="D1010" s="7"/>
      <c r="E1010" s="7"/>
      <c r="F1010" s="25" t="s">
        <v>170</v>
      </c>
      <c r="G1010" s="7">
        <v>610</v>
      </c>
      <c r="H1010" s="7" t="s">
        <v>143</v>
      </c>
      <c r="I1010" s="23">
        <f>83900+11766</f>
        <v>95666</v>
      </c>
      <c r="J1010" s="23"/>
      <c r="K1010" s="23">
        <f t="shared" si="353"/>
        <v>95666</v>
      </c>
      <c r="M1010" s="23"/>
      <c r="N1010" s="23"/>
      <c r="O1010" s="86">
        <f t="shared" si="354"/>
        <v>0</v>
      </c>
      <c r="Q1010" s="273">
        <f t="shared" si="351"/>
        <v>95666</v>
      </c>
      <c r="R1010" s="86">
        <f t="shared" si="360"/>
        <v>0</v>
      </c>
      <c r="S1010" s="86">
        <f t="shared" si="360"/>
        <v>95666</v>
      </c>
    </row>
    <row r="1011" spans="2:19" x14ac:dyDescent="0.2">
      <c r="B1011" s="83">
        <f t="shared" si="355"/>
        <v>415</v>
      </c>
      <c r="C1011" s="7"/>
      <c r="D1011" s="7"/>
      <c r="E1011" s="7"/>
      <c r="F1011" s="25" t="s">
        <v>170</v>
      </c>
      <c r="G1011" s="7">
        <v>620</v>
      </c>
      <c r="H1011" s="7" t="s">
        <v>136</v>
      </c>
      <c r="I1011" s="23">
        <f>29360+4118</f>
        <v>33478</v>
      </c>
      <c r="J1011" s="23"/>
      <c r="K1011" s="23">
        <f t="shared" si="353"/>
        <v>33478</v>
      </c>
      <c r="M1011" s="23"/>
      <c r="N1011" s="23"/>
      <c r="O1011" s="86">
        <f t="shared" si="354"/>
        <v>0</v>
      </c>
      <c r="Q1011" s="273">
        <f t="shared" si="351"/>
        <v>33478</v>
      </c>
      <c r="R1011" s="86">
        <f t="shared" si="360"/>
        <v>0</v>
      </c>
      <c r="S1011" s="86">
        <f t="shared" si="360"/>
        <v>33478</v>
      </c>
    </row>
    <row r="1012" spans="2:19" x14ac:dyDescent="0.2">
      <c r="B1012" s="83">
        <f t="shared" si="355"/>
        <v>416</v>
      </c>
      <c r="C1012" s="7"/>
      <c r="D1012" s="7"/>
      <c r="E1012" s="7"/>
      <c r="F1012" s="25" t="s">
        <v>170</v>
      </c>
      <c r="G1012" s="7">
        <v>630</v>
      </c>
      <c r="H1012" s="7" t="s">
        <v>133</v>
      </c>
      <c r="I1012" s="23">
        <f>SUM(I1013:I1015)</f>
        <v>12000</v>
      </c>
      <c r="J1012" s="23">
        <f t="shared" ref="J1012" si="364">SUM(J1013:J1015)</f>
        <v>0</v>
      </c>
      <c r="K1012" s="23">
        <f t="shared" si="353"/>
        <v>12000</v>
      </c>
      <c r="M1012" s="23"/>
      <c r="N1012" s="23"/>
      <c r="O1012" s="86">
        <f t="shared" si="354"/>
        <v>0</v>
      </c>
      <c r="Q1012" s="273">
        <f t="shared" si="351"/>
        <v>12000</v>
      </c>
      <c r="R1012" s="86">
        <f t="shared" si="360"/>
        <v>0</v>
      </c>
      <c r="S1012" s="86">
        <f t="shared" si="360"/>
        <v>12000</v>
      </c>
    </row>
    <row r="1013" spans="2:19" x14ac:dyDescent="0.2">
      <c r="B1013" s="83">
        <f t="shared" si="355"/>
        <v>417</v>
      </c>
      <c r="C1013" s="3"/>
      <c r="D1013" s="3"/>
      <c r="E1013" s="3"/>
      <c r="F1013" s="26" t="s">
        <v>170</v>
      </c>
      <c r="G1013" s="3">
        <v>632</v>
      </c>
      <c r="H1013" s="3" t="s">
        <v>146</v>
      </c>
      <c r="I1013" s="19">
        <v>2300</v>
      </c>
      <c r="J1013" s="19"/>
      <c r="K1013" s="19">
        <f t="shared" si="353"/>
        <v>2300</v>
      </c>
      <c r="M1013" s="19"/>
      <c r="N1013" s="19"/>
      <c r="O1013" s="87">
        <f t="shared" si="354"/>
        <v>0</v>
      </c>
      <c r="Q1013" s="274">
        <f t="shared" si="351"/>
        <v>2300</v>
      </c>
      <c r="R1013" s="87">
        <f t="shared" si="360"/>
        <v>0</v>
      </c>
      <c r="S1013" s="87">
        <f t="shared" si="360"/>
        <v>2300</v>
      </c>
    </row>
    <row r="1014" spans="2:19" x14ac:dyDescent="0.2">
      <c r="B1014" s="83">
        <f t="shared" si="355"/>
        <v>418</v>
      </c>
      <c r="C1014" s="3"/>
      <c r="D1014" s="3"/>
      <c r="E1014" s="3"/>
      <c r="F1014" s="26" t="s">
        <v>170</v>
      </c>
      <c r="G1014" s="3">
        <v>633</v>
      </c>
      <c r="H1014" s="3" t="s">
        <v>137</v>
      </c>
      <c r="I1014" s="19">
        <v>6300</v>
      </c>
      <c r="J1014" s="19"/>
      <c r="K1014" s="19">
        <f t="shared" si="353"/>
        <v>6300</v>
      </c>
      <c r="M1014" s="19"/>
      <c r="N1014" s="19"/>
      <c r="O1014" s="87">
        <f t="shared" si="354"/>
        <v>0</v>
      </c>
      <c r="Q1014" s="274">
        <f t="shared" si="351"/>
        <v>6300</v>
      </c>
      <c r="R1014" s="87">
        <f t="shared" ref="R1014:S1029" si="365">J1014+N1014</f>
        <v>0</v>
      </c>
      <c r="S1014" s="87">
        <f t="shared" si="365"/>
        <v>6300</v>
      </c>
    </row>
    <row r="1015" spans="2:19" x14ac:dyDescent="0.2">
      <c r="B1015" s="83">
        <f t="shared" si="355"/>
        <v>419</v>
      </c>
      <c r="C1015" s="3"/>
      <c r="D1015" s="3"/>
      <c r="E1015" s="3"/>
      <c r="F1015" s="26" t="s">
        <v>170</v>
      </c>
      <c r="G1015" s="3">
        <v>637</v>
      </c>
      <c r="H1015" s="3" t="s">
        <v>134</v>
      </c>
      <c r="I1015" s="19">
        <v>3400</v>
      </c>
      <c r="J1015" s="19"/>
      <c r="K1015" s="19">
        <f t="shared" si="353"/>
        <v>3400</v>
      </c>
      <c r="M1015" s="19"/>
      <c r="N1015" s="19"/>
      <c r="O1015" s="87">
        <f t="shared" si="354"/>
        <v>0</v>
      </c>
      <c r="Q1015" s="274">
        <f t="shared" si="351"/>
        <v>3400</v>
      </c>
      <c r="R1015" s="87">
        <f t="shared" si="365"/>
        <v>0</v>
      </c>
      <c r="S1015" s="87">
        <f t="shared" si="365"/>
        <v>3400</v>
      </c>
    </row>
    <row r="1016" spans="2:19" x14ac:dyDescent="0.2">
      <c r="B1016" s="83">
        <f t="shared" si="355"/>
        <v>420</v>
      </c>
      <c r="C1016" s="7"/>
      <c r="D1016" s="7"/>
      <c r="E1016" s="7"/>
      <c r="F1016" s="25" t="s">
        <v>170</v>
      </c>
      <c r="G1016" s="7">
        <v>640</v>
      </c>
      <c r="H1016" s="7" t="s">
        <v>141</v>
      </c>
      <c r="I1016" s="23">
        <v>1000</v>
      </c>
      <c r="J1016" s="23"/>
      <c r="K1016" s="23">
        <f t="shared" si="353"/>
        <v>1000</v>
      </c>
      <c r="M1016" s="23"/>
      <c r="N1016" s="23"/>
      <c r="O1016" s="86">
        <f t="shared" si="354"/>
        <v>0</v>
      </c>
      <c r="Q1016" s="273">
        <f t="shared" si="351"/>
        <v>1000</v>
      </c>
      <c r="R1016" s="86">
        <f t="shared" si="365"/>
        <v>0</v>
      </c>
      <c r="S1016" s="86">
        <f t="shared" si="365"/>
        <v>1000</v>
      </c>
    </row>
    <row r="1017" spans="2:19" ht="15" x14ac:dyDescent="0.25">
      <c r="B1017" s="83">
        <f t="shared" si="355"/>
        <v>421</v>
      </c>
      <c r="C1017" s="10"/>
      <c r="D1017" s="10"/>
      <c r="E1017" s="10">
        <v>12</v>
      </c>
      <c r="F1017" s="28"/>
      <c r="G1017" s="10"/>
      <c r="H1017" s="10" t="s">
        <v>9</v>
      </c>
      <c r="I1017" s="38">
        <f>I1018+I1019+I1020+I1024</f>
        <v>138250</v>
      </c>
      <c r="J1017" s="38">
        <f t="shared" ref="J1017" si="366">J1018+J1019+J1020+J1024</f>
        <v>0</v>
      </c>
      <c r="K1017" s="38">
        <f t="shared" si="353"/>
        <v>138250</v>
      </c>
      <c r="M1017" s="38">
        <v>0</v>
      </c>
      <c r="N1017" s="38">
        <v>0</v>
      </c>
      <c r="O1017" s="94">
        <f t="shared" si="354"/>
        <v>0</v>
      </c>
      <c r="Q1017" s="315">
        <f t="shared" si="351"/>
        <v>138250</v>
      </c>
      <c r="R1017" s="94">
        <f t="shared" si="365"/>
        <v>0</v>
      </c>
      <c r="S1017" s="94">
        <f t="shared" si="365"/>
        <v>138250</v>
      </c>
    </row>
    <row r="1018" spans="2:19" x14ac:dyDescent="0.2">
      <c r="B1018" s="83">
        <f t="shared" si="355"/>
        <v>422</v>
      </c>
      <c r="C1018" s="7"/>
      <c r="D1018" s="7"/>
      <c r="E1018" s="7"/>
      <c r="F1018" s="25" t="s">
        <v>170</v>
      </c>
      <c r="G1018" s="7">
        <v>610</v>
      </c>
      <c r="H1018" s="7" t="s">
        <v>143</v>
      </c>
      <c r="I1018" s="23">
        <v>92700</v>
      </c>
      <c r="J1018" s="23"/>
      <c r="K1018" s="23">
        <f t="shared" si="353"/>
        <v>92700</v>
      </c>
      <c r="M1018" s="23"/>
      <c r="N1018" s="23"/>
      <c r="O1018" s="86">
        <f t="shared" si="354"/>
        <v>0</v>
      </c>
      <c r="Q1018" s="273">
        <f t="shared" si="351"/>
        <v>92700</v>
      </c>
      <c r="R1018" s="86">
        <f t="shared" si="365"/>
        <v>0</v>
      </c>
      <c r="S1018" s="86">
        <f t="shared" si="365"/>
        <v>92700</v>
      </c>
    </row>
    <row r="1019" spans="2:19" x14ac:dyDescent="0.2">
      <c r="B1019" s="83">
        <f t="shared" si="355"/>
        <v>423</v>
      </c>
      <c r="C1019" s="7"/>
      <c r="D1019" s="7"/>
      <c r="E1019" s="7"/>
      <c r="F1019" s="25" t="s">
        <v>170</v>
      </c>
      <c r="G1019" s="7">
        <v>620</v>
      </c>
      <c r="H1019" s="7" t="s">
        <v>136</v>
      </c>
      <c r="I1019" s="23">
        <v>33450</v>
      </c>
      <c r="J1019" s="23"/>
      <c r="K1019" s="23">
        <f t="shared" si="353"/>
        <v>33450</v>
      </c>
      <c r="M1019" s="23"/>
      <c r="N1019" s="23"/>
      <c r="O1019" s="86">
        <f t="shared" si="354"/>
        <v>0</v>
      </c>
      <c r="Q1019" s="273">
        <f t="shared" si="351"/>
        <v>33450</v>
      </c>
      <c r="R1019" s="86">
        <f t="shared" si="365"/>
        <v>0</v>
      </c>
      <c r="S1019" s="86">
        <f t="shared" si="365"/>
        <v>33450</v>
      </c>
    </row>
    <row r="1020" spans="2:19" x14ac:dyDescent="0.2">
      <c r="B1020" s="83">
        <f t="shared" si="355"/>
        <v>424</v>
      </c>
      <c r="C1020" s="7"/>
      <c r="D1020" s="7"/>
      <c r="E1020" s="7"/>
      <c r="F1020" s="25" t="s">
        <v>170</v>
      </c>
      <c r="G1020" s="7">
        <v>630</v>
      </c>
      <c r="H1020" s="7" t="s">
        <v>133</v>
      </c>
      <c r="I1020" s="23">
        <f>SUM(I1021:I1023)</f>
        <v>9300</v>
      </c>
      <c r="J1020" s="23">
        <f t="shared" ref="J1020" si="367">SUM(J1021:J1023)</f>
        <v>0</v>
      </c>
      <c r="K1020" s="23">
        <f t="shared" si="353"/>
        <v>9300</v>
      </c>
      <c r="M1020" s="23"/>
      <c r="N1020" s="23"/>
      <c r="O1020" s="86">
        <f t="shared" si="354"/>
        <v>0</v>
      </c>
      <c r="Q1020" s="273">
        <f t="shared" si="351"/>
        <v>9300</v>
      </c>
      <c r="R1020" s="86">
        <f t="shared" si="365"/>
        <v>0</v>
      </c>
      <c r="S1020" s="86">
        <f t="shared" si="365"/>
        <v>9300</v>
      </c>
    </row>
    <row r="1021" spans="2:19" x14ac:dyDescent="0.2">
      <c r="B1021" s="83">
        <f t="shared" si="355"/>
        <v>425</v>
      </c>
      <c r="C1021" s="3"/>
      <c r="D1021" s="3"/>
      <c r="E1021" s="3"/>
      <c r="F1021" s="26" t="s">
        <v>170</v>
      </c>
      <c r="G1021" s="3">
        <v>632</v>
      </c>
      <c r="H1021" s="3" t="s">
        <v>146</v>
      </c>
      <c r="I1021" s="19">
        <v>400</v>
      </c>
      <c r="J1021" s="19"/>
      <c r="K1021" s="19">
        <f t="shared" si="353"/>
        <v>400</v>
      </c>
      <c r="M1021" s="19"/>
      <c r="N1021" s="19"/>
      <c r="O1021" s="87">
        <f t="shared" si="354"/>
        <v>0</v>
      </c>
      <c r="Q1021" s="274">
        <f t="shared" si="351"/>
        <v>400</v>
      </c>
      <c r="R1021" s="87">
        <f t="shared" si="365"/>
        <v>0</v>
      </c>
      <c r="S1021" s="87">
        <f t="shared" si="365"/>
        <v>400</v>
      </c>
    </row>
    <row r="1022" spans="2:19" x14ac:dyDescent="0.2">
      <c r="B1022" s="83">
        <f t="shared" si="355"/>
        <v>426</v>
      </c>
      <c r="C1022" s="3"/>
      <c r="D1022" s="3"/>
      <c r="E1022" s="3"/>
      <c r="F1022" s="26" t="s">
        <v>170</v>
      </c>
      <c r="G1022" s="3">
        <v>633</v>
      </c>
      <c r="H1022" s="3" t="s">
        <v>137</v>
      </c>
      <c r="I1022" s="19">
        <v>8000</v>
      </c>
      <c r="J1022" s="19"/>
      <c r="K1022" s="19">
        <f t="shared" si="353"/>
        <v>8000</v>
      </c>
      <c r="M1022" s="19"/>
      <c r="N1022" s="19"/>
      <c r="O1022" s="87">
        <f t="shared" si="354"/>
        <v>0</v>
      </c>
      <c r="Q1022" s="274">
        <f t="shared" si="351"/>
        <v>8000</v>
      </c>
      <c r="R1022" s="87">
        <f t="shared" si="365"/>
        <v>0</v>
      </c>
      <c r="S1022" s="87">
        <f t="shared" si="365"/>
        <v>8000</v>
      </c>
    </row>
    <row r="1023" spans="2:19" x14ac:dyDescent="0.2">
      <c r="B1023" s="83">
        <f t="shared" si="355"/>
        <v>427</v>
      </c>
      <c r="C1023" s="3"/>
      <c r="D1023" s="3"/>
      <c r="E1023" s="3"/>
      <c r="F1023" s="26" t="s">
        <v>170</v>
      </c>
      <c r="G1023" s="3">
        <v>637</v>
      </c>
      <c r="H1023" s="3" t="s">
        <v>134</v>
      </c>
      <c r="I1023" s="19">
        <v>900</v>
      </c>
      <c r="J1023" s="19"/>
      <c r="K1023" s="19">
        <f t="shared" si="353"/>
        <v>900</v>
      </c>
      <c r="M1023" s="19"/>
      <c r="N1023" s="19"/>
      <c r="O1023" s="87">
        <f t="shared" si="354"/>
        <v>0</v>
      </c>
      <c r="Q1023" s="274">
        <f t="shared" si="351"/>
        <v>900</v>
      </c>
      <c r="R1023" s="87">
        <f t="shared" si="365"/>
        <v>0</v>
      </c>
      <c r="S1023" s="87">
        <f t="shared" si="365"/>
        <v>900</v>
      </c>
    </row>
    <row r="1024" spans="2:19" x14ac:dyDescent="0.2">
      <c r="B1024" s="83">
        <f t="shared" si="355"/>
        <v>428</v>
      </c>
      <c r="C1024" s="7"/>
      <c r="D1024" s="7"/>
      <c r="E1024" s="7"/>
      <c r="F1024" s="25" t="s">
        <v>170</v>
      </c>
      <c r="G1024" s="7">
        <v>640</v>
      </c>
      <c r="H1024" s="7" t="s">
        <v>141</v>
      </c>
      <c r="I1024" s="23">
        <v>2800</v>
      </c>
      <c r="J1024" s="23"/>
      <c r="K1024" s="23">
        <f t="shared" si="353"/>
        <v>2800</v>
      </c>
      <c r="M1024" s="23"/>
      <c r="N1024" s="23"/>
      <c r="O1024" s="86">
        <f t="shared" si="354"/>
        <v>0</v>
      </c>
      <c r="Q1024" s="273">
        <f t="shared" si="351"/>
        <v>2800</v>
      </c>
      <c r="R1024" s="86">
        <f t="shared" si="365"/>
        <v>0</v>
      </c>
      <c r="S1024" s="86">
        <f t="shared" si="365"/>
        <v>2800</v>
      </c>
    </row>
    <row r="1025" spans="2:19" ht="15" x14ac:dyDescent="0.25">
      <c r="B1025" s="83">
        <f t="shared" si="355"/>
        <v>429</v>
      </c>
      <c r="C1025" s="10"/>
      <c r="D1025" s="10"/>
      <c r="E1025" s="10">
        <v>13</v>
      </c>
      <c r="F1025" s="28"/>
      <c r="G1025" s="10"/>
      <c r="H1025" s="10" t="s">
        <v>19</v>
      </c>
      <c r="I1025" s="38">
        <f>I1026+I1027+I1028+I1032</f>
        <v>44438</v>
      </c>
      <c r="J1025" s="38">
        <f t="shared" ref="J1025" si="368">J1026+J1027+J1028+J1032</f>
        <v>0</v>
      </c>
      <c r="K1025" s="38">
        <f t="shared" si="353"/>
        <v>44438</v>
      </c>
      <c r="M1025" s="38">
        <v>0</v>
      </c>
      <c r="N1025" s="38">
        <v>0</v>
      </c>
      <c r="O1025" s="94">
        <f t="shared" si="354"/>
        <v>0</v>
      </c>
      <c r="Q1025" s="315">
        <f t="shared" si="351"/>
        <v>44438</v>
      </c>
      <c r="R1025" s="94">
        <f t="shared" si="365"/>
        <v>0</v>
      </c>
      <c r="S1025" s="94">
        <f t="shared" si="365"/>
        <v>44438</v>
      </c>
    </row>
    <row r="1026" spans="2:19" x14ac:dyDescent="0.2">
      <c r="B1026" s="83">
        <f t="shared" si="355"/>
        <v>430</v>
      </c>
      <c r="C1026" s="7"/>
      <c r="D1026" s="7"/>
      <c r="E1026" s="7"/>
      <c r="F1026" s="25" t="s">
        <v>170</v>
      </c>
      <c r="G1026" s="7">
        <v>610</v>
      </c>
      <c r="H1026" s="7" t="s">
        <v>143</v>
      </c>
      <c r="I1026" s="23">
        <v>28500</v>
      </c>
      <c r="J1026" s="23"/>
      <c r="K1026" s="23">
        <f t="shared" si="353"/>
        <v>28500</v>
      </c>
      <c r="M1026" s="23"/>
      <c r="N1026" s="23"/>
      <c r="O1026" s="86">
        <f t="shared" si="354"/>
        <v>0</v>
      </c>
      <c r="Q1026" s="273">
        <f t="shared" si="351"/>
        <v>28500</v>
      </c>
      <c r="R1026" s="86">
        <f t="shared" si="365"/>
        <v>0</v>
      </c>
      <c r="S1026" s="86">
        <f t="shared" si="365"/>
        <v>28500</v>
      </c>
    </row>
    <row r="1027" spans="2:19" x14ac:dyDescent="0.2">
      <c r="B1027" s="83">
        <f t="shared" si="355"/>
        <v>431</v>
      </c>
      <c r="C1027" s="7"/>
      <c r="D1027" s="7"/>
      <c r="E1027" s="7"/>
      <c r="F1027" s="25" t="s">
        <v>170</v>
      </c>
      <c r="G1027" s="7">
        <v>620</v>
      </c>
      <c r="H1027" s="7" t="s">
        <v>136</v>
      </c>
      <c r="I1027" s="23">
        <v>9960</v>
      </c>
      <c r="J1027" s="23"/>
      <c r="K1027" s="23">
        <f t="shared" si="353"/>
        <v>9960</v>
      </c>
      <c r="M1027" s="23"/>
      <c r="N1027" s="23"/>
      <c r="O1027" s="86">
        <f t="shared" si="354"/>
        <v>0</v>
      </c>
      <c r="Q1027" s="273">
        <f t="shared" si="351"/>
        <v>9960</v>
      </c>
      <c r="R1027" s="86">
        <f t="shared" si="365"/>
        <v>0</v>
      </c>
      <c r="S1027" s="86">
        <f t="shared" si="365"/>
        <v>9960</v>
      </c>
    </row>
    <row r="1028" spans="2:19" x14ac:dyDescent="0.2">
      <c r="B1028" s="83">
        <f t="shared" si="355"/>
        <v>432</v>
      </c>
      <c r="C1028" s="7"/>
      <c r="D1028" s="7"/>
      <c r="E1028" s="7"/>
      <c r="F1028" s="25" t="s">
        <v>170</v>
      </c>
      <c r="G1028" s="7">
        <v>630</v>
      </c>
      <c r="H1028" s="7" t="s">
        <v>133</v>
      </c>
      <c r="I1028" s="23">
        <f>SUM(I1029:I1031)</f>
        <v>5958</v>
      </c>
      <c r="J1028" s="23">
        <f t="shared" ref="J1028" si="369">SUM(J1029:J1031)</f>
        <v>0</v>
      </c>
      <c r="K1028" s="23">
        <f t="shared" si="353"/>
        <v>5958</v>
      </c>
      <c r="M1028" s="23"/>
      <c r="N1028" s="23"/>
      <c r="O1028" s="86">
        <f t="shared" si="354"/>
        <v>0</v>
      </c>
      <c r="Q1028" s="273">
        <f t="shared" si="351"/>
        <v>5958</v>
      </c>
      <c r="R1028" s="86">
        <f t="shared" si="365"/>
        <v>0</v>
      </c>
      <c r="S1028" s="86">
        <f t="shared" si="365"/>
        <v>5958</v>
      </c>
    </row>
    <row r="1029" spans="2:19" x14ac:dyDescent="0.2">
      <c r="B1029" s="83">
        <f t="shared" si="355"/>
        <v>433</v>
      </c>
      <c r="C1029" s="3"/>
      <c r="D1029" s="3"/>
      <c r="E1029" s="3"/>
      <c r="F1029" s="26" t="s">
        <v>170</v>
      </c>
      <c r="G1029" s="3">
        <v>632</v>
      </c>
      <c r="H1029" s="3" t="s">
        <v>146</v>
      </c>
      <c r="I1029" s="19">
        <v>5000</v>
      </c>
      <c r="J1029" s="19"/>
      <c r="K1029" s="19">
        <f t="shared" si="353"/>
        <v>5000</v>
      </c>
      <c r="M1029" s="19"/>
      <c r="N1029" s="19"/>
      <c r="O1029" s="87">
        <f t="shared" si="354"/>
        <v>0</v>
      </c>
      <c r="Q1029" s="274">
        <f t="shared" si="351"/>
        <v>5000</v>
      </c>
      <c r="R1029" s="87">
        <f t="shared" si="365"/>
        <v>0</v>
      </c>
      <c r="S1029" s="87">
        <f t="shared" si="365"/>
        <v>5000</v>
      </c>
    </row>
    <row r="1030" spans="2:19" x14ac:dyDescent="0.2">
      <c r="B1030" s="83">
        <f t="shared" si="355"/>
        <v>434</v>
      </c>
      <c r="C1030" s="3"/>
      <c r="D1030" s="3"/>
      <c r="E1030" s="3"/>
      <c r="F1030" s="26" t="s">
        <v>170</v>
      </c>
      <c r="G1030" s="3">
        <v>633</v>
      </c>
      <c r="H1030" s="3" t="s">
        <v>137</v>
      </c>
      <c r="I1030" s="19">
        <v>265</v>
      </c>
      <c r="J1030" s="19"/>
      <c r="K1030" s="19">
        <f t="shared" si="353"/>
        <v>265</v>
      </c>
      <c r="M1030" s="19"/>
      <c r="N1030" s="19"/>
      <c r="O1030" s="87">
        <f t="shared" si="354"/>
        <v>0</v>
      </c>
      <c r="Q1030" s="274">
        <f t="shared" si="351"/>
        <v>265</v>
      </c>
      <c r="R1030" s="87">
        <f t="shared" ref="R1030:S1045" si="370">J1030+N1030</f>
        <v>0</v>
      </c>
      <c r="S1030" s="87">
        <f t="shared" si="370"/>
        <v>265</v>
      </c>
    </row>
    <row r="1031" spans="2:19" x14ac:dyDescent="0.2">
      <c r="B1031" s="83">
        <f t="shared" si="355"/>
        <v>435</v>
      </c>
      <c r="C1031" s="3"/>
      <c r="D1031" s="3"/>
      <c r="E1031" s="3"/>
      <c r="F1031" s="26" t="s">
        <v>170</v>
      </c>
      <c r="G1031" s="3">
        <v>637</v>
      </c>
      <c r="H1031" s="3" t="s">
        <v>134</v>
      </c>
      <c r="I1031" s="19">
        <v>693</v>
      </c>
      <c r="J1031" s="19"/>
      <c r="K1031" s="19">
        <f t="shared" si="353"/>
        <v>693</v>
      </c>
      <c r="M1031" s="19"/>
      <c r="N1031" s="19"/>
      <c r="O1031" s="87">
        <f t="shared" si="354"/>
        <v>0</v>
      </c>
      <c r="Q1031" s="274">
        <f t="shared" si="351"/>
        <v>693</v>
      </c>
      <c r="R1031" s="87">
        <f t="shared" si="370"/>
        <v>0</v>
      </c>
      <c r="S1031" s="87">
        <f t="shared" si="370"/>
        <v>693</v>
      </c>
    </row>
    <row r="1032" spans="2:19" x14ac:dyDescent="0.2">
      <c r="B1032" s="83">
        <f t="shared" si="355"/>
        <v>436</v>
      </c>
      <c r="C1032" s="7"/>
      <c r="D1032" s="7"/>
      <c r="E1032" s="7"/>
      <c r="F1032" s="25" t="s">
        <v>170</v>
      </c>
      <c r="G1032" s="7">
        <v>640</v>
      </c>
      <c r="H1032" s="7" t="s">
        <v>141</v>
      </c>
      <c r="I1032" s="23">
        <v>20</v>
      </c>
      <c r="J1032" s="23"/>
      <c r="K1032" s="23">
        <f t="shared" si="353"/>
        <v>20</v>
      </c>
      <c r="M1032" s="23"/>
      <c r="N1032" s="23"/>
      <c r="O1032" s="86">
        <f t="shared" si="354"/>
        <v>0</v>
      </c>
      <c r="Q1032" s="273">
        <f t="shared" si="351"/>
        <v>20</v>
      </c>
      <c r="R1032" s="86">
        <f t="shared" si="370"/>
        <v>0</v>
      </c>
      <c r="S1032" s="86">
        <f t="shared" si="370"/>
        <v>20</v>
      </c>
    </row>
    <row r="1033" spans="2:19" ht="15" x14ac:dyDescent="0.25">
      <c r="B1033" s="83">
        <f t="shared" si="355"/>
        <v>437</v>
      </c>
      <c r="C1033" s="10"/>
      <c r="D1033" s="10"/>
      <c r="E1033" s="10">
        <v>14</v>
      </c>
      <c r="F1033" s="28"/>
      <c r="G1033" s="10"/>
      <c r="H1033" s="10" t="s">
        <v>418</v>
      </c>
      <c r="I1033" s="38">
        <f>I1034+I1035+I1036+I1043</f>
        <v>1032280</v>
      </c>
      <c r="J1033" s="38">
        <f t="shared" ref="J1033" si="371">J1034+J1035+J1036+J1043</f>
        <v>60</v>
      </c>
      <c r="K1033" s="38">
        <f t="shared" si="353"/>
        <v>1032340</v>
      </c>
      <c r="M1033" s="38">
        <v>0</v>
      </c>
      <c r="N1033" s="38">
        <v>0</v>
      </c>
      <c r="O1033" s="94">
        <f t="shared" si="354"/>
        <v>0</v>
      </c>
      <c r="Q1033" s="315">
        <f t="shared" si="351"/>
        <v>1032280</v>
      </c>
      <c r="R1033" s="94">
        <f t="shared" si="370"/>
        <v>60</v>
      </c>
      <c r="S1033" s="94">
        <f t="shared" si="370"/>
        <v>1032340</v>
      </c>
    </row>
    <row r="1034" spans="2:19" x14ac:dyDescent="0.2">
      <c r="B1034" s="83">
        <f t="shared" si="355"/>
        <v>438</v>
      </c>
      <c r="C1034" s="7"/>
      <c r="D1034" s="7"/>
      <c r="E1034" s="7"/>
      <c r="F1034" s="25" t="s">
        <v>170</v>
      </c>
      <c r="G1034" s="7">
        <v>610</v>
      </c>
      <c r="H1034" s="7" t="s">
        <v>143</v>
      </c>
      <c r="I1034" s="23">
        <f>627156+47000</f>
        <v>674156</v>
      </c>
      <c r="J1034" s="23">
        <v>50</v>
      </c>
      <c r="K1034" s="23">
        <f t="shared" si="353"/>
        <v>674206</v>
      </c>
      <c r="M1034" s="23"/>
      <c r="N1034" s="23"/>
      <c r="O1034" s="86">
        <f t="shared" si="354"/>
        <v>0</v>
      </c>
      <c r="Q1034" s="273">
        <f t="shared" si="351"/>
        <v>674156</v>
      </c>
      <c r="R1034" s="86">
        <f t="shared" si="370"/>
        <v>50</v>
      </c>
      <c r="S1034" s="86">
        <f t="shared" si="370"/>
        <v>674206</v>
      </c>
    </row>
    <row r="1035" spans="2:19" x14ac:dyDescent="0.2">
      <c r="B1035" s="83">
        <f t="shared" si="355"/>
        <v>439</v>
      </c>
      <c r="C1035" s="7"/>
      <c r="D1035" s="7"/>
      <c r="E1035" s="7"/>
      <c r="F1035" s="25" t="s">
        <v>170</v>
      </c>
      <c r="G1035" s="7">
        <v>620</v>
      </c>
      <c r="H1035" s="7" t="s">
        <v>136</v>
      </c>
      <c r="I1035" s="23">
        <f>219024+16000</f>
        <v>235024</v>
      </c>
      <c r="J1035" s="23">
        <v>10</v>
      </c>
      <c r="K1035" s="23">
        <f t="shared" si="353"/>
        <v>235034</v>
      </c>
      <c r="M1035" s="23"/>
      <c r="N1035" s="23"/>
      <c r="O1035" s="86">
        <f t="shared" si="354"/>
        <v>0</v>
      </c>
      <c r="Q1035" s="273">
        <f t="shared" si="351"/>
        <v>235024</v>
      </c>
      <c r="R1035" s="86">
        <f t="shared" si="370"/>
        <v>10</v>
      </c>
      <c r="S1035" s="86">
        <f t="shared" si="370"/>
        <v>235034</v>
      </c>
    </row>
    <row r="1036" spans="2:19" x14ac:dyDescent="0.2">
      <c r="B1036" s="83">
        <f t="shared" si="355"/>
        <v>440</v>
      </c>
      <c r="C1036" s="7"/>
      <c r="D1036" s="7"/>
      <c r="E1036" s="7"/>
      <c r="F1036" s="25" t="s">
        <v>170</v>
      </c>
      <c r="G1036" s="7">
        <v>630</v>
      </c>
      <c r="H1036" s="7" t="s">
        <v>133</v>
      </c>
      <c r="I1036" s="23">
        <f>SUM(I1037:I1042)</f>
        <v>117600</v>
      </c>
      <c r="J1036" s="23">
        <f t="shared" ref="J1036" si="372">SUM(J1037:J1042)</f>
        <v>0</v>
      </c>
      <c r="K1036" s="23">
        <f t="shared" si="353"/>
        <v>117600</v>
      </c>
      <c r="M1036" s="23"/>
      <c r="N1036" s="23"/>
      <c r="O1036" s="86">
        <f t="shared" si="354"/>
        <v>0</v>
      </c>
      <c r="Q1036" s="273">
        <f t="shared" si="351"/>
        <v>117600</v>
      </c>
      <c r="R1036" s="86">
        <f t="shared" si="370"/>
        <v>0</v>
      </c>
      <c r="S1036" s="86">
        <f t="shared" si="370"/>
        <v>117600</v>
      </c>
    </row>
    <row r="1037" spans="2:19" x14ac:dyDescent="0.2">
      <c r="B1037" s="83">
        <f t="shared" si="355"/>
        <v>441</v>
      </c>
      <c r="C1037" s="3"/>
      <c r="D1037" s="3"/>
      <c r="E1037" s="3"/>
      <c r="F1037" s="26" t="s">
        <v>170</v>
      </c>
      <c r="G1037" s="3">
        <v>631</v>
      </c>
      <c r="H1037" s="3" t="s">
        <v>139</v>
      </c>
      <c r="I1037" s="19">
        <v>400</v>
      </c>
      <c r="J1037" s="19"/>
      <c r="K1037" s="19">
        <f t="shared" si="353"/>
        <v>400</v>
      </c>
      <c r="M1037" s="19"/>
      <c r="N1037" s="19"/>
      <c r="O1037" s="87">
        <f t="shared" si="354"/>
        <v>0</v>
      </c>
      <c r="Q1037" s="274">
        <f t="shared" si="351"/>
        <v>400</v>
      </c>
      <c r="R1037" s="87">
        <f t="shared" si="370"/>
        <v>0</v>
      </c>
      <c r="S1037" s="87">
        <f t="shared" si="370"/>
        <v>400</v>
      </c>
    </row>
    <row r="1038" spans="2:19" x14ac:dyDescent="0.2">
      <c r="B1038" s="83">
        <f t="shared" si="355"/>
        <v>442</v>
      </c>
      <c r="C1038" s="3"/>
      <c r="D1038" s="3"/>
      <c r="E1038" s="3"/>
      <c r="F1038" s="26" t="s">
        <v>170</v>
      </c>
      <c r="G1038" s="3">
        <v>632</v>
      </c>
      <c r="H1038" s="3" t="s">
        <v>146</v>
      </c>
      <c r="I1038" s="19">
        <v>29400</v>
      </c>
      <c r="J1038" s="19"/>
      <c r="K1038" s="19">
        <f t="shared" si="353"/>
        <v>29400</v>
      </c>
      <c r="M1038" s="19"/>
      <c r="N1038" s="19"/>
      <c r="O1038" s="87">
        <f t="shared" si="354"/>
        <v>0</v>
      </c>
      <c r="Q1038" s="274">
        <f t="shared" si="351"/>
        <v>29400</v>
      </c>
      <c r="R1038" s="87">
        <f t="shared" si="370"/>
        <v>0</v>
      </c>
      <c r="S1038" s="87">
        <f t="shared" si="370"/>
        <v>29400</v>
      </c>
    </row>
    <row r="1039" spans="2:19" x14ac:dyDescent="0.2">
      <c r="B1039" s="83">
        <f t="shared" si="355"/>
        <v>443</v>
      </c>
      <c r="C1039" s="3"/>
      <c r="D1039" s="3"/>
      <c r="E1039" s="3"/>
      <c r="F1039" s="26" t="s">
        <v>170</v>
      </c>
      <c r="G1039" s="3">
        <v>633</v>
      </c>
      <c r="H1039" s="3" t="s">
        <v>137</v>
      </c>
      <c r="I1039" s="19">
        <v>32930</v>
      </c>
      <c r="J1039" s="19"/>
      <c r="K1039" s="19">
        <f t="shared" si="353"/>
        <v>32930</v>
      </c>
      <c r="M1039" s="19"/>
      <c r="N1039" s="19"/>
      <c r="O1039" s="87">
        <f t="shared" si="354"/>
        <v>0</v>
      </c>
      <c r="Q1039" s="274">
        <f t="shared" si="351"/>
        <v>32930</v>
      </c>
      <c r="R1039" s="87">
        <f t="shared" si="370"/>
        <v>0</v>
      </c>
      <c r="S1039" s="87">
        <f t="shared" si="370"/>
        <v>32930</v>
      </c>
    </row>
    <row r="1040" spans="2:19" x14ac:dyDescent="0.2">
      <c r="B1040" s="83">
        <f t="shared" si="355"/>
        <v>444</v>
      </c>
      <c r="C1040" s="3"/>
      <c r="D1040" s="3"/>
      <c r="E1040" s="3"/>
      <c r="F1040" s="26" t="s">
        <v>170</v>
      </c>
      <c r="G1040" s="3">
        <v>635</v>
      </c>
      <c r="H1040" s="3" t="s">
        <v>145</v>
      </c>
      <c r="I1040" s="19">
        <v>5700</v>
      </c>
      <c r="J1040" s="19"/>
      <c r="K1040" s="19">
        <f t="shared" si="353"/>
        <v>5700</v>
      </c>
      <c r="M1040" s="19"/>
      <c r="N1040" s="19"/>
      <c r="O1040" s="87">
        <f t="shared" si="354"/>
        <v>0</v>
      </c>
      <c r="Q1040" s="274">
        <f t="shared" si="351"/>
        <v>5700</v>
      </c>
      <c r="R1040" s="87">
        <f t="shared" si="370"/>
        <v>0</v>
      </c>
      <c r="S1040" s="87">
        <f t="shared" si="370"/>
        <v>5700</v>
      </c>
    </row>
    <row r="1041" spans="2:19" x14ac:dyDescent="0.2">
      <c r="B1041" s="83">
        <f t="shared" si="355"/>
        <v>445</v>
      </c>
      <c r="C1041" s="3"/>
      <c r="D1041" s="3"/>
      <c r="E1041" s="3"/>
      <c r="F1041" s="26" t="s">
        <v>170</v>
      </c>
      <c r="G1041" s="3">
        <v>636</v>
      </c>
      <c r="H1041" s="3" t="s">
        <v>138</v>
      </c>
      <c r="I1041" s="19">
        <v>500</v>
      </c>
      <c r="J1041" s="19"/>
      <c r="K1041" s="19">
        <f t="shared" si="353"/>
        <v>500</v>
      </c>
      <c r="M1041" s="19"/>
      <c r="N1041" s="19"/>
      <c r="O1041" s="87">
        <f t="shared" si="354"/>
        <v>0</v>
      </c>
      <c r="Q1041" s="274">
        <f t="shared" si="351"/>
        <v>500</v>
      </c>
      <c r="R1041" s="87">
        <f t="shared" si="370"/>
        <v>0</v>
      </c>
      <c r="S1041" s="87">
        <f t="shared" si="370"/>
        <v>500</v>
      </c>
    </row>
    <row r="1042" spans="2:19" x14ac:dyDescent="0.2">
      <c r="B1042" s="83">
        <f t="shared" si="355"/>
        <v>446</v>
      </c>
      <c r="C1042" s="3"/>
      <c r="D1042" s="3"/>
      <c r="E1042" s="3"/>
      <c r="F1042" s="26" t="s">
        <v>170</v>
      </c>
      <c r="G1042" s="3">
        <v>637</v>
      </c>
      <c r="H1042" s="3" t="s">
        <v>134</v>
      </c>
      <c r="I1042" s="19">
        <v>48670</v>
      </c>
      <c r="J1042" s="19"/>
      <c r="K1042" s="19">
        <f t="shared" si="353"/>
        <v>48670</v>
      </c>
      <c r="M1042" s="19"/>
      <c r="N1042" s="19"/>
      <c r="O1042" s="87">
        <f t="shared" si="354"/>
        <v>0</v>
      </c>
      <c r="Q1042" s="274">
        <f t="shared" si="351"/>
        <v>48670</v>
      </c>
      <c r="R1042" s="87">
        <f t="shared" si="370"/>
        <v>0</v>
      </c>
      <c r="S1042" s="87">
        <f t="shared" si="370"/>
        <v>48670</v>
      </c>
    </row>
    <row r="1043" spans="2:19" x14ac:dyDescent="0.2">
      <c r="B1043" s="83">
        <f t="shared" si="355"/>
        <v>447</v>
      </c>
      <c r="C1043" s="7"/>
      <c r="D1043" s="7"/>
      <c r="E1043" s="7"/>
      <c r="F1043" s="25" t="s">
        <v>170</v>
      </c>
      <c r="G1043" s="7">
        <v>640</v>
      </c>
      <c r="H1043" s="7" t="s">
        <v>141</v>
      </c>
      <c r="I1043" s="23">
        <v>5500</v>
      </c>
      <c r="J1043" s="23"/>
      <c r="K1043" s="23">
        <f t="shared" si="353"/>
        <v>5500</v>
      </c>
      <c r="M1043" s="23"/>
      <c r="N1043" s="23"/>
      <c r="O1043" s="86">
        <f t="shared" si="354"/>
        <v>0</v>
      </c>
      <c r="Q1043" s="273">
        <f t="shared" si="351"/>
        <v>5500</v>
      </c>
      <c r="R1043" s="86">
        <f t="shared" si="370"/>
        <v>0</v>
      </c>
      <c r="S1043" s="86">
        <f t="shared" si="370"/>
        <v>5500</v>
      </c>
    </row>
    <row r="1044" spans="2:19" ht="15" x14ac:dyDescent="0.2">
      <c r="B1044" s="83">
        <f t="shared" si="355"/>
        <v>448</v>
      </c>
      <c r="C1044" s="268">
        <v>4</v>
      </c>
      <c r="D1044" s="360" t="s">
        <v>173</v>
      </c>
      <c r="E1044" s="361"/>
      <c r="F1044" s="361"/>
      <c r="G1044" s="361"/>
      <c r="H1044" s="362"/>
      <c r="I1044" s="36">
        <f>I1045+I1052+I1155+I1172+I1189+I1194+I1212+I1229+I1248+I1266</f>
        <v>2410188</v>
      </c>
      <c r="J1044" s="36">
        <f t="shared" ref="J1044" si="373">J1045+J1052+J1155+J1172+J1189+J1194+J1212+J1229+J1248+J1266</f>
        <v>20000</v>
      </c>
      <c r="K1044" s="36">
        <f t="shared" si="353"/>
        <v>2430188</v>
      </c>
      <c r="M1044" s="36">
        <f>M1194</f>
        <v>1700</v>
      </c>
      <c r="N1044" s="36">
        <f t="shared" ref="N1044" si="374">N1194</f>
        <v>0</v>
      </c>
      <c r="O1044" s="84">
        <f t="shared" si="354"/>
        <v>1700</v>
      </c>
      <c r="Q1044" s="272">
        <f t="shared" si="351"/>
        <v>2411888</v>
      </c>
      <c r="R1044" s="84">
        <f t="shared" si="370"/>
        <v>20000</v>
      </c>
      <c r="S1044" s="84">
        <f t="shared" si="370"/>
        <v>2431888</v>
      </c>
    </row>
    <row r="1045" spans="2:19" x14ac:dyDescent="0.2">
      <c r="B1045" s="83">
        <f t="shared" si="355"/>
        <v>449</v>
      </c>
      <c r="C1045" s="7"/>
      <c r="D1045" s="7"/>
      <c r="E1045" s="7"/>
      <c r="F1045" s="25" t="s">
        <v>172</v>
      </c>
      <c r="G1045" s="7">
        <v>640</v>
      </c>
      <c r="H1045" s="7" t="s">
        <v>141</v>
      </c>
      <c r="I1045" s="23">
        <f>I1046</f>
        <v>70697</v>
      </c>
      <c r="J1045" s="23">
        <f t="shared" ref="J1045" si="375">J1046</f>
        <v>0</v>
      </c>
      <c r="K1045" s="23">
        <f t="shared" si="353"/>
        <v>70697</v>
      </c>
      <c r="M1045" s="23"/>
      <c r="N1045" s="23"/>
      <c r="O1045" s="86">
        <f t="shared" si="354"/>
        <v>0</v>
      </c>
      <c r="Q1045" s="273">
        <f t="shared" si="351"/>
        <v>70697</v>
      </c>
      <c r="R1045" s="86">
        <f t="shared" si="370"/>
        <v>0</v>
      </c>
      <c r="S1045" s="86">
        <f t="shared" si="370"/>
        <v>70697</v>
      </c>
    </row>
    <row r="1046" spans="2:19" x14ac:dyDescent="0.2">
      <c r="B1046" s="83">
        <f t="shared" si="355"/>
        <v>450</v>
      </c>
      <c r="C1046" s="3"/>
      <c r="D1046" s="3"/>
      <c r="E1046" s="3"/>
      <c r="F1046" s="26" t="s">
        <v>172</v>
      </c>
      <c r="G1046" s="3">
        <v>642</v>
      </c>
      <c r="H1046" s="3" t="s">
        <v>142</v>
      </c>
      <c r="I1046" s="19">
        <f>SUM(I1047:I1051)</f>
        <v>70697</v>
      </c>
      <c r="J1046" s="19">
        <f t="shared" ref="J1046" si="376">SUM(J1047:J1051)</f>
        <v>0</v>
      </c>
      <c r="K1046" s="19">
        <f t="shared" si="353"/>
        <v>70697</v>
      </c>
      <c r="M1046" s="19"/>
      <c r="N1046" s="19"/>
      <c r="O1046" s="87">
        <f t="shared" si="354"/>
        <v>0</v>
      </c>
      <c r="Q1046" s="274">
        <f t="shared" ref="Q1046:Q1109" si="377">I1046+M1046</f>
        <v>70697</v>
      </c>
      <c r="R1046" s="87">
        <f t="shared" ref="R1046:S1061" si="378">J1046+N1046</f>
        <v>0</v>
      </c>
      <c r="S1046" s="87">
        <f t="shared" si="378"/>
        <v>70697</v>
      </c>
    </row>
    <row r="1047" spans="2:19" x14ac:dyDescent="0.2">
      <c r="B1047" s="83">
        <f t="shared" si="355"/>
        <v>451</v>
      </c>
      <c r="C1047" s="4"/>
      <c r="D1047" s="4"/>
      <c r="E1047" s="4"/>
      <c r="F1047" s="27"/>
      <c r="G1047" s="4"/>
      <c r="H1047" s="4" t="s">
        <v>558</v>
      </c>
      <c r="I1047" s="21">
        <f>23602+3636</f>
        <v>27238</v>
      </c>
      <c r="J1047" s="21"/>
      <c r="K1047" s="21">
        <f t="shared" ref="K1047:K1110" si="379">I1047+J1047</f>
        <v>27238</v>
      </c>
      <c r="M1047" s="21"/>
      <c r="N1047" s="21"/>
      <c r="O1047" s="88">
        <f t="shared" ref="O1047:O1110" si="380">M1047+N1047</f>
        <v>0</v>
      </c>
      <c r="Q1047" s="275">
        <f t="shared" si="377"/>
        <v>27238</v>
      </c>
      <c r="R1047" s="88">
        <f t="shared" si="378"/>
        <v>0</v>
      </c>
      <c r="S1047" s="88">
        <f t="shared" si="378"/>
        <v>27238</v>
      </c>
    </row>
    <row r="1048" spans="2:19" x14ac:dyDescent="0.2">
      <c r="B1048" s="83">
        <f t="shared" ref="B1048:B1111" si="381">B1047+1</f>
        <v>452</v>
      </c>
      <c r="C1048" s="4"/>
      <c r="D1048" s="4"/>
      <c r="E1048" s="4"/>
      <c r="F1048" s="27"/>
      <c r="G1048" s="4"/>
      <c r="H1048" s="4" t="s">
        <v>559</v>
      </c>
      <c r="I1048" s="21">
        <f>19756+3044</f>
        <v>22800</v>
      </c>
      <c r="J1048" s="21"/>
      <c r="K1048" s="21">
        <f t="shared" si="379"/>
        <v>22800</v>
      </c>
      <c r="M1048" s="21"/>
      <c r="N1048" s="21"/>
      <c r="O1048" s="88">
        <f t="shared" si="380"/>
        <v>0</v>
      </c>
      <c r="Q1048" s="275">
        <f t="shared" si="377"/>
        <v>22800</v>
      </c>
      <c r="R1048" s="88">
        <f t="shared" si="378"/>
        <v>0</v>
      </c>
      <c r="S1048" s="88">
        <f t="shared" si="378"/>
        <v>22800</v>
      </c>
    </row>
    <row r="1049" spans="2:19" x14ac:dyDescent="0.2">
      <c r="B1049" s="83">
        <f t="shared" si="381"/>
        <v>453</v>
      </c>
      <c r="C1049" s="4"/>
      <c r="D1049" s="4"/>
      <c r="E1049" s="4"/>
      <c r="F1049" s="27"/>
      <c r="G1049" s="4"/>
      <c r="H1049" s="4" t="s">
        <v>560</v>
      </c>
      <c r="I1049" s="21">
        <f>12199+1879</f>
        <v>14078</v>
      </c>
      <c r="J1049" s="21"/>
      <c r="K1049" s="21">
        <f t="shared" si="379"/>
        <v>14078</v>
      </c>
      <c r="M1049" s="21"/>
      <c r="N1049" s="21"/>
      <c r="O1049" s="88">
        <f t="shared" si="380"/>
        <v>0</v>
      </c>
      <c r="Q1049" s="275">
        <f t="shared" si="377"/>
        <v>14078</v>
      </c>
      <c r="R1049" s="88">
        <f t="shared" si="378"/>
        <v>0</v>
      </c>
      <c r="S1049" s="88">
        <f t="shared" si="378"/>
        <v>14078</v>
      </c>
    </row>
    <row r="1050" spans="2:19" x14ac:dyDescent="0.2">
      <c r="B1050" s="83">
        <f t="shared" si="381"/>
        <v>454</v>
      </c>
      <c r="C1050" s="4"/>
      <c r="D1050" s="4"/>
      <c r="E1050" s="4"/>
      <c r="F1050" s="27"/>
      <c r="G1050" s="4"/>
      <c r="H1050" s="4" t="s">
        <v>561</v>
      </c>
      <c r="I1050" s="21">
        <f>1326+205</f>
        <v>1531</v>
      </c>
      <c r="J1050" s="21"/>
      <c r="K1050" s="21">
        <f t="shared" si="379"/>
        <v>1531</v>
      </c>
      <c r="M1050" s="21"/>
      <c r="N1050" s="21"/>
      <c r="O1050" s="88">
        <f t="shared" si="380"/>
        <v>0</v>
      </c>
      <c r="Q1050" s="275">
        <f t="shared" si="377"/>
        <v>1531</v>
      </c>
      <c r="R1050" s="88">
        <f t="shared" si="378"/>
        <v>0</v>
      </c>
      <c r="S1050" s="88">
        <f t="shared" si="378"/>
        <v>1531</v>
      </c>
    </row>
    <row r="1051" spans="2:19" x14ac:dyDescent="0.2">
      <c r="B1051" s="83">
        <f t="shared" si="381"/>
        <v>455</v>
      </c>
      <c r="C1051" s="4"/>
      <c r="D1051" s="4"/>
      <c r="E1051" s="4"/>
      <c r="F1051" s="27"/>
      <c r="G1051" s="4"/>
      <c r="H1051" s="4" t="s">
        <v>562</v>
      </c>
      <c r="I1051" s="21">
        <f>4376+674</f>
        <v>5050</v>
      </c>
      <c r="J1051" s="21"/>
      <c r="K1051" s="21">
        <f t="shared" si="379"/>
        <v>5050</v>
      </c>
      <c r="M1051" s="21"/>
      <c r="N1051" s="21"/>
      <c r="O1051" s="88">
        <f t="shared" si="380"/>
        <v>0</v>
      </c>
      <c r="Q1051" s="275">
        <f t="shared" si="377"/>
        <v>5050</v>
      </c>
      <c r="R1051" s="88">
        <f t="shared" si="378"/>
        <v>0</v>
      </c>
      <c r="S1051" s="88">
        <f t="shared" si="378"/>
        <v>5050</v>
      </c>
    </row>
    <row r="1052" spans="2:19" ht="15" x14ac:dyDescent="0.25">
      <c r="B1052" s="83">
        <f t="shared" si="381"/>
        <v>456</v>
      </c>
      <c r="C1052" s="10"/>
      <c r="D1052" s="10"/>
      <c r="E1052" s="10">
        <v>4</v>
      </c>
      <c r="F1052" s="28"/>
      <c r="G1052" s="10"/>
      <c r="H1052" s="10" t="s">
        <v>417</v>
      </c>
      <c r="I1052" s="38">
        <f>I1053+I1061+I1068+I1075+I1082+I1089+I1097+I1104+I1111+I1119+I1126+I1133+I1140+I1147</f>
        <v>767285</v>
      </c>
      <c r="J1052" s="38">
        <f t="shared" ref="J1052" si="382">J1053+J1061+J1068+J1075+J1082+J1089+J1097+J1104+J1111+J1119+J1126+J1133+J1140+J1147</f>
        <v>0</v>
      </c>
      <c r="K1052" s="38">
        <f t="shared" si="379"/>
        <v>767285</v>
      </c>
      <c r="M1052" s="38">
        <v>0</v>
      </c>
      <c r="N1052" s="38">
        <v>0</v>
      </c>
      <c r="O1052" s="94">
        <f t="shared" si="380"/>
        <v>0</v>
      </c>
      <c r="Q1052" s="315">
        <f t="shared" si="377"/>
        <v>767285</v>
      </c>
      <c r="R1052" s="94">
        <f t="shared" si="378"/>
        <v>0</v>
      </c>
      <c r="S1052" s="94">
        <f t="shared" si="378"/>
        <v>767285</v>
      </c>
    </row>
    <row r="1053" spans="2:19" x14ac:dyDescent="0.2">
      <c r="B1053" s="83">
        <f t="shared" si="381"/>
        <v>457</v>
      </c>
      <c r="C1053" s="6"/>
      <c r="D1053" s="6"/>
      <c r="E1053" s="6" t="s">
        <v>101</v>
      </c>
      <c r="F1053" s="29"/>
      <c r="G1053" s="6"/>
      <c r="H1053" s="6" t="s">
        <v>72</v>
      </c>
      <c r="I1053" s="41">
        <f>I1054+I1055+I1056+I1060</f>
        <v>39110</v>
      </c>
      <c r="J1053" s="41">
        <f t="shared" ref="J1053" si="383">J1054+J1055+J1056+J1060</f>
        <v>0</v>
      </c>
      <c r="K1053" s="41">
        <f t="shared" si="379"/>
        <v>39110</v>
      </c>
      <c r="M1053" s="41">
        <v>0</v>
      </c>
      <c r="N1053" s="41">
        <v>0</v>
      </c>
      <c r="O1053" s="100">
        <f t="shared" si="380"/>
        <v>0</v>
      </c>
      <c r="Q1053" s="318">
        <f t="shared" si="377"/>
        <v>39110</v>
      </c>
      <c r="R1053" s="100">
        <f t="shared" si="378"/>
        <v>0</v>
      </c>
      <c r="S1053" s="100">
        <f t="shared" si="378"/>
        <v>39110</v>
      </c>
    </row>
    <row r="1054" spans="2:19" x14ac:dyDescent="0.2">
      <c r="B1054" s="83">
        <f t="shared" si="381"/>
        <v>458</v>
      </c>
      <c r="C1054" s="7"/>
      <c r="D1054" s="7"/>
      <c r="E1054" s="7"/>
      <c r="F1054" s="25" t="s">
        <v>172</v>
      </c>
      <c r="G1054" s="7">
        <v>610</v>
      </c>
      <c r="H1054" s="7" t="s">
        <v>143</v>
      </c>
      <c r="I1054" s="23">
        <v>14524</v>
      </c>
      <c r="J1054" s="23"/>
      <c r="K1054" s="23">
        <f t="shared" si="379"/>
        <v>14524</v>
      </c>
      <c r="M1054" s="23"/>
      <c r="N1054" s="23"/>
      <c r="O1054" s="86">
        <f t="shared" si="380"/>
        <v>0</v>
      </c>
      <c r="Q1054" s="273">
        <f t="shared" si="377"/>
        <v>14524</v>
      </c>
      <c r="R1054" s="86">
        <f t="shared" si="378"/>
        <v>0</v>
      </c>
      <c r="S1054" s="86">
        <f t="shared" si="378"/>
        <v>14524</v>
      </c>
    </row>
    <row r="1055" spans="2:19" x14ac:dyDescent="0.2">
      <c r="B1055" s="83">
        <f t="shared" si="381"/>
        <v>459</v>
      </c>
      <c r="C1055" s="7"/>
      <c r="D1055" s="7"/>
      <c r="E1055" s="7"/>
      <c r="F1055" s="25" t="s">
        <v>172</v>
      </c>
      <c r="G1055" s="7">
        <v>620</v>
      </c>
      <c r="H1055" s="7" t="s">
        <v>136</v>
      </c>
      <c r="I1055" s="23">
        <v>5672</v>
      </c>
      <c r="J1055" s="23"/>
      <c r="K1055" s="23">
        <f t="shared" si="379"/>
        <v>5672</v>
      </c>
      <c r="M1055" s="23"/>
      <c r="N1055" s="23"/>
      <c r="O1055" s="86">
        <f t="shared" si="380"/>
        <v>0</v>
      </c>
      <c r="Q1055" s="273">
        <f t="shared" si="377"/>
        <v>5672</v>
      </c>
      <c r="R1055" s="86">
        <f t="shared" si="378"/>
        <v>0</v>
      </c>
      <c r="S1055" s="86">
        <f t="shared" si="378"/>
        <v>5672</v>
      </c>
    </row>
    <row r="1056" spans="2:19" x14ac:dyDescent="0.2">
      <c r="B1056" s="83">
        <f t="shared" si="381"/>
        <v>460</v>
      </c>
      <c r="C1056" s="7"/>
      <c r="D1056" s="7"/>
      <c r="E1056" s="7"/>
      <c r="F1056" s="25" t="s">
        <v>172</v>
      </c>
      <c r="G1056" s="7">
        <v>630</v>
      </c>
      <c r="H1056" s="7" t="s">
        <v>133</v>
      </c>
      <c r="I1056" s="23">
        <f>SUM(I1057:I1059)</f>
        <v>17890</v>
      </c>
      <c r="J1056" s="23">
        <f t="shared" ref="J1056" si="384">SUM(J1057:J1059)</f>
        <v>0</v>
      </c>
      <c r="K1056" s="23">
        <f t="shared" si="379"/>
        <v>17890</v>
      </c>
      <c r="M1056" s="23"/>
      <c r="N1056" s="23"/>
      <c r="O1056" s="86">
        <f t="shared" si="380"/>
        <v>0</v>
      </c>
      <c r="Q1056" s="273">
        <f t="shared" si="377"/>
        <v>17890</v>
      </c>
      <c r="R1056" s="86">
        <f t="shared" si="378"/>
        <v>0</v>
      </c>
      <c r="S1056" s="86">
        <f t="shared" si="378"/>
        <v>17890</v>
      </c>
    </row>
    <row r="1057" spans="2:19" x14ac:dyDescent="0.2">
      <c r="B1057" s="83">
        <f t="shared" si="381"/>
        <v>461</v>
      </c>
      <c r="C1057" s="3"/>
      <c r="D1057" s="3"/>
      <c r="E1057" s="3"/>
      <c r="F1057" s="26" t="s">
        <v>172</v>
      </c>
      <c r="G1057" s="3">
        <v>633</v>
      </c>
      <c r="H1057" s="3" t="s">
        <v>137</v>
      </c>
      <c r="I1057" s="19">
        <v>17050</v>
      </c>
      <c r="J1057" s="19"/>
      <c r="K1057" s="19">
        <f t="shared" si="379"/>
        <v>17050</v>
      </c>
      <c r="M1057" s="19"/>
      <c r="N1057" s="19"/>
      <c r="O1057" s="87">
        <f t="shared" si="380"/>
        <v>0</v>
      </c>
      <c r="Q1057" s="274">
        <f t="shared" si="377"/>
        <v>17050</v>
      </c>
      <c r="R1057" s="87">
        <f t="shared" si="378"/>
        <v>0</v>
      </c>
      <c r="S1057" s="87">
        <f t="shared" si="378"/>
        <v>17050</v>
      </c>
    </row>
    <row r="1058" spans="2:19" x14ac:dyDescent="0.2">
      <c r="B1058" s="83">
        <f t="shared" si="381"/>
        <v>462</v>
      </c>
      <c r="C1058" s="3"/>
      <c r="D1058" s="3"/>
      <c r="E1058" s="3"/>
      <c r="F1058" s="26" t="s">
        <v>172</v>
      </c>
      <c r="G1058" s="3">
        <v>635</v>
      </c>
      <c r="H1058" s="3" t="s">
        <v>145</v>
      </c>
      <c r="I1058" s="19">
        <v>200</v>
      </c>
      <c r="J1058" s="19"/>
      <c r="K1058" s="19">
        <f t="shared" si="379"/>
        <v>200</v>
      </c>
      <c r="M1058" s="19"/>
      <c r="N1058" s="19"/>
      <c r="O1058" s="87">
        <f t="shared" si="380"/>
        <v>0</v>
      </c>
      <c r="Q1058" s="274">
        <f t="shared" si="377"/>
        <v>200</v>
      </c>
      <c r="R1058" s="87">
        <f t="shared" si="378"/>
        <v>0</v>
      </c>
      <c r="S1058" s="87">
        <f t="shared" si="378"/>
        <v>200</v>
      </c>
    </row>
    <row r="1059" spans="2:19" x14ac:dyDescent="0.2">
      <c r="B1059" s="83">
        <f t="shared" si="381"/>
        <v>463</v>
      </c>
      <c r="C1059" s="3"/>
      <c r="D1059" s="3"/>
      <c r="E1059" s="3"/>
      <c r="F1059" s="26" t="s">
        <v>172</v>
      </c>
      <c r="G1059" s="3">
        <v>637</v>
      </c>
      <c r="H1059" s="3" t="s">
        <v>134</v>
      </c>
      <c r="I1059" s="19">
        <v>640</v>
      </c>
      <c r="J1059" s="19"/>
      <c r="K1059" s="19">
        <f t="shared" si="379"/>
        <v>640</v>
      </c>
      <c r="M1059" s="19"/>
      <c r="N1059" s="19"/>
      <c r="O1059" s="87">
        <f t="shared" si="380"/>
        <v>0</v>
      </c>
      <c r="Q1059" s="274">
        <f t="shared" si="377"/>
        <v>640</v>
      </c>
      <c r="R1059" s="87">
        <f t="shared" si="378"/>
        <v>0</v>
      </c>
      <c r="S1059" s="87">
        <f t="shared" si="378"/>
        <v>640</v>
      </c>
    </row>
    <row r="1060" spans="2:19" x14ac:dyDescent="0.2">
      <c r="B1060" s="83">
        <f t="shared" si="381"/>
        <v>464</v>
      </c>
      <c r="C1060" s="7"/>
      <c r="D1060" s="7"/>
      <c r="E1060" s="7"/>
      <c r="F1060" s="25" t="s">
        <v>172</v>
      </c>
      <c r="G1060" s="7">
        <v>640</v>
      </c>
      <c r="H1060" s="7" t="s">
        <v>141</v>
      </c>
      <c r="I1060" s="23">
        <v>1024</v>
      </c>
      <c r="J1060" s="23"/>
      <c r="K1060" s="23">
        <f t="shared" si="379"/>
        <v>1024</v>
      </c>
      <c r="M1060" s="23"/>
      <c r="N1060" s="23"/>
      <c r="O1060" s="86">
        <f t="shared" si="380"/>
        <v>0</v>
      </c>
      <c r="Q1060" s="273">
        <f t="shared" si="377"/>
        <v>1024</v>
      </c>
      <c r="R1060" s="86">
        <f t="shared" si="378"/>
        <v>0</v>
      </c>
      <c r="S1060" s="86">
        <f t="shared" si="378"/>
        <v>1024</v>
      </c>
    </row>
    <row r="1061" spans="2:19" x14ac:dyDescent="0.2">
      <c r="B1061" s="83">
        <f t="shared" si="381"/>
        <v>465</v>
      </c>
      <c r="C1061" s="6"/>
      <c r="D1061" s="6"/>
      <c r="E1061" s="6" t="s">
        <v>100</v>
      </c>
      <c r="F1061" s="29"/>
      <c r="G1061" s="6"/>
      <c r="H1061" s="6" t="s">
        <v>241</v>
      </c>
      <c r="I1061" s="41">
        <f>I1062+I1063+I1064</f>
        <v>64337</v>
      </c>
      <c r="J1061" s="41">
        <f t="shared" ref="J1061" si="385">J1062+J1063+J1064</f>
        <v>0</v>
      </c>
      <c r="K1061" s="41">
        <f t="shared" si="379"/>
        <v>64337</v>
      </c>
      <c r="M1061" s="41">
        <v>0</v>
      </c>
      <c r="N1061" s="41">
        <v>0</v>
      </c>
      <c r="O1061" s="100">
        <f t="shared" si="380"/>
        <v>0</v>
      </c>
      <c r="Q1061" s="318">
        <f t="shared" si="377"/>
        <v>64337</v>
      </c>
      <c r="R1061" s="100">
        <f t="shared" si="378"/>
        <v>0</v>
      </c>
      <c r="S1061" s="100">
        <f t="shared" si="378"/>
        <v>64337</v>
      </c>
    </row>
    <row r="1062" spans="2:19" x14ac:dyDescent="0.2">
      <c r="B1062" s="83">
        <f t="shared" si="381"/>
        <v>466</v>
      </c>
      <c r="C1062" s="7"/>
      <c r="D1062" s="7"/>
      <c r="E1062" s="7"/>
      <c r="F1062" s="25" t="s">
        <v>172</v>
      </c>
      <c r="G1062" s="7">
        <v>610</v>
      </c>
      <c r="H1062" s="7" t="s">
        <v>143</v>
      </c>
      <c r="I1062" s="23">
        <v>26688</v>
      </c>
      <c r="J1062" s="23"/>
      <c r="K1062" s="23">
        <f t="shared" si="379"/>
        <v>26688</v>
      </c>
      <c r="M1062" s="23"/>
      <c r="N1062" s="23"/>
      <c r="O1062" s="86">
        <f t="shared" si="380"/>
        <v>0</v>
      </c>
      <c r="Q1062" s="273">
        <f t="shared" si="377"/>
        <v>26688</v>
      </c>
      <c r="R1062" s="86">
        <f t="shared" ref="R1062:S1077" si="386">J1062+N1062</f>
        <v>0</v>
      </c>
      <c r="S1062" s="86">
        <f t="shared" si="386"/>
        <v>26688</v>
      </c>
    </row>
    <row r="1063" spans="2:19" x14ac:dyDescent="0.2">
      <c r="B1063" s="83">
        <f t="shared" si="381"/>
        <v>467</v>
      </c>
      <c r="C1063" s="7"/>
      <c r="D1063" s="7"/>
      <c r="E1063" s="7"/>
      <c r="F1063" s="25" t="s">
        <v>172</v>
      </c>
      <c r="G1063" s="7">
        <v>620</v>
      </c>
      <c r="H1063" s="7" t="s">
        <v>136</v>
      </c>
      <c r="I1063" s="23">
        <v>9789</v>
      </c>
      <c r="J1063" s="23"/>
      <c r="K1063" s="23">
        <f t="shared" si="379"/>
        <v>9789</v>
      </c>
      <c r="M1063" s="23"/>
      <c r="N1063" s="23"/>
      <c r="O1063" s="86">
        <f t="shared" si="380"/>
        <v>0</v>
      </c>
      <c r="Q1063" s="273">
        <f t="shared" si="377"/>
        <v>9789</v>
      </c>
      <c r="R1063" s="86">
        <f t="shared" si="386"/>
        <v>0</v>
      </c>
      <c r="S1063" s="86">
        <f t="shared" si="386"/>
        <v>9789</v>
      </c>
    </row>
    <row r="1064" spans="2:19" x14ac:dyDescent="0.2">
      <c r="B1064" s="83">
        <f t="shared" si="381"/>
        <v>468</v>
      </c>
      <c r="C1064" s="7"/>
      <c r="D1064" s="7"/>
      <c r="E1064" s="7"/>
      <c r="F1064" s="25" t="s">
        <v>172</v>
      </c>
      <c r="G1064" s="7">
        <v>630</v>
      </c>
      <c r="H1064" s="7" t="s">
        <v>133</v>
      </c>
      <c r="I1064" s="23">
        <f>SUM(I1065:I1067)</f>
        <v>27860</v>
      </c>
      <c r="J1064" s="23">
        <f t="shared" ref="J1064" si="387">SUM(J1065:J1067)</f>
        <v>0</v>
      </c>
      <c r="K1064" s="23">
        <f t="shared" si="379"/>
        <v>27860</v>
      </c>
      <c r="M1064" s="23"/>
      <c r="N1064" s="23"/>
      <c r="O1064" s="86">
        <f t="shared" si="380"/>
        <v>0</v>
      </c>
      <c r="Q1064" s="273">
        <f t="shared" si="377"/>
        <v>27860</v>
      </c>
      <c r="R1064" s="86">
        <f t="shared" si="386"/>
        <v>0</v>
      </c>
      <c r="S1064" s="86">
        <f t="shared" si="386"/>
        <v>27860</v>
      </c>
    </row>
    <row r="1065" spans="2:19" x14ac:dyDescent="0.2">
      <c r="B1065" s="83">
        <f t="shared" si="381"/>
        <v>469</v>
      </c>
      <c r="C1065" s="3"/>
      <c r="D1065" s="3"/>
      <c r="E1065" s="3"/>
      <c r="F1065" s="26" t="s">
        <v>172</v>
      </c>
      <c r="G1065" s="3">
        <v>633</v>
      </c>
      <c r="H1065" s="3" t="s">
        <v>137</v>
      </c>
      <c r="I1065" s="19">
        <v>25550</v>
      </c>
      <c r="J1065" s="19"/>
      <c r="K1065" s="19">
        <f t="shared" si="379"/>
        <v>25550</v>
      </c>
      <c r="M1065" s="19"/>
      <c r="N1065" s="19"/>
      <c r="O1065" s="87">
        <f t="shared" si="380"/>
        <v>0</v>
      </c>
      <c r="Q1065" s="274">
        <f t="shared" si="377"/>
        <v>25550</v>
      </c>
      <c r="R1065" s="87">
        <f t="shared" si="386"/>
        <v>0</v>
      </c>
      <c r="S1065" s="87">
        <f t="shared" si="386"/>
        <v>25550</v>
      </c>
    </row>
    <row r="1066" spans="2:19" x14ac:dyDescent="0.2">
      <c r="B1066" s="83">
        <f t="shared" si="381"/>
        <v>470</v>
      </c>
      <c r="C1066" s="3"/>
      <c r="D1066" s="3"/>
      <c r="E1066" s="3"/>
      <c r="F1066" s="26" t="s">
        <v>172</v>
      </c>
      <c r="G1066" s="3">
        <v>635</v>
      </c>
      <c r="H1066" s="3" t="s">
        <v>145</v>
      </c>
      <c r="I1066" s="19">
        <v>1550</v>
      </c>
      <c r="J1066" s="19"/>
      <c r="K1066" s="19">
        <f t="shared" si="379"/>
        <v>1550</v>
      </c>
      <c r="M1066" s="19"/>
      <c r="N1066" s="19"/>
      <c r="O1066" s="87">
        <f t="shared" si="380"/>
        <v>0</v>
      </c>
      <c r="Q1066" s="274">
        <f t="shared" si="377"/>
        <v>1550</v>
      </c>
      <c r="R1066" s="87">
        <f t="shared" si="386"/>
        <v>0</v>
      </c>
      <c r="S1066" s="87">
        <f t="shared" si="386"/>
        <v>1550</v>
      </c>
    </row>
    <row r="1067" spans="2:19" x14ac:dyDescent="0.2">
      <c r="B1067" s="83">
        <f t="shared" si="381"/>
        <v>471</v>
      </c>
      <c r="C1067" s="3"/>
      <c r="D1067" s="3"/>
      <c r="E1067" s="3"/>
      <c r="F1067" s="26" t="s">
        <v>172</v>
      </c>
      <c r="G1067" s="3">
        <v>637</v>
      </c>
      <c r="H1067" s="3" t="s">
        <v>134</v>
      </c>
      <c r="I1067" s="19">
        <v>760</v>
      </c>
      <c r="J1067" s="19"/>
      <c r="K1067" s="19">
        <f t="shared" si="379"/>
        <v>760</v>
      </c>
      <c r="M1067" s="19"/>
      <c r="N1067" s="19"/>
      <c r="O1067" s="87">
        <f t="shared" si="380"/>
        <v>0</v>
      </c>
      <c r="Q1067" s="274">
        <f t="shared" si="377"/>
        <v>760</v>
      </c>
      <c r="R1067" s="87">
        <f t="shared" si="386"/>
        <v>0</v>
      </c>
      <c r="S1067" s="87">
        <f t="shared" si="386"/>
        <v>760</v>
      </c>
    </row>
    <row r="1068" spans="2:19" x14ac:dyDescent="0.2">
      <c r="B1068" s="83">
        <f t="shared" si="381"/>
        <v>472</v>
      </c>
      <c r="C1068" s="6"/>
      <c r="D1068" s="6"/>
      <c r="E1068" s="6" t="s">
        <v>93</v>
      </c>
      <c r="F1068" s="29"/>
      <c r="G1068" s="6"/>
      <c r="H1068" s="6" t="s">
        <v>71</v>
      </c>
      <c r="I1068" s="41">
        <f>I1069+I1070+I1071</f>
        <v>37165</v>
      </c>
      <c r="J1068" s="41">
        <f t="shared" ref="J1068" si="388">J1069+J1070+J1071</f>
        <v>0</v>
      </c>
      <c r="K1068" s="41">
        <f t="shared" si="379"/>
        <v>37165</v>
      </c>
      <c r="M1068" s="41">
        <v>0</v>
      </c>
      <c r="N1068" s="41">
        <v>0</v>
      </c>
      <c r="O1068" s="100">
        <f t="shared" si="380"/>
        <v>0</v>
      </c>
      <c r="Q1068" s="318">
        <f t="shared" si="377"/>
        <v>37165</v>
      </c>
      <c r="R1068" s="100">
        <f t="shared" si="386"/>
        <v>0</v>
      </c>
      <c r="S1068" s="100">
        <f t="shared" si="386"/>
        <v>37165</v>
      </c>
    </row>
    <row r="1069" spans="2:19" x14ac:dyDescent="0.2">
      <c r="B1069" s="83">
        <f t="shared" si="381"/>
        <v>473</v>
      </c>
      <c r="C1069" s="7"/>
      <c r="D1069" s="7"/>
      <c r="E1069" s="7"/>
      <c r="F1069" s="25" t="s">
        <v>172</v>
      </c>
      <c r="G1069" s="7">
        <v>610</v>
      </c>
      <c r="H1069" s="7" t="s">
        <v>143</v>
      </c>
      <c r="I1069" s="23">
        <v>15011</v>
      </c>
      <c r="J1069" s="23"/>
      <c r="K1069" s="23">
        <f t="shared" si="379"/>
        <v>15011</v>
      </c>
      <c r="M1069" s="23"/>
      <c r="N1069" s="23"/>
      <c r="O1069" s="86">
        <f t="shared" si="380"/>
        <v>0</v>
      </c>
      <c r="Q1069" s="273">
        <f t="shared" si="377"/>
        <v>15011</v>
      </c>
      <c r="R1069" s="86">
        <f t="shared" si="386"/>
        <v>0</v>
      </c>
      <c r="S1069" s="86">
        <f t="shared" si="386"/>
        <v>15011</v>
      </c>
    </row>
    <row r="1070" spans="2:19" x14ac:dyDescent="0.2">
      <c r="B1070" s="83">
        <f t="shared" si="381"/>
        <v>474</v>
      </c>
      <c r="C1070" s="7"/>
      <c r="D1070" s="7"/>
      <c r="E1070" s="7"/>
      <c r="F1070" s="25" t="s">
        <v>172</v>
      </c>
      <c r="G1070" s="7">
        <v>620</v>
      </c>
      <c r="H1070" s="7" t="s">
        <v>136</v>
      </c>
      <c r="I1070" s="23">
        <v>5474</v>
      </c>
      <c r="J1070" s="23"/>
      <c r="K1070" s="23">
        <f t="shared" si="379"/>
        <v>5474</v>
      </c>
      <c r="M1070" s="23"/>
      <c r="N1070" s="23"/>
      <c r="O1070" s="86">
        <f t="shared" si="380"/>
        <v>0</v>
      </c>
      <c r="Q1070" s="273">
        <f t="shared" si="377"/>
        <v>5474</v>
      </c>
      <c r="R1070" s="86">
        <f t="shared" si="386"/>
        <v>0</v>
      </c>
      <c r="S1070" s="86">
        <f t="shared" si="386"/>
        <v>5474</v>
      </c>
    </row>
    <row r="1071" spans="2:19" x14ac:dyDescent="0.2">
      <c r="B1071" s="83">
        <f t="shared" si="381"/>
        <v>475</v>
      </c>
      <c r="C1071" s="7"/>
      <c r="D1071" s="7"/>
      <c r="E1071" s="7"/>
      <c r="F1071" s="25" t="s">
        <v>172</v>
      </c>
      <c r="G1071" s="7">
        <v>630</v>
      </c>
      <c r="H1071" s="7" t="s">
        <v>133</v>
      </c>
      <c r="I1071" s="23">
        <f>SUM(I1072:I1074)</f>
        <v>16680</v>
      </c>
      <c r="J1071" s="23">
        <f t="shared" ref="J1071" si="389">SUM(J1072:J1074)</f>
        <v>0</v>
      </c>
      <c r="K1071" s="23">
        <f t="shared" si="379"/>
        <v>16680</v>
      </c>
      <c r="M1071" s="23"/>
      <c r="N1071" s="23"/>
      <c r="O1071" s="86">
        <f t="shared" si="380"/>
        <v>0</v>
      </c>
      <c r="Q1071" s="273">
        <f t="shared" si="377"/>
        <v>16680</v>
      </c>
      <c r="R1071" s="86">
        <f t="shared" si="386"/>
        <v>0</v>
      </c>
      <c r="S1071" s="86">
        <f t="shared" si="386"/>
        <v>16680</v>
      </c>
    </row>
    <row r="1072" spans="2:19" x14ac:dyDescent="0.2">
      <c r="B1072" s="83">
        <f t="shared" si="381"/>
        <v>476</v>
      </c>
      <c r="C1072" s="3"/>
      <c r="D1072" s="3"/>
      <c r="E1072" s="3"/>
      <c r="F1072" s="26" t="s">
        <v>172</v>
      </c>
      <c r="G1072" s="3">
        <v>633</v>
      </c>
      <c r="H1072" s="3" t="s">
        <v>137</v>
      </c>
      <c r="I1072" s="19">
        <v>14910</v>
      </c>
      <c r="J1072" s="19"/>
      <c r="K1072" s="19">
        <f t="shared" si="379"/>
        <v>14910</v>
      </c>
      <c r="M1072" s="19"/>
      <c r="N1072" s="19"/>
      <c r="O1072" s="87">
        <f t="shared" si="380"/>
        <v>0</v>
      </c>
      <c r="Q1072" s="274">
        <f t="shared" si="377"/>
        <v>14910</v>
      </c>
      <c r="R1072" s="87">
        <f t="shared" si="386"/>
        <v>0</v>
      </c>
      <c r="S1072" s="87">
        <f t="shared" si="386"/>
        <v>14910</v>
      </c>
    </row>
    <row r="1073" spans="2:19" x14ac:dyDescent="0.2">
      <c r="B1073" s="83">
        <f t="shared" si="381"/>
        <v>477</v>
      </c>
      <c r="C1073" s="3"/>
      <c r="D1073" s="3"/>
      <c r="E1073" s="3"/>
      <c r="F1073" s="26" t="s">
        <v>172</v>
      </c>
      <c r="G1073" s="3">
        <v>635</v>
      </c>
      <c r="H1073" s="3" t="s">
        <v>145</v>
      </c>
      <c r="I1073" s="19">
        <v>1100</v>
      </c>
      <c r="J1073" s="19"/>
      <c r="K1073" s="19">
        <f t="shared" si="379"/>
        <v>1100</v>
      </c>
      <c r="M1073" s="19"/>
      <c r="N1073" s="19"/>
      <c r="O1073" s="87">
        <f t="shared" si="380"/>
        <v>0</v>
      </c>
      <c r="Q1073" s="274">
        <f t="shared" si="377"/>
        <v>1100</v>
      </c>
      <c r="R1073" s="87">
        <f t="shared" si="386"/>
        <v>0</v>
      </c>
      <c r="S1073" s="87">
        <f t="shared" si="386"/>
        <v>1100</v>
      </c>
    </row>
    <row r="1074" spans="2:19" x14ac:dyDescent="0.2">
      <c r="B1074" s="83">
        <f t="shared" si="381"/>
        <v>478</v>
      </c>
      <c r="C1074" s="3"/>
      <c r="D1074" s="3"/>
      <c r="E1074" s="3"/>
      <c r="F1074" s="26" t="s">
        <v>172</v>
      </c>
      <c r="G1074" s="3">
        <v>637</v>
      </c>
      <c r="H1074" s="3" t="s">
        <v>134</v>
      </c>
      <c r="I1074" s="19">
        <v>670</v>
      </c>
      <c r="J1074" s="19"/>
      <c r="K1074" s="19">
        <f t="shared" si="379"/>
        <v>670</v>
      </c>
      <c r="M1074" s="19"/>
      <c r="N1074" s="19"/>
      <c r="O1074" s="87">
        <f t="shared" si="380"/>
        <v>0</v>
      </c>
      <c r="Q1074" s="274">
        <f t="shared" si="377"/>
        <v>670</v>
      </c>
      <c r="R1074" s="87">
        <f t="shared" si="386"/>
        <v>0</v>
      </c>
      <c r="S1074" s="87">
        <f t="shared" si="386"/>
        <v>670</v>
      </c>
    </row>
    <row r="1075" spans="2:19" x14ac:dyDescent="0.2">
      <c r="B1075" s="83">
        <f t="shared" si="381"/>
        <v>479</v>
      </c>
      <c r="C1075" s="6"/>
      <c r="D1075" s="6"/>
      <c r="E1075" s="6" t="s">
        <v>104</v>
      </c>
      <c r="F1075" s="29"/>
      <c r="G1075" s="6"/>
      <c r="H1075" s="6" t="s">
        <v>105</v>
      </c>
      <c r="I1075" s="41">
        <f>I1076+I1077+I1078</f>
        <v>50305</v>
      </c>
      <c r="J1075" s="41">
        <f t="shared" ref="J1075" si="390">J1076+J1077+J1078</f>
        <v>0</v>
      </c>
      <c r="K1075" s="41">
        <f t="shared" si="379"/>
        <v>50305</v>
      </c>
      <c r="M1075" s="41">
        <v>0</v>
      </c>
      <c r="N1075" s="41">
        <v>0</v>
      </c>
      <c r="O1075" s="100">
        <f t="shared" si="380"/>
        <v>0</v>
      </c>
      <c r="Q1075" s="318">
        <f t="shared" si="377"/>
        <v>50305</v>
      </c>
      <c r="R1075" s="100">
        <f t="shared" si="386"/>
        <v>0</v>
      </c>
      <c r="S1075" s="100">
        <f t="shared" si="386"/>
        <v>50305</v>
      </c>
    </row>
    <row r="1076" spans="2:19" x14ac:dyDescent="0.2">
      <c r="B1076" s="83">
        <f t="shared" si="381"/>
        <v>480</v>
      </c>
      <c r="C1076" s="7"/>
      <c r="D1076" s="7"/>
      <c r="E1076" s="7"/>
      <c r="F1076" s="25" t="s">
        <v>172</v>
      </c>
      <c r="G1076" s="7">
        <v>610</v>
      </c>
      <c r="H1076" s="7" t="s">
        <v>143</v>
      </c>
      <c r="I1076" s="23">
        <v>19691</v>
      </c>
      <c r="J1076" s="23"/>
      <c r="K1076" s="23">
        <f t="shared" si="379"/>
        <v>19691</v>
      </c>
      <c r="M1076" s="23"/>
      <c r="N1076" s="23"/>
      <c r="O1076" s="86">
        <f t="shared" si="380"/>
        <v>0</v>
      </c>
      <c r="Q1076" s="273">
        <f t="shared" si="377"/>
        <v>19691</v>
      </c>
      <c r="R1076" s="86">
        <f t="shared" si="386"/>
        <v>0</v>
      </c>
      <c r="S1076" s="86">
        <f t="shared" si="386"/>
        <v>19691</v>
      </c>
    </row>
    <row r="1077" spans="2:19" x14ac:dyDescent="0.2">
      <c r="B1077" s="83">
        <f t="shared" si="381"/>
        <v>481</v>
      </c>
      <c r="C1077" s="7"/>
      <c r="D1077" s="7"/>
      <c r="E1077" s="7"/>
      <c r="F1077" s="25" t="s">
        <v>172</v>
      </c>
      <c r="G1077" s="7">
        <v>620</v>
      </c>
      <c r="H1077" s="7" t="s">
        <v>136</v>
      </c>
      <c r="I1077" s="23">
        <v>7204</v>
      </c>
      <c r="J1077" s="23"/>
      <c r="K1077" s="23">
        <f t="shared" si="379"/>
        <v>7204</v>
      </c>
      <c r="M1077" s="23"/>
      <c r="N1077" s="23"/>
      <c r="O1077" s="86">
        <f t="shared" si="380"/>
        <v>0</v>
      </c>
      <c r="Q1077" s="273">
        <f t="shared" si="377"/>
        <v>7204</v>
      </c>
      <c r="R1077" s="86">
        <f t="shared" si="386"/>
        <v>0</v>
      </c>
      <c r="S1077" s="86">
        <f t="shared" si="386"/>
        <v>7204</v>
      </c>
    </row>
    <row r="1078" spans="2:19" x14ac:dyDescent="0.2">
      <c r="B1078" s="83">
        <f t="shared" si="381"/>
        <v>482</v>
      </c>
      <c r="C1078" s="7"/>
      <c r="D1078" s="7"/>
      <c r="E1078" s="7"/>
      <c r="F1078" s="25" t="s">
        <v>172</v>
      </c>
      <c r="G1078" s="7">
        <v>630</v>
      </c>
      <c r="H1078" s="7" t="s">
        <v>133</v>
      </c>
      <c r="I1078" s="23">
        <f>SUM(I1079:I1081)</f>
        <v>23410</v>
      </c>
      <c r="J1078" s="23">
        <f t="shared" ref="J1078" si="391">SUM(J1079:J1081)</f>
        <v>0</v>
      </c>
      <c r="K1078" s="23">
        <f t="shared" si="379"/>
        <v>23410</v>
      </c>
      <c r="M1078" s="23"/>
      <c r="N1078" s="23"/>
      <c r="O1078" s="86">
        <f t="shared" si="380"/>
        <v>0</v>
      </c>
      <c r="Q1078" s="273">
        <f t="shared" si="377"/>
        <v>23410</v>
      </c>
      <c r="R1078" s="86">
        <f t="shared" ref="R1078:S1093" si="392">J1078+N1078</f>
        <v>0</v>
      </c>
      <c r="S1078" s="86">
        <f t="shared" si="392"/>
        <v>23410</v>
      </c>
    </row>
    <row r="1079" spans="2:19" x14ac:dyDescent="0.2">
      <c r="B1079" s="83">
        <f t="shared" si="381"/>
        <v>483</v>
      </c>
      <c r="C1079" s="3"/>
      <c r="D1079" s="3"/>
      <c r="E1079" s="3"/>
      <c r="F1079" s="26" t="s">
        <v>172</v>
      </c>
      <c r="G1079" s="3">
        <v>633</v>
      </c>
      <c r="H1079" s="3" t="s">
        <v>137</v>
      </c>
      <c r="I1079" s="19">
        <v>18275</v>
      </c>
      <c r="J1079" s="19"/>
      <c r="K1079" s="19">
        <f t="shared" si="379"/>
        <v>18275</v>
      </c>
      <c r="M1079" s="19"/>
      <c r="N1079" s="19"/>
      <c r="O1079" s="87">
        <f t="shared" si="380"/>
        <v>0</v>
      </c>
      <c r="Q1079" s="274">
        <f t="shared" si="377"/>
        <v>18275</v>
      </c>
      <c r="R1079" s="87">
        <f t="shared" si="392"/>
        <v>0</v>
      </c>
      <c r="S1079" s="87">
        <f t="shared" si="392"/>
        <v>18275</v>
      </c>
    </row>
    <row r="1080" spans="2:19" x14ac:dyDescent="0.2">
      <c r="B1080" s="83">
        <f t="shared" si="381"/>
        <v>484</v>
      </c>
      <c r="C1080" s="3"/>
      <c r="D1080" s="3"/>
      <c r="E1080" s="3"/>
      <c r="F1080" s="26" t="s">
        <v>172</v>
      </c>
      <c r="G1080" s="3">
        <v>635</v>
      </c>
      <c r="H1080" s="3" t="s">
        <v>145</v>
      </c>
      <c r="I1080" s="19">
        <v>4600</v>
      </c>
      <c r="J1080" s="19"/>
      <c r="K1080" s="19">
        <f t="shared" si="379"/>
        <v>4600</v>
      </c>
      <c r="M1080" s="19"/>
      <c r="N1080" s="19"/>
      <c r="O1080" s="87">
        <f t="shared" si="380"/>
        <v>0</v>
      </c>
      <c r="Q1080" s="274">
        <f t="shared" si="377"/>
        <v>4600</v>
      </c>
      <c r="R1080" s="87">
        <f t="shared" si="392"/>
        <v>0</v>
      </c>
      <c r="S1080" s="87">
        <f t="shared" si="392"/>
        <v>4600</v>
      </c>
    </row>
    <row r="1081" spans="2:19" x14ac:dyDescent="0.2">
      <c r="B1081" s="83">
        <f t="shared" si="381"/>
        <v>485</v>
      </c>
      <c r="C1081" s="3"/>
      <c r="D1081" s="3"/>
      <c r="E1081" s="3"/>
      <c r="F1081" s="26" t="s">
        <v>172</v>
      </c>
      <c r="G1081" s="3">
        <v>637</v>
      </c>
      <c r="H1081" s="3" t="s">
        <v>134</v>
      </c>
      <c r="I1081" s="19">
        <v>535</v>
      </c>
      <c r="J1081" s="19"/>
      <c r="K1081" s="19">
        <f t="shared" si="379"/>
        <v>535</v>
      </c>
      <c r="M1081" s="19"/>
      <c r="N1081" s="19"/>
      <c r="O1081" s="87">
        <f t="shared" si="380"/>
        <v>0</v>
      </c>
      <c r="Q1081" s="274">
        <f t="shared" si="377"/>
        <v>535</v>
      </c>
      <c r="R1081" s="87">
        <f t="shared" si="392"/>
        <v>0</v>
      </c>
      <c r="S1081" s="87">
        <f t="shared" si="392"/>
        <v>535</v>
      </c>
    </row>
    <row r="1082" spans="2:19" x14ac:dyDescent="0.2">
      <c r="B1082" s="83">
        <f t="shared" si="381"/>
        <v>486</v>
      </c>
      <c r="C1082" s="6"/>
      <c r="D1082" s="6"/>
      <c r="E1082" s="6" t="s">
        <v>107</v>
      </c>
      <c r="F1082" s="29"/>
      <c r="G1082" s="6"/>
      <c r="H1082" s="6" t="s">
        <v>108</v>
      </c>
      <c r="I1082" s="41">
        <f>I1083+I1084+I1085</f>
        <v>49660</v>
      </c>
      <c r="J1082" s="41">
        <f t="shared" ref="J1082" si="393">J1083+J1084+J1085</f>
        <v>0</v>
      </c>
      <c r="K1082" s="41">
        <f t="shared" si="379"/>
        <v>49660</v>
      </c>
      <c r="M1082" s="41">
        <v>0</v>
      </c>
      <c r="N1082" s="41">
        <v>0</v>
      </c>
      <c r="O1082" s="100">
        <f t="shared" si="380"/>
        <v>0</v>
      </c>
      <c r="Q1082" s="318">
        <f t="shared" si="377"/>
        <v>49660</v>
      </c>
      <c r="R1082" s="100">
        <f t="shared" si="392"/>
        <v>0</v>
      </c>
      <c r="S1082" s="100">
        <f t="shared" si="392"/>
        <v>49660</v>
      </c>
    </row>
    <row r="1083" spans="2:19" x14ac:dyDescent="0.2">
      <c r="B1083" s="83">
        <f t="shared" si="381"/>
        <v>487</v>
      </c>
      <c r="C1083" s="7"/>
      <c r="D1083" s="7"/>
      <c r="E1083" s="7"/>
      <c r="F1083" s="25" t="s">
        <v>172</v>
      </c>
      <c r="G1083" s="7">
        <v>610</v>
      </c>
      <c r="H1083" s="7" t="s">
        <v>143</v>
      </c>
      <c r="I1083" s="23">
        <v>20739</v>
      </c>
      <c r="J1083" s="23"/>
      <c r="K1083" s="23">
        <f t="shared" si="379"/>
        <v>20739</v>
      </c>
      <c r="M1083" s="23"/>
      <c r="N1083" s="23"/>
      <c r="O1083" s="86">
        <f t="shared" si="380"/>
        <v>0</v>
      </c>
      <c r="Q1083" s="273">
        <f t="shared" si="377"/>
        <v>20739</v>
      </c>
      <c r="R1083" s="86">
        <f t="shared" si="392"/>
        <v>0</v>
      </c>
      <c r="S1083" s="86">
        <f t="shared" si="392"/>
        <v>20739</v>
      </c>
    </row>
    <row r="1084" spans="2:19" x14ac:dyDescent="0.2">
      <c r="B1084" s="83">
        <f t="shared" si="381"/>
        <v>488</v>
      </c>
      <c r="C1084" s="7"/>
      <c r="D1084" s="7"/>
      <c r="E1084" s="7"/>
      <c r="F1084" s="25" t="s">
        <v>172</v>
      </c>
      <c r="G1084" s="7">
        <v>620</v>
      </c>
      <c r="H1084" s="7" t="s">
        <v>136</v>
      </c>
      <c r="I1084" s="23">
        <v>7591</v>
      </c>
      <c r="J1084" s="23"/>
      <c r="K1084" s="23">
        <f t="shared" si="379"/>
        <v>7591</v>
      </c>
      <c r="M1084" s="23"/>
      <c r="N1084" s="23"/>
      <c r="O1084" s="86">
        <f t="shared" si="380"/>
        <v>0</v>
      </c>
      <c r="Q1084" s="273">
        <f t="shared" si="377"/>
        <v>7591</v>
      </c>
      <c r="R1084" s="86">
        <f t="shared" si="392"/>
        <v>0</v>
      </c>
      <c r="S1084" s="86">
        <f t="shared" si="392"/>
        <v>7591</v>
      </c>
    </row>
    <row r="1085" spans="2:19" x14ac:dyDescent="0.2">
      <c r="B1085" s="83">
        <f t="shared" si="381"/>
        <v>489</v>
      </c>
      <c r="C1085" s="7"/>
      <c r="D1085" s="7"/>
      <c r="E1085" s="7"/>
      <c r="F1085" s="25" t="s">
        <v>172</v>
      </c>
      <c r="G1085" s="7">
        <v>630</v>
      </c>
      <c r="H1085" s="7" t="s">
        <v>133</v>
      </c>
      <c r="I1085" s="23">
        <f>SUM(I1086:I1088)</f>
        <v>21330</v>
      </c>
      <c r="J1085" s="23">
        <f t="shared" ref="J1085" si="394">SUM(J1086:J1088)</f>
        <v>0</v>
      </c>
      <c r="K1085" s="23">
        <f t="shared" si="379"/>
        <v>21330</v>
      </c>
      <c r="M1085" s="23"/>
      <c r="N1085" s="23"/>
      <c r="O1085" s="86">
        <f t="shared" si="380"/>
        <v>0</v>
      </c>
      <c r="Q1085" s="273">
        <f t="shared" si="377"/>
        <v>21330</v>
      </c>
      <c r="R1085" s="86">
        <f t="shared" si="392"/>
        <v>0</v>
      </c>
      <c r="S1085" s="86">
        <f t="shared" si="392"/>
        <v>21330</v>
      </c>
    </row>
    <row r="1086" spans="2:19" x14ac:dyDescent="0.2">
      <c r="B1086" s="83">
        <f t="shared" si="381"/>
        <v>490</v>
      </c>
      <c r="C1086" s="3"/>
      <c r="D1086" s="3"/>
      <c r="E1086" s="3"/>
      <c r="F1086" s="26" t="s">
        <v>172</v>
      </c>
      <c r="G1086" s="3">
        <v>633</v>
      </c>
      <c r="H1086" s="3" t="s">
        <v>137</v>
      </c>
      <c r="I1086" s="19">
        <v>19180</v>
      </c>
      <c r="J1086" s="19"/>
      <c r="K1086" s="19">
        <f t="shared" si="379"/>
        <v>19180</v>
      </c>
      <c r="M1086" s="19"/>
      <c r="N1086" s="19"/>
      <c r="O1086" s="87">
        <f t="shared" si="380"/>
        <v>0</v>
      </c>
      <c r="Q1086" s="274">
        <f t="shared" si="377"/>
        <v>19180</v>
      </c>
      <c r="R1086" s="87">
        <f t="shared" si="392"/>
        <v>0</v>
      </c>
      <c r="S1086" s="87">
        <f t="shared" si="392"/>
        <v>19180</v>
      </c>
    </row>
    <row r="1087" spans="2:19" x14ac:dyDescent="0.2">
      <c r="B1087" s="83">
        <f t="shared" si="381"/>
        <v>491</v>
      </c>
      <c r="C1087" s="3"/>
      <c r="D1087" s="3"/>
      <c r="E1087" s="3"/>
      <c r="F1087" s="26" t="s">
        <v>172</v>
      </c>
      <c r="G1087" s="3">
        <v>635</v>
      </c>
      <c r="H1087" s="3" t="s">
        <v>145</v>
      </c>
      <c r="I1087" s="19">
        <v>1600</v>
      </c>
      <c r="J1087" s="19"/>
      <c r="K1087" s="19">
        <f t="shared" si="379"/>
        <v>1600</v>
      </c>
      <c r="M1087" s="19"/>
      <c r="N1087" s="19"/>
      <c r="O1087" s="87">
        <f t="shared" si="380"/>
        <v>0</v>
      </c>
      <c r="Q1087" s="274">
        <f t="shared" si="377"/>
        <v>1600</v>
      </c>
      <c r="R1087" s="87">
        <f t="shared" si="392"/>
        <v>0</v>
      </c>
      <c r="S1087" s="87">
        <f t="shared" si="392"/>
        <v>1600</v>
      </c>
    </row>
    <row r="1088" spans="2:19" x14ac:dyDescent="0.2">
      <c r="B1088" s="83">
        <f t="shared" si="381"/>
        <v>492</v>
      </c>
      <c r="C1088" s="3"/>
      <c r="D1088" s="3"/>
      <c r="E1088" s="3"/>
      <c r="F1088" s="26" t="s">
        <v>172</v>
      </c>
      <c r="G1088" s="3">
        <v>637</v>
      </c>
      <c r="H1088" s="3" t="s">
        <v>134</v>
      </c>
      <c r="I1088" s="19">
        <v>550</v>
      </c>
      <c r="J1088" s="19"/>
      <c r="K1088" s="19">
        <f t="shared" si="379"/>
        <v>550</v>
      </c>
      <c r="M1088" s="19"/>
      <c r="N1088" s="19"/>
      <c r="O1088" s="87">
        <f t="shared" si="380"/>
        <v>0</v>
      </c>
      <c r="Q1088" s="274">
        <f t="shared" si="377"/>
        <v>550</v>
      </c>
      <c r="R1088" s="87">
        <f t="shared" si="392"/>
        <v>0</v>
      </c>
      <c r="S1088" s="87">
        <f t="shared" si="392"/>
        <v>550</v>
      </c>
    </row>
    <row r="1089" spans="2:19" x14ac:dyDescent="0.2">
      <c r="B1089" s="83">
        <f t="shared" si="381"/>
        <v>493</v>
      </c>
      <c r="C1089" s="6"/>
      <c r="D1089" s="6"/>
      <c r="E1089" s="6" t="s">
        <v>91</v>
      </c>
      <c r="F1089" s="29"/>
      <c r="G1089" s="6"/>
      <c r="H1089" s="6" t="s">
        <v>92</v>
      </c>
      <c r="I1089" s="41">
        <f>I1090+I1091+I1092+I1096</f>
        <v>76289</v>
      </c>
      <c r="J1089" s="41">
        <f t="shared" ref="J1089" si="395">J1090+J1091+J1092+J1096</f>
        <v>0</v>
      </c>
      <c r="K1089" s="41">
        <f t="shared" si="379"/>
        <v>76289</v>
      </c>
      <c r="M1089" s="41">
        <v>0</v>
      </c>
      <c r="N1089" s="41">
        <v>0</v>
      </c>
      <c r="O1089" s="100">
        <f t="shared" si="380"/>
        <v>0</v>
      </c>
      <c r="Q1089" s="318">
        <f t="shared" si="377"/>
        <v>76289</v>
      </c>
      <c r="R1089" s="100">
        <f t="shared" si="392"/>
        <v>0</v>
      </c>
      <c r="S1089" s="100">
        <f t="shared" si="392"/>
        <v>76289</v>
      </c>
    </row>
    <row r="1090" spans="2:19" x14ac:dyDescent="0.2">
      <c r="B1090" s="83">
        <f t="shared" si="381"/>
        <v>494</v>
      </c>
      <c r="C1090" s="7"/>
      <c r="D1090" s="7"/>
      <c r="E1090" s="7"/>
      <c r="F1090" s="25" t="s">
        <v>172</v>
      </c>
      <c r="G1090" s="7">
        <v>610</v>
      </c>
      <c r="H1090" s="7" t="s">
        <v>143</v>
      </c>
      <c r="I1090" s="23">
        <v>31163</v>
      </c>
      <c r="J1090" s="23"/>
      <c r="K1090" s="23">
        <f t="shared" si="379"/>
        <v>31163</v>
      </c>
      <c r="M1090" s="23"/>
      <c r="N1090" s="23"/>
      <c r="O1090" s="86">
        <f t="shared" si="380"/>
        <v>0</v>
      </c>
      <c r="Q1090" s="273">
        <f t="shared" si="377"/>
        <v>31163</v>
      </c>
      <c r="R1090" s="86">
        <f t="shared" si="392"/>
        <v>0</v>
      </c>
      <c r="S1090" s="86">
        <f t="shared" si="392"/>
        <v>31163</v>
      </c>
    </row>
    <row r="1091" spans="2:19" x14ac:dyDescent="0.2">
      <c r="B1091" s="83">
        <f t="shared" si="381"/>
        <v>495</v>
      </c>
      <c r="C1091" s="7"/>
      <c r="D1091" s="7"/>
      <c r="E1091" s="7"/>
      <c r="F1091" s="25" t="s">
        <v>172</v>
      </c>
      <c r="G1091" s="7">
        <v>620</v>
      </c>
      <c r="H1091" s="7" t="s">
        <v>136</v>
      </c>
      <c r="I1091" s="23">
        <v>11624</v>
      </c>
      <c r="J1091" s="23"/>
      <c r="K1091" s="23">
        <f t="shared" si="379"/>
        <v>11624</v>
      </c>
      <c r="M1091" s="23"/>
      <c r="N1091" s="23"/>
      <c r="O1091" s="86">
        <f t="shared" si="380"/>
        <v>0</v>
      </c>
      <c r="Q1091" s="273">
        <f t="shared" si="377"/>
        <v>11624</v>
      </c>
      <c r="R1091" s="86">
        <f t="shared" si="392"/>
        <v>0</v>
      </c>
      <c r="S1091" s="86">
        <f t="shared" si="392"/>
        <v>11624</v>
      </c>
    </row>
    <row r="1092" spans="2:19" x14ac:dyDescent="0.2">
      <c r="B1092" s="83">
        <f t="shared" si="381"/>
        <v>496</v>
      </c>
      <c r="C1092" s="7"/>
      <c r="D1092" s="7"/>
      <c r="E1092" s="7"/>
      <c r="F1092" s="25" t="s">
        <v>172</v>
      </c>
      <c r="G1092" s="7">
        <v>630</v>
      </c>
      <c r="H1092" s="7" t="s">
        <v>133</v>
      </c>
      <c r="I1092" s="23">
        <f>SUM(I1093:I1095)</f>
        <v>33010</v>
      </c>
      <c r="J1092" s="23">
        <f t="shared" ref="J1092" si="396">SUM(J1093:J1095)</f>
        <v>0</v>
      </c>
      <c r="K1092" s="23">
        <f t="shared" si="379"/>
        <v>33010</v>
      </c>
      <c r="M1092" s="23"/>
      <c r="N1092" s="23"/>
      <c r="O1092" s="86">
        <f t="shared" si="380"/>
        <v>0</v>
      </c>
      <c r="Q1092" s="273">
        <f t="shared" si="377"/>
        <v>33010</v>
      </c>
      <c r="R1092" s="86">
        <f t="shared" si="392"/>
        <v>0</v>
      </c>
      <c r="S1092" s="86">
        <f t="shared" si="392"/>
        <v>33010</v>
      </c>
    </row>
    <row r="1093" spans="2:19" x14ac:dyDescent="0.2">
      <c r="B1093" s="83">
        <f t="shared" si="381"/>
        <v>497</v>
      </c>
      <c r="C1093" s="3"/>
      <c r="D1093" s="3"/>
      <c r="E1093" s="3"/>
      <c r="F1093" s="26" t="s">
        <v>172</v>
      </c>
      <c r="G1093" s="3">
        <v>633</v>
      </c>
      <c r="H1093" s="3" t="s">
        <v>137</v>
      </c>
      <c r="I1093" s="19">
        <v>30940</v>
      </c>
      <c r="J1093" s="19"/>
      <c r="K1093" s="19">
        <f t="shared" si="379"/>
        <v>30940</v>
      </c>
      <c r="M1093" s="19"/>
      <c r="N1093" s="19"/>
      <c r="O1093" s="87">
        <f t="shared" si="380"/>
        <v>0</v>
      </c>
      <c r="Q1093" s="274">
        <f t="shared" si="377"/>
        <v>30940</v>
      </c>
      <c r="R1093" s="87">
        <f t="shared" si="392"/>
        <v>0</v>
      </c>
      <c r="S1093" s="87">
        <f t="shared" si="392"/>
        <v>30940</v>
      </c>
    </row>
    <row r="1094" spans="2:19" x14ac:dyDescent="0.2">
      <c r="B1094" s="83">
        <f t="shared" si="381"/>
        <v>498</v>
      </c>
      <c r="C1094" s="3"/>
      <c r="D1094" s="3"/>
      <c r="E1094" s="3"/>
      <c r="F1094" s="26" t="s">
        <v>172</v>
      </c>
      <c r="G1094" s="3">
        <v>635</v>
      </c>
      <c r="H1094" s="3" t="s">
        <v>145</v>
      </c>
      <c r="I1094" s="19">
        <v>1350</v>
      </c>
      <c r="J1094" s="19"/>
      <c r="K1094" s="19">
        <f t="shared" si="379"/>
        <v>1350</v>
      </c>
      <c r="M1094" s="19"/>
      <c r="N1094" s="19"/>
      <c r="O1094" s="87">
        <f t="shared" si="380"/>
        <v>0</v>
      </c>
      <c r="Q1094" s="274">
        <f t="shared" si="377"/>
        <v>1350</v>
      </c>
      <c r="R1094" s="87">
        <f t="shared" ref="R1094:S1109" si="397">J1094+N1094</f>
        <v>0</v>
      </c>
      <c r="S1094" s="87">
        <f t="shared" si="397"/>
        <v>1350</v>
      </c>
    </row>
    <row r="1095" spans="2:19" x14ac:dyDescent="0.2">
      <c r="B1095" s="83">
        <f t="shared" si="381"/>
        <v>499</v>
      </c>
      <c r="C1095" s="3"/>
      <c r="D1095" s="3"/>
      <c r="E1095" s="3"/>
      <c r="F1095" s="26" t="s">
        <v>172</v>
      </c>
      <c r="G1095" s="3">
        <v>637</v>
      </c>
      <c r="H1095" s="3" t="s">
        <v>134</v>
      </c>
      <c r="I1095" s="19">
        <v>720</v>
      </c>
      <c r="J1095" s="19"/>
      <c r="K1095" s="19">
        <f t="shared" si="379"/>
        <v>720</v>
      </c>
      <c r="M1095" s="19"/>
      <c r="N1095" s="19"/>
      <c r="O1095" s="87">
        <f t="shared" si="380"/>
        <v>0</v>
      </c>
      <c r="Q1095" s="274">
        <f t="shared" si="377"/>
        <v>720</v>
      </c>
      <c r="R1095" s="87">
        <f t="shared" si="397"/>
        <v>0</v>
      </c>
      <c r="S1095" s="87">
        <f t="shared" si="397"/>
        <v>720</v>
      </c>
    </row>
    <row r="1096" spans="2:19" x14ac:dyDescent="0.2">
      <c r="B1096" s="83">
        <f t="shared" si="381"/>
        <v>500</v>
      </c>
      <c r="C1096" s="7"/>
      <c r="D1096" s="7"/>
      <c r="E1096" s="7"/>
      <c r="F1096" s="25" t="s">
        <v>172</v>
      </c>
      <c r="G1096" s="7">
        <v>640</v>
      </c>
      <c r="H1096" s="7" t="s">
        <v>141</v>
      </c>
      <c r="I1096" s="23">
        <v>492</v>
      </c>
      <c r="J1096" s="23"/>
      <c r="K1096" s="23">
        <f t="shared" si="379"/>
        <v>492</v>
      </c>
      <c r="M1096" s="23"/>
      <c r="N1096" s="23"/>
      <c r="O1096" s="86">
        <f t="shared" si="380"/>
        <v>0</v>
      </c>
      <c r="Q1096" s="273">
        <f t="shared" si="377"/>
        <v>492</v>
      </c>
      <c r="R1096" s="86">
        <f t="shared" si="397"/>
        <v>0</v>
      </c>
      <c r="S1096" s="86">
        <f t="shared" si="397"/>
        <v>492</v>
      </c>
    </row>
    <row r="1097" spans="2:19" x14ac:dyDescent="0.2">
      <c r="B1097" s="83">
        <f t="shared" si="381"/>
        <v>501</v>
      </c>
      <c r="C1097" s="6"/>
      <c r="D1097" s="6"/>
      <c r="E1097" s="6" t="s">
        <v>88</v>
      </c>
      <c r="F1097" s="29"/>
      <c r="G1097" s="6"/>
      <c r="H1097" s="6" t="s">
        <v>89</v>
      </c>
      <c r="I1097" s="41">
        <f>I1098+I1099+I1100</f>
        <v>79204</v>
      </c>
      <c r="J1097" s="41">
        <f t="shared" ref="J1097" si="398">J1098+J1099+J1100</f>
        <v>0</v>
      </c>
      <c r="K1097" s="41">
        <f t="shared" si="379"/>
        <v>79204</v>
      </c>
      <c r="M1097" s="41">
        <v>0</v>
      </c>
      <c r="N1097" s="41">
        <v>0</v>
      </c>
      <c r="O1097" s="100">
        <f t="shared" si="380"/>
        <v>0</v>
      </c>
      <c r="Q1097" s="318">
        <f t="shared" si="377"/>
        <v>79204</v>
      </c>
      <c r="R1097" s="100">
        <f t="shared" si="397"/>
        <v>0</v>
      </c>
      <c r="S1097" s="100">
        <f t="shared" si="397"/>
        <v>79204</v>
      </c>
    </row>
    <row r="1098" spans="2:19" x14ac:dyDescent="0.2">
      <c r="B1098" s="83">
        <f t="shared" si="381"/>
        <v>502</v>
      </c>
      <c r="C1098" s="7"/>
      <c r="D1098" s="7"/>
      <c r="E1098" s="7"/>
      <c r="F1098" s="25" t="s">
        <v>172</v>
      </c>
      <c r="G1098" s="7">
        <v>610</v>
      </c>
      <c r="H1098" s="7" t="s">
        <v>143</v>
      </c>
      <c r="I1098" s="23">
        <v>34488</v>
      </c>
      <c r="J1098" s="23"/>
      <c r="K1098" s="23">
        <f t="shared" si="379"/>
        <v>34488</v>
      </c>
      <c r="M1098" s="23"/>
      <c r="N1098" s="23"/>
      <c r="O1098" s="86">
        <f t="shared" si="380"/>
        <v>0</v>
      </c>
      <c r="Q1098" s="273">
        <f t="shared" si="377"/>
        <v>34488</v>
      </c>
      <c r="R1098" s="86">
        <f t="shared" si="397"/>
        <v>0</v>
      </c>
      <c r="S1098" s="86">
        <f t="shared" si="397"/>
        <v>34488</v>
      </c>
    </row>
    <row r="1099" spans="2:19" x14ac:dyDescent="0.2">
      <c r="B1099" s="83">
        <f t="shared" si="381"/>
        <v>503</v>
      </c>
      <c r="C1099" s="7"/>
      <c r="D1099" s="7"/>
      <c r="E1099" s="7"/>
      <c r="F1099" s="25" t="s">
        <v>172</v>
      </c>
      <c r="G1099" s="7">
        <v>620</v>
      </c>
      <c r="H1099" s="7" t="s">
        <v>136</v>
      </c>
      <c r="I1099" s="23">
        <v>12671</v>
      </c>
      <c r="J1099" s="23"/>
      <c r="K1099" s="23">
        <f t="shared" si="379"/>
        <v>12671</v>
      </c>
      <c r="M1099" s="23"/>
      <c r="N1099" s="23"/>
      <c r="O1099" s="86">
        <f t="shared" si="380"/>
        <v>0</v>
      </c>
      <c r="Q1099" s="273">
        <f t="shared" si="377"/>
        <v>12671</v>
      </c>
      <c r="R1099" s="86">
        <f t="shared" si="397"/>
        <v>0</v>
      </c>
      <c r="S1099" s="86">
        <f t="shared" si="397"/>
        <v>12671</v>
      </c>
    </row>
    <row r="1100" spans="2:19" x14ac:dyDescent="0.2">
      <c r="B1100" s="83">
        <f t="shared" si="381"/>
        <v>504</v>
      </c>
      <c r="C1100" s="7"/>
      <c r="D1100" s="7"/>
      <c r="E1100" s="7"/>
      <c r="F1100" s="25" t="s">
        <v>172</v>
      </c>
      <c r="G1100" s="7">
        <v>630</v>
      </c>
      <c r="H1100" s="7" t="s">
        <v>133</v>
      </c>
      <c r="I1100" s="23">
        <f>SUM(I1101:I1103)</f>
        <v>32045</v>
      </c>
      <c r="J1100" s="23">
        <f t="shared" ref="J1100" si="399">SUM(J1101:J1103)</f>
        <v>0</v>
      </c>
      <c r="K1100" s="23">
        <f t="shared" si="379"/>
        <v>32045</v>
      </c>
      <c r="M1100" s="23"/>
      <c r="N1100" s="23"/>
      <c r="O1100" s="86">
        <f t="shared" si="380"/>
        <v>0</v>
      </c>
      <c r="Q1100" s="273">
        <f t="shared" si="377"/>
        <v>32045</v>
      </c>
      <c r="R1100" s="86">
        <f t="shared" si="397"/>
        <v>0</v>
      </c>
      <c r="S1100" s="86">
        <f t="shared" si="397"/>
        <v>32045</v>
      </c>
    </row>
    <row r="1101" spans="2:19" x14ac:dyDescent="0.2">
      <c r="B1101" s="83">
        <f t="shared" si="381"/>
        <v>505</v>
      </c>
      <c r="C1101" s="3"/>
      <c r="D1101" s="3"/>
      <c r="E1101" s="3"/>
      <c r="F1101" s="26" t="s">
        <v>172</v>
      </c>
      <c r="G1101" s="3">
        <v>633</v>
      </c>
      <c r="H1101" s="3" t="s">
        <v>137</v>
      </c>
      <c r="I1101" s="19">
        <v>29645</v>
      </c>
      <c r="J1101" s="19"/>
      <c r="K1101" s="19">
        <f t="shared" si="379"/>
        <v>29645</v>
      </c>
      <c r="M1101" s="19"/>
      <c r="N1101" s="19"/>
      <c r="O1101" s="87">
        <f t="shared" si="380"/>
        <v>0</v>
      </c>
      <c r="Q1101" s="274">
        <f t="shared" si="377"/>
        <v>29645</v>
      </c>
      <c r="R1101" s="87">
        <f t="shared" si="397"/>
        <v>0</v>
      </c>
      <c r="S1101" s="87">
        <f t="shared" si="397"/>
        <v>29645</v>
      </c>
    </row>
    <row r="1102" spans="2:19" x14ac:dyDescent="0.2">
      <c r="B1102" s="83">
        <f t="shared" si="381"/>
        <v>506</v>
      </c>
      <c r="C1102" s="3"/>
      <c r="D1102" s="3"/>
      <c r="E1102" s="3"/>
      <c r="F1102" s="26" t="s">
        <v>172</v>
      </c>
      <c r="G1102" s="3">
        <v>635</v>
      </c>
      <c r="H1102" s="3" t="s">
        <v>145</v>
      </c>
      <c r="I1102" s="19">
        <v>1500</v>
      </c>
      <c r="J1102" s="19"/>
      <c r="K1102" s="19">
        <f t="shared" si="379"/>
        <v>1500</v>
      </c>
      <c r="M1102" s="19"/>
      <c r="N1102" s="19"/>
      <c r="O1102" s="87">
        <f t="shared" si="380"/>
        <v>0</v>
      </c>
      <c r="Q1102" s="274">
        <f t="shared" si="377"/>
        <v>1500</v>
      </c>
      <c r="R1102" s="87">
        <f t="shared" si="397"/>
        <v>0</v>
      </c>
      <c r="S1102" s="87">
        <f t="shared" si="397"/>
        <v>1500</v>
      </c>
    </row>
    <row r="1103" spans="2:19" x14ac:dyDescent="0.2">
      <c r="B1103" s="83">
        <f t="shared" si="381"/>
        <v>507</v>
      </c>
      <c r="C1103" s="3"/>
      <c r="D1103" s="3"/>
      <c r="E1103" s="3"/>
      <c r="F1103" s="26" t="s">
        <v>172</v>
      </c>
      <c r="G1103" s="3">
        <v>637</v>
      </c>
      <c r="H1103" s="3" t="s">
        <v>134</v>
      </c>
      <c r="I1103" s="19">
        <v>900</v>
      </c>
      <c r="J1103" s="19"/>
      <c r="K1103" s="19">
        <f t="shared" si="379"/>
        <v>900</v>
      </c>
      <c r="M1103" s="19"/>
      <c r="N1103" s="19"/>
      <c r="O1103" s="87">
        <f t="shared" si="380"/>
        <v>0</v>
      </c>
      <c r="Q1103" s="274">
        <f t="shared" si="377"/>
        <v>900</v>
      </c>
      <c r="R1103" s="87">
        <f t="shared" si="397"/>
        <v>0</v>
      </c>
      <c r="S1103" s="87">
        <f t="shared" si="397"/>
        <v>900</v>
      </c>
    </row>
    <row r="1104" spans="2:19" x14ac:dyDescent="0.2">
      <c r="B1104" s="83">
        <f t="shared" si="381"/>
        <v>508</v>
      </c>
      <c r="C1104" s="6"/>
      <c r="D1104" s="6"/>
      <c r="E1104" s="6" t="s">
        <v>111</v>
      </c>
      <c r="F1104" s="29"/>
      <c r="G1104" s="6"/>
      <c r="H1104" s="6" t="s">
        <v>112</v>
      </c>
      <c r="I1104" s="41">
        <f>I1105+I1106+I1107</f>
        <v>46072</v>
      </c>
      <c r="J1104" s="41">
        <f t="shared" ref="J1104" si="400">J1105+J1106+J1107</f>
        <v>0</v>
      </c>
      <c r="K1104" s="41">
        <f t="shared" si="379"/>
        <v>46072</v>
      </c>
      <c r="M1104" s="41">
        <v>0</v>
      </c>
      <c r="N1104" s="41">
        <v>0</v>
      </c>
      <c r="O1104" s="100">
        <f t="shared" si="380"/>
        <v>0</v>
      </c>
      <c r="Q1104" s="318">
        <f t="shared" si="377"/>
        <v>46072</v>
      </c>
      <c r="R1104" s="100">
        <f t="shared" si="397"/>
        <v>0</v>
      </c>
      <c r="S1104" s="100">
        <f t="shared" si="397"/>
        <v>46072</v>
      </c>
    </row>
    <row r="1105" spans="2:19" x14ac:dyDescent="0.2">
      <c r="B1105" s="83">
        <f t="shared" si="381"/>
        <v>509</v>
      </c>
      <c r="C1105" s="7"/>
      <c r="D1105" s="7"/>
      <c r="E1105" s="7"/>
      <c r="F1105" s="25" t="s">
        <v>172</v>
      </c>
      <c r="G1105" s="7">
        <v>610</v>
      </c>
      <c r="H1105" s="7" t="s">
        <v>143</v>
      </c>
      <c r="I1105" s="23">
        <v>19722</v>
      </c>
      <c r="J1105" s="23"/>
      <c r="K1105" s="23">
        <f t="shared" si="379"/>
        <v>19722</v>
      </c>
      <c r="M1105" s="23"/>
      <c r="N1105" s="23"/>
      <c r="O1105" s="86">
        <f t="shared" si="380"/>
        <v>0</v>
      </c>
      <c r="Q1105" s="273">
        <f t="shared" si="377"/>
        <v>19722</v>
      </c>
      <c r="R1105" s="86">
        <f t="shared" si="397"/>
        <v>0</v>
      </c>
      <c r="S1105" s="86">
        <f t="shared" si="397"/>
        <v>19722</v>
      </c>
    </row>
    <row r="1106" spans="2:19" x14ac:dyDescent="0.2">
      <c r="B1106" s="83">
        <f t="shared" si="381"/>
        <v>510</v>
      </c>
      <c r="C1106" s="7"/>
      <c r="D1106" s="7"/>
      <c r="E1106" s="7"/>
      <c r="F1106" s="25" t="s">
        <v>172</v>
      </c>
      <c r="G1106" s="7">
        <v>620</v>
      </c>
      <c r="H1106" s="7" t="s">
        <v>136</v>
      </c>
      <c r="I1106" s="23">
        <v>7215</v>
      </c>
      <c r="J1106" s="23"/>
      <c r="K1106" s="23">
        <f t="shared" si="379"/>
        <v>7215</v>
      </c>
      <c r="M1106" s="23"/>
      <c r="N1106" s="23"/>
      <c r="O1106" s="86">
        <f t="shared" si="380"/>
        <v>0</v>
      </c>
      <c r="Q1106" s="273">
        <f t="shared" si="377"/>
        <v>7215</v>
      </c>
      <c r="R1106" s="86">
        <f t="shared" si="397"/>
        <v>0</v>
      </c>
      <c r="S1106" s="86">
        <f t="shared" si="397"/>
        <v>7215</v>
      </c>
    </row>
    <row r="1107" spans="2:19" x14ac:dyDescent="0.2">
      <c r="B1107" s="83">
        <f t="shared" si="381"/>
        <v>511</v>
      </c>
      <c r="C1107" s="7"/>
      <c r="D1107" s="7"/>
      <c r="E1107" s="7"/>
      <c r="F1107" s="25" t="s">
        <v>172</v>
      </c>
      <c r="G1107" s="7">
        <v>630</v>
      </c>
      <c r="H1107" s="7" t="s">
        <v>133</v>
      </c>
      <c r="I1107" s="23">
        <f>SUM(I1108:I1110)</f>
        <v>19135</v>
      </c>
      <c r="J1107" s="23">
        <f t="shared" ref="J1107" si="401">SUM(J1108:J1110)</f>
        <v>0</v>
      </c>
      <c r="K1107" s="23">
        <f t="shared" si="379"/>
        <v>19135</v>
      </c>
      <c r="M1107" s="23"/>
      <c r="N1107" s="23"/>
      <c r="O1107" s="86">
        <f t="shared" si="380"/>
        <v>0</v>
      </c>
      <c r="Q1107" s="273">
        <f t="shared" si="377"/>
        <v>19135</v>
      </c>
      <c r="R1107" s="86">
        <f t="shared" si="397"/>
        <v>0</v>
      </c>
      <c r="S1107" s="86">
        <f t="shared" si="397"/>
        <v>19135</v>
      </c>
    </row>
    <row r="1108" spans="2:19" x14ac:dyDescent="0.2">
      <c r="B1108" s="83">
        <f t="shared" si="381"/>
        <v>512</v>
      </c>
      <c r="C1108" s="3"/>
      <c r="D1108" s="3"/>
      <c r="E1108" s="3"/>
      <c r="F1108" s="26" t="s">
        <v>172</v>
      </c>
      <c r="G1108" s="3">
        <v>633</v>
      </c>
      <c r="H1108" s="3" t="s">
        <v>137</v>
      </c>
      <c r="I1108" s="19">
        <v>17055</v>
      </c>
      <c r="J1108" s="19"/>
      <c r="K1108" s="19">
        <f t="shared" si="379"/>
        <v>17055</v>
      </c>
      <c r="M1108" s="19"/>
      <c r="N1108" s="19"/>
      <c r="O1108" s="87">
        <f t="shared" si="380"/>
        <v>0</v>
      </c>
      <c r="Q1108" s="274">
        <f t="shared" si="377"/>
        <v>17055</v>
      </c>
      <c r="R1108" s="87">
        <f t="shared" si="397"/>
        <v>0</v>
      </c>
      <c r="S1108" s="87">
        <f t="shared" si="397"/>
        <v>17055</v>
      </c>
    </row>
    <row r="1109" spans="2:19" x14ac:dyDescent="0.2">
      <c r="B1109" s="83">
        <f t="shared" si="381"/>
        <v>513</v>
      </c>
      <c r="C1109" s="3"/>
      <c r="D1109" s="3"/>
      <c r="E1109" s="3"/>
      <c r="F1109" s="26" t="s">
        <v>172</v>
      </c>
      <c r="G1109" s="3">
        <v>635</v>
      </c>
      <c r="H1109" s="3" t="s">
        <v>145</v>
      </c>
      <c r="I1109" s="19">
        <v>1300</v>
      </c>
      <c r="J1109" s="19"/>
      <c r="K1109" s="19">
        <f t="shared" si="379"/>
        <v>1300</v>
      </c>
      <c r="M1109" s="19"/>
      <c r="N1109" s="19"/>
      <c r="O1109" s="87">
        <f t="shared" si="380"/>
        <v>0</v>
      </c>
      <c r="Q1109" s="274">
        <f t="shared" si="377"/>
        <v>1300</v>
      </c>
      <c r="R1109" s="87">
        <f t="shared" si="397"/>
        <v>0</v>
      </c>
      <c r="S1109" s="87">
        <f t="shared" si="397"/>
        <v>1300</v>
      </c>
    </row>
    <row r="1110" spans="2:19" x14ac:dyDescent="0.2">
      <c r="B1110" s="83">
        <f t="shared" si="381"/>
        <v>514</v>
      </c>
      <c r="C1110" s="3"/>
      <c r="D1110" s="3"/>
      <c r="E1110" s="3"/>
      <c r="F1110" s="26" t="s">
        <v>172</v>
      </c>
      <c r="G1110" s="3">
        <v>637</v>
      </c>
      <c r="H1110" s="3" t="s">
        <v>134</v>
      </c>
      <c r="I1110" s="19">
        <v>780</v>
      </c>
      <c r="J1110" s="19"/>
      <c r="K1110" s="19">
        <f t="shared" si="379"/>
        <v>780</v>
      </c>
      <c r="M1110" s="19"/>
      <c r="N1110" s="19"/>
      <c r="O1110" s="87">
        <f t="shared" si="380"/>
        <v>0</v>
      </c>
      <c r="Q1110" s="274">
        <f t="shared" ref="Q1110:Q1173" si="402">I1110+M1110</f>
        <v>780</v>
      </c>
      <c r="R1110" s="87">
        <f t="shared" ref="R1110:S1125" si="403">J1110+N1110</f>
        <v>0</v>
      </c>
      <c r="S1110" s="87">
        <f t="shared" si="403"/>
        <v>780</v>
      </c>
    </row>
    <row r="1111" spans="2:19" x14ac:dyDescent="0.2">
      <c r="B1111" s="83">
        <f t="shared" si="381"/>
        <v>515</v>
      </c>
      <c r="C1111" s="6"/>
      <c r="D1111" s="6"/>
      <c r="E1111" s="6" t="s">
        <v>110</v>
      </c>
      <c r="F1111" s="29"/>
      <c r="G1111" s="6"/>
      <c r="H1111" s="6" t="s">
        <v>67</v>
      </c>
      <c r="I1111" s="41">
        <f>I1112+I1113+I1114+I1118</f>
        <v>55393</v>
      </c>
      <c r="J1111" s="41">
        <f t="shared" ref="J1111" si="404">J1112+J1113+J1114+J1118</f>
        <v>0</v>
      </c>
      <c r="K1111" s="41">
        <f t="shared" ref="K1111:K1174" si="405">I1111+J1111</f>
        <v>55393</v>
      </c>
      <c r="M1111" s="41">
        <v>0</v>
      </c>
      <c r="N1111" s="41">
        <v>0</v>
      </c>
      <c r="O1111" s="100">
        <f t="shared" ref="O1111:O1174" si="406">M1111+N1111</f>
        <v>0</v>
      </c>
      <c r="Q1111" s="318">
        <f t="shared" si="402"/>
        <v>55393</v>
      </c>
      <c r="R1111" s="100">
        <f t="shared" si="403"/>
        <v>0</v>
      </c>
      <c r="S1111" s="100">
        <f t="shared" si="403"/>
        <v>55393</v>
      </c>
    </row>
    <row r="1112" spans="2:19" x14ac:dyDescent="0.2">
      <c r="B1112" s="83">
        <f t="shared" ref="B1112:B1175" si="407">B1111+1</f>
        <v>516</v>
      </c>
      <c r="C1112" s="7"/>
      <c r="D1112" s="7"/>
      <c r="E1112" s="7"/>
      <c r="F1112" s="25" t="s">
        <v>172</v>
      </c>
      <c r="G1112" s="7">
        <v>610</v>
      </c>
      <c r="H1112" s="7" t="s">
        <v>143</v>
      </c>
      <c r="I1112" s="23">
        <v>22080</v>
      </c>
      <c r="J1112" s="23"/>
      <c r="K1112" s="23">
        <f t="shared" si="405"/>
        <v>22080</v>
      </c>
      <c r="M1112" s="23"/>
      <c r="N1112" s="23"/>
      <c r="O1112" s="86">
        <f t="shared" si="406"/>
        <v>0</v>
      </c>
      <c r="Q1112" s="273">
        <f t="shared" si="402"/>
        <v>22080</v>
      </c>
      <c r="R1112" s="86">
        <f t="shared" si="403"/>
        <v>0</v>
      </c>
      <c r="S1112" s="86">
        <f t="shared" si="403"/>
        <v>22080</v>
      </c>
    </row>
    <row r="1113" spans="2:19" x14ac:dyDescent="0.2">
      <c r="B1113" s="83">
        <f t="shared" si="407"/>
        <v>517</v>
      </c>
      <c r="C1113" s="7"/>
      <c r="D1113" s="7"/>
      <c r="E1113" s="7"/>
      <c r="F1113" s="25" t="s">
        <v>172</v>
      </c>
      <c r="G1113" s="7">
        <v>620</v>
      </c>
      <c r="H1113" s="7" t="s">
        <v>136</v>
      </c>
      <c r="I1113" s="23">
        <v>8266</v>
      </c>
      <c r="J1113" s="23"/>
      <c r="K1113" s="23">
        <f t="shared" si="405"/>
        <v>8266</v>
      </c>
      <c r="M1113" s="23"/>
      <c r="N1113" s="23"/>
      <c r="O1113" s="86">
        <f t="shared" si="406"/>
        <v>0</v>
      </c>
      <c r="Q1113" s="273">
        <f t="shared" si="402"/>
        <v>8266</v>
      </c>
      <c r="R1113" s="86">
        <f t="shared" si="403"/>
        <v>0</v>
      </c>
      <c r="S1113" s="86">
        <f t="shared" si="403"/>
        <v>8266</v>
      </c>
    </row>
    <row r="1114" spans="2:19" x14ac:dyDescent="0.2">
      <c r="B1114" s="83">
        <f t="shared" si="407"/>
        <v>518</v>
      </c>
      <c r="C1114" s="7"/>
      <c r="D1114" s="7"/>
      <c r="E1114" s="7"/>
      <c r="F1114" s="25" t="s">
        <v>172</v>
      </c>
      <c r="G1114" s="7">
        <v>630</v>
      </c>
      <c r="H1114" s="7" t="s">
        <v>133</v>
      </c>
      <c r="I1114" s="23">
        <f>SUM(I1115:I1117)</f>
        <v>24555</v>
      </c>
      <c r="J1114" s="23">
        <f t="shared" ref="J1114" si="408">SUM(J1115:J1117)</f>
        <v>0</v>
      </c>
      <c r="K1114" s="23">
        <f t="shared" si="405"/>
        <v>24555</v>
      </c>
      <c r="M1114" s="23"/>
      <c r="N1114" s="23"/>
      <c r="O1114" s="86">
        <f t="shared" si="406"/>
        <v>0</v>
      </c>
      <c r="Q1114" s="273">
        <f t="shared" si="402"/>
        <v>24555</v>
      </c>
      <c r="R1114" s="86">
        <f t="shared" si="403"/>
        <v>0</v>
      </c>
      <c r="S1114" s="86">
        <f t="shared" si="403"/>
        <v>24555</v>
      </c>
    </row>
    <row r="1115" spans="2:19" x14ac:dyDescent="0.2">
      <c r="B1115" s="83">
        <f t="shared" si="407"/>
        <v>519</v>
      </c>
      <c r="C1115" s="3"/>
      <c r="D1115" s="3"/>
      <c r="E1115" s="3"/>
      <c r="F1115" s="26" t="s">
        <v>172</v>
      </c>
      <c r="G1115" s="3">
        <v>633</v>
      </c>
      <c r="H1115" s="3" t="s">
        <v>137</v>
      </c>
      <c r="I1115" s="19">
        <v>22405</v>
      </c>
      <c r="J1115" s="19"/>
      <c r="K1115" s="19">
        <f t="shared" si="405"/>
        <v>22405</v>
      </c>
      <c r="M1115" s="19"/>
      <c r="N1115" s="19"/>
      <c r="O1115" s="87">
        <f t="shared" si="406"/>
        <v>0</v>
      </c>
      <c r="Q1115" s="274">
        <f t="shared" si="402"/>
        <v>22405</v>
      </c>
      <c r="R1115" s="87">
        <f t="shared" si="403"/>
        <v>0</v>
      </c>
      <c r="S1115" s="87">
        <f t="shared" si="403"/>
        <v>22405</v>
      </c>
    </row>
    <row r="1116" spans="2:19" x14ac:dyDescent="0.2">
      <c r="B1116" s="83">
        <f t="shared" si="407"/>
        <v>520</v>
      </c>
      <c r="C1116" s="3"/>
      <c r="D1116" s="3"/>
      <c r="E1116" s="3"/>
      <c r="F1116" s="26" t="s">
        <v>172</v>
      </c>
      <c r="G1116" s="3">
        <v>635</v>
      </c>
      <c r="H1116" s="3" t="s">
        <v>145</v>
      </c>
      <c r="I1116" s="19">
        <v>1400</v>
      </c>
      <c r="J1116" s="19"/>
      <c r="K1116" s="19">
        <f t="shared" si="405"/>
        <v>1400</v>
      </c>
      <c r="M1116" s="19"/>
      <c r="N1116" s="19"/>
      <c r="O1116" s="87">
        <f t="shared" si="406"/>
        <v>0</v>
      </c>
      <c r="Q1116" s="274">
        <f t="shared" si="402"/>
        <v>1400</v>
      </c>
      <c r="R1116" s="87">
        <f t="shared" si="403"/>
        <v>0</v>
      </c>
      <c r="S1116" s="87">
        <f t="shared" si="403"/>
        <v>1400</v>
      </c>
    </row>
    <row r="1117" spans="2:19" x14ac:dyDescent="0.2">
      <c r="B1117" s="83">
        <f t="shared" si="407"/>
        <v>521</v>
      </c>
      <c r="C1117" s="3"/>
      <c r="D1117" s="3"/>
      <c r="E1117" s="3"/>
      <c r="F1117" s="26" t="s">
        <v>172</v>
      </c>
      <c r="G1117" s="3">
        <v>637</v>
      </c>
      <c r="H1117" s="3" t="s">
        <v>134</v>
      </c>
      <c r="I1117" s="19">
        <v>750</v>
      </c>
      <c r="J1117" s="19"/>
      <c r="K1117" s="19">
        <f t="shared" si="405"/>
        <v>750</v>
      </c>
      <c r="M1117" s="19"/>
      <c r="N1117" s="19"/>
      <c r="O1117" s="87">
        <f t="shared" si="406"/>
        <v>0</v>
      </c>
      <c r="Q1117" s="274">
        <f t="shared" si="402"/>
        <v>750</v>
      </c>
      <c r="R1117" s="87">
        <f t="shared" si="403"/>
        <v>0</v>
      </c>
      <c r="S1117" s="87">
        <f t="shared" si="403"/>
        <v>750</v>
      </c>
    </row>
    <row r="1118" spans="2:19" x14ac:dyDescent="0.2">
      <c r="B1118" s="83">
        <f t="shared" si="407"/>
        <v>522</v>
      </c>
      <c r="C1118" s="7"/>
      <c r="D1118" s="7"/>
      <c r="E1118" s="7"/>
      <c r="F1118" s="25" t="s">
        <v>172</v>
      </c>
      <c r="G1118" s="7">
        <v>640</v>
      </c>
      <c r="H1118" s="7" t="s">
        <v>141</v>
      </c>
      <c r="I1118" s="23">
        <v>492</v>
      </c>
      <c r="J1118" s="23"/>
      <c r="K1118" s="23">
        <f t="shared" si="405"/>
        <v>492</v>
      </c>
      <c r="M1118" s="23"/>
      <c r="N1118" s="23"/>
      <c r="O1118" s="86">
        <f t="shared" si="406"/>
        <v>0</v>
      </c>
      <c r="Q1118" s="273">
        <f t="shared" si="402"/>
        <v>492</v>
      </c>
      <c r="R1118" s="86">
        <f t="shared" si="403"/>
        <v>0</v>
      </c>
      <c r="S1118" s="86">
        <f t="shared" si="403"/>
        <v>492</v>
      </c>
    </row>
    <row r="1119" spans="2:19" x14ac:dyDescent="0.2">
      <c r="B1119" s="83">
        <f t="shared" si="407"/>
        <v>523</v>
      </c>
      <c r="C1119" s="6"/>
      <c r="D1119" s="6"/>
      <c r="E1119" s="6" t="s">
        <v>106</v>
      </c>
      <c r="F1119" s="29"/>
      <c r="G1119" s="6"/>
      <c r="H1119" s="6" t="s">
        <v>73</v>
      </c>
      <c r="I1119" s="41">
        <f>I1120+I1121+I1122</f>
        <v>66164</v>
      </c>
      <c r="J1119" s="41">
        <f t="shared" ref="J1119" si="409">J1120+J1121+J1122</f>
        <v>0</v>
      </c>
      <c r="K1119" s="41">
        <f t="shared" si="405"/>
        <v>66164</v>
      </c>
      <c r="M1119" s="41">
        <v>0</v>
      </c>
      <c r="N1119" s="41">
        <v>0</v>
      </c>
      <c r="O1119" s="100">
        <f t="shared" si="406"/>
        <v>0</v>
      </c>
      <c r="Q1119" s="318">
        <f t="shared" si="402"/>
        <v>66164</v>
      </c>
      <c r="R1119" s="100">
        <f t="shared" si="403"/>
        <v>0</v>
      </c>
      <c r="S1119" s="100">
        <f t="shared" si="403"/>
        <v>66164</v>
      </c>
    </row>
    <row r="1120" spans="2:19" x14ac:dyDescent="0.2">
      <c r="B1120" s="83">
        <f t="shared" si="407"/>
        <v>524</v>
      </c>
      <c r="C1120" s="7"/>
      <c r="D1120" s="7"/>
      <c r="E1120" s="7"/>
      <c r="F1120" s="25" t="s">
        <v>172</v>
      </c>
      <c r="G1120" s="7">
        <v>610</v>
      </c>
      <c r="H1120" s="7" t="s">
        <v>143</v>
      </c>
      <c r="I1120" s="23">
        <v>25835</v>
      </c>
      <c r="J1120" s="23"/>
      <c r="K1120" s="23">
        <f t="shared" si="405"/>
        <v>25835</v>
      </c>
      <c r="M1120" s="23"/>
      <c r="N1120" s="23"/>
      <c r="O1120" s="86">
        <f t="shared" si="406"/>
        <v>0</v>
      </c>
      <c r="Q1120" s="273">
        <f t="shared" si="402"/>
        <v>25835</v>
      </c>
      <c r="R1120" s="86">
        <f t="shared" si="403"/>
        <v>0</v>
      </c>
      <c r="S1120" s="86">
        <f t="shared" si="403"/>
        <v>25835</v>
      </c>
    </row>
    <row r="1121" spans="2:19" x14ac:dyDescent="0.2">
      <c r="B1121" s="83">
        <f t="shared" si="407"/>
        <v>525</v>
      </c>
      <c r="C1121" s="7"/>
      <c r="D1121" s="7"/>
      <c r="E1121" s="7"/>
      <c r="F1121" s="25" t="s">
        <v>172</v>
      </c>
      <c r="G1121" s="7">
        <v>620</v>
      </c>
      <c r="H1121" s="7" t="s">
        <v>136</v>
      </c>
      <c r="I1121" s="23">
        <v>9474</v>
      </c>
      <c r="J1121" s="23"/>
      <c r="K1121" s="23">
        <f t="shared" si="405"/>
        <v>9474</v>
      </c>
      <c r="M1121" s="23"/>
      <c r="N1121" s="23"/>
      <c r="O1121" s="86">
        <f t="shared" si="406"/>
        <v>0</v>
      </c>
      <c r="Q1121" s="273">
        <f t="shared" si="402"/>
        <v>9474</v>
      </c>
      <c r="R1121" s="86">
        <f t="shared" si="403"/>
        <v>0</v>
      </c>
      <c r="S1121" s="86">
        <f t="shared" si="403"/>
        <v>9474</v>
      </c>
    </row>
    <row r="1122" spans="2:19" x14ac:dyDescent="0.2">
      <c r="B1122" s="83">
        <f t="shared" si="407"/>
        <v>526</v>
      </c>
      <c r="C1122" s="7"/>
      <c r="D1122" s="7"/>
      <c r="E1122" s="7"/>
      <c r="F1122" s="25" t="s">
        <v>172</v>
      </c>
      <c r="G1122" s="7">
        <v>630</v>
      </c>
      <c r="H1122" s="7" t="s">
        <v>133</v>
      </c>
      <c r="I1122" s="23">
        <f>SUM(I1123:I1125)</f>
        <v>30855</v>
      </c>
      <c r="J1122" s="23">
        <f t="shared" ref="J1122" si="410">SUM(J1123:J1125)</f>
        <v>0</v>
      </c>
      <c r="K1122" s="23">
        <f t="shared" si="405"/>
        <v>30855</v>
      </c>
      <c r="M1122" s="23"/>
      <c r="N1122" s="23"/>
      <c r="O1122" s="86">
        <f t="shared" si="406"/>
        <v>0</v>
      </c>
      <c r="Q1122" s="273">
        <f t="shared" si="402"/>
        <v>30855</v>
      </c>
      <c r="R1122" s="86">
        <f t="shared" si="403"/>
        <v>0</v>
      </c>
      <c r="S1122" s="86">
        <f t="shared" si="403"/>
        <v>30855</v>
      </c>
    </row>
    <row r="1123" spans="2:19" x14ac:dyDescent="0.2">
      <c r="B1123" s="83">
        <f t="shared" si="407"/>
        <v>527</v>
      </c>
      <c r="C1123" s="3"/>
      <c r="D1123" s="3"/>
      <c r="E1123" s="3"/>
      <c r="F1123" s="26" t="s">
        <v>172</v>
      </c>
      <c r="G1123" s="3">
        <v>633</v>
      </c>
      <c r="H1123" s="3" t="s">
        <v>137</v>
      </c>
      <c r="I1123" s="19">
        <v>27560</v>
      </c>
      <c r="J1123" s="19"/>
      <c r="K1123" s="19">
        <f t="shared" si="405"/>
        <v>27560</v>
      </c>
      <c r="M1123" s="19"/>
      <c r="N1123" s="19"/>
      <c r="O1123" s="87">
        <f t="shared" si="406"/>
        <v>0</v>
      </c>
      <c r="Q1123" s="274">
        <f t="shared" si="402"/>
        <v>27560</v>
      </c>
      <c r="R1123" s="87">
        <f t="shared" si="403"/>
        <v>0</v>
      </c>
      <c r="S1123" s="87">
        <f t="shared" si="403"/>
        <v>27560</v>
      </c>
    </row>
    <row r="1124" spans="2:19" x14ac:dyDescent="0.2">
      <c r="B1124" s="83">
        <f t="shared" si="407"/>
        <v>528</v>
      </c>
      <c r="C1124" s="3"/>
      <c r="D1124" s="3"/>
      <c r="E1124" s="3"/>
      <c r="F1124" s="26" t="s">
        <v>172</v>
      </c>
      <c r="G1124" s="3">
        <v>635</v>
      </c>
      <c r="H1124" s="3" t="s">
        <v>145</v>
      </c>
      <c r="I1124" s="19">
        <v>2300</v>
      </c>
      <c r="J1124" s="19"/>
      <c r="K1124" s="19">
        <f t="shared" si="405"/>
        <v>2300</v>
      </c>
      <c r="M1124" s="19"/>
      <c r="N1124" s="19"/>
      <c r="O1124" s="87">
        <f t="shared" si="406"/>
        <v>0</v>
      </c>
      <c r="Q1124" s="274">
        <f t="shared" si="402"/>
        <v>2300</v>
      </c>
      <c r="R1124" s="87">
        <f t="shared" si="403"/>
        <v>0</v>
      </c>
      <c r="S1124" s="87">
        <f t="shared" si="403"/>
        <v>2300</v>
      </c>
    </row>
    <row r="1125" spans="2:19" x14ac:dyDescent="0.2">
      <c r="B1125" s="83">
        <f t="shared" si="407"/>
        <v>529</v>
      </c>
      <c r="C1125" s="3"/>
      <c r="D1125" s="3"/>
      <c r="E1125" s="3"/>
      <c r="F1125" s="26" t="s">
        <v>172</v>
      </c>
      <c r="G1125" s="3">
        <v>637</v>
      </c>
      <c r="H1125" s="3" t="s">
        <v>134</v>
      </c>
      <c r="I1125" s="19">
        <v>995</v>
      </c>
      <c r="J1125" s="19"/>
      <c r="K1125" s="19">
        <f t="shared" si="405"/>
        <v>995</v>
      </c>
      <c r="M1125" s="19"/>
      <c r="N1125" s="19"/>
      <c r="O1125" s="87">
        <f t="shared" si="406"/>
        <v>0</v>
      </c>
      <c r="Q1125" s="274">
        <f t="shared" si="402"/>
        <v>995</v>
      </c>
      <c r="R1125" s="87">
        <f t="shared" si="403"/>
        <v>0</v>
      </c>
      <c r="S1125" s="87">
        <f t="shared" si="403"/>
        <v>995</v>
      </c>
    </row>
    <row r="1126" spans="2:19" x14ac:dyDescent="0.2">
      <c r="B1126" s="83">
        <f t="shared" si="407"/>
        <v>530</v>
      </c>
      <c r="C1126" s="6"/>
      <c r="D1126" s="6"/>
      <c r="E1126" s="6" t="s">
        <v>109</v>
      </c>
      <c r="F1126" s="29"/>
      <c r="G1126" s="6"/>
      <c r="H1126" s="6" t="s">
        <v>74</v>
      </c>
      <c r="I1126" s="41">
        <f>I1127+I1128+I1129</f>
        <v>44928</v>
      </c>
      <c r="J1126" s="41">
        <f t="shared" ref="J1126" si="411">J1127+J1128+J1129</f>
        <v>0</v>
      </c>
      <c r="K1126" s="41">
        <f t="shared" si="405"/>
        <v>44928</v>
      </c>
      <c r="M1126" s="41">
        <v>0</v>
      </c>
      <c r="N1126" s="41">
        <v>0</v>
      </c>
      <c r="O1126" s="100">
        <f t="shared" si="406"/>
        <v>0</v>
      </c>
      <c r="Q1126" s="318">
        <f t="shared" si="402"/>
        <v>44928</v>
      </c>
      <c r="R1126" s="100">
        <f t="shared" ref="R1126:S1141" si="412">J1126+N1126</f>
        <v>0</v>
      </c>
      <c r="S1126" s="100">
        <f t="shared" si="412"/>
        <v>44928</v>
      </c>
    </row>
    <row r="1127" spans="2:19" x14ac:dyDescent="0.2">
      <c r="B1127" s="83">
        <f t="shared" si="407"/>
        <v>531</v>
      </c>
      <c r="C1127" s="7"/>
      <c r="D1127" s="7"/>
      <c r="E1127" s="7"/>
      <c r="F1127" s="25" t="s">
        <v>172</v>
      </c>
      <c r="G1127" s="7">
        <v>610</v>
      </c>
      <c r="H1127" s="7" t="s">
        <v>143</v>
      </c>
      <c r="I1127" s="23">
        <v>19942</v>
      </c>
      <c r="J1127" s="23"/>
      <c r="K1127" s="23">
        <f t="shared" si="405"/>
        <v>19942</v>
      </c>
      <c r="M1127" s="23"/>
      <c r="N1127" s="23"/>
      <c r="O1127" s="86">
        <f t="shared" si="406"/>
        <v>0</v>
      </c>
      <c r="Q1127" s="273">
        <f t="shared" si="402"/>
        <v>19942</v>
      </c>
      <c r="R1127" s="86">
        <f t="shared" si="412"/>
        <v>0</v>
      </c>
      <c r="S1127" s="86">
        <f t="shared" si="412"/>
        <v>19942</v>
      </c>
    </row>
    <row r="1128" spans="2:19" x14ac:dyDescent="0.2">
      <c r="B1128" s="83">
        <f t="shared" si="407"/>
        <v>532</v>
      </c>
      <c r="C1128" s="7"/>
      <c r="D1128" s="7"/>
      <c r="E1128" s="7"/>
      <c r="F1128" s="25" t="s">
        <v>172</v>
      </c>
      <c r="G1128" s="7">
        <v>620</v>
      </c>
      <c r="H1128" s="7" t="s">
        <v>136</v>
      </c>
      <c r="I1128" s="23">
        <v>7296</v>
      </c>
      <c r="J1128" s="23"/>
      <c r="K1128" s="23">
        <f t="shared" si="405"/>
        <v>7296</v>
      </c>
      <c r="M1128" s="23"/>
      <c r="N1128" s="23"/>
      <c r="O1128" s="86">
        <f t="shared" si="406"/>
        <v>0</v>
      </c>
      <c r="Q1128" s="273">
        <f t="shared" si="402"/>
        <v>7296</v>
      </c>
      <c r="R1128" s="86">
        <f t="shared" si="412"/>
        <v>0</v>
      </c>
      <c r="S1128" s="86">
        <f t="shared" si="412"/>
        <v>7296</v>
      </c>
    </row>
    <row r="1129" spans="2:19" x14ac:dyDescent="0.2">
      <c r="B1129" s="83">
        <f t="shared" si="407"/>
        <v>533</v>
      </c>
      <c r="C1129" s="7"/>
      <c r="D1129" s="7"/>
      <c r="E1129" s="7"/>
      <c r="F1129" s="25" t="s">
        <v>172</v>
      </c>
      <c r="G1129" s="7">
        <v>630</v>
      </c>
      <c r="H1129" s="7" t="s">
        <v>133</v>
      </c>
      <c r="I1129" s="23">
        <v>17690</v>
      </c>
      <c r="J1129" s="23"/>
      <c r="K1129" s="23">
        <f t="shared" si="405"/>
        <v>17690</v>
      </c>
      <c r="M1129" s="23"/>
      <c r="N1129" s="23"/>
      <c r="O1129" s="86">
        <f t="shared" si="406"/>
        <v>0</v>
      </c>
      <c r="Q1129" s="273">
        <f t="shared" si="402"/>
        <v>17690</v>
      </c>
      <c r="R1129" s="86">
        <f t="shared" si="412"/>
        <v>0</v>
      </c>
      <c r="S1129" s="86">
        <f t="shared" si="412"/>
        <v>17690</v>
      </c>
    </row>
    <row r="1130" spans="2:19" x14ac:dyDescent="0.2">
      <c r="B1130" s="83">
        <f t="shared" si="407"/>
        <v>534</v>
      </c>
      <c r="C1130" s="3"/>
      <c r="D1130" s="3"/>
      <c r="E1130" s="3"/>
      <c r="F1130" s="26" t="s">
        <v>172</v>
      </c>
      <c r="G1130" s="3">
        <v>633</v>
      </c>
      <c r="H1130" s="3" t="s">
        <v>137</v>
      </c>
      <c r="I1130" s="19">
        <v>15750</v>
      </c>
      <c r="J1130" s="19"/>
      <c r="K1130" s="19">
        <f t="shared" si="405"/>
        <v>15750</v>
      </c>
      <c r="M1130" s="19"/>
      <c r="N1130" s="19"/>
      <c r="O1130" s="87">
        <f t="shared" si="406"/>
        <v>0</v>
      </c>
      <c r="Q1130" s="274">
        <f t="shared" si="402"/>
        <v>15750</v>
      </c>
      <c r="R1130" s="87">
        <f t="shared" si="412"/>
        <v>0</v>
      </c>
      <c r="S1130" s="87">
        <f t="shared" si="412"/>
        <v>15750</v>
      </c>
    </row>
    <row r="1131" spans="2:19" x14ac:dyDescent="0.2">
      <c r="B1131" s="83">
        <f t="shared" si="407"/>
        <v>535</v>
      </c>
      <c r="C1131" s="3"/>
      <c r="D1131" s="3"/>
      <c r="E1131" s="3"/>
      <c r="F1131" s="26" t="s">
        <v>172</v>
      </c>
      <c r="G1131" s="3">
        <v>635</v>
      </c>
      <c r="H1131" s="3" t="s">
        <v>145</v>
      </c>
      <c r="I1131" s="19">
        <v>1400</v>
      </c>
      <c r="J1131" s="19"/>
      <c r="K1131" s="19">
        <f t="shared" si="405"/>
        <v>1400</v>
      </c>
      <c r="M1131" s="19"/>
      <c r="N1131" s="19"/>
      <c r="O1131" s="87">
        <f t="shared" si="406"/>
        <v>0</v>
      </c>
      <c r="Q1131" s="274">
        <f t="shared" si="402"/>
        <v>1400</v>
      </c>
      <c r="R1131" s="87">
        <f t="shared" si="412"/>
        <v>0</v>
      </c>
      <c r="S1131" s="87">
        <f t="shared" si="412"/>
        <v>1400</v>
      </c>
    </row>
    <row r="1132" spans="2:19" x14ac:dyDescent="0.2">
      <c r="B1132" s="83">
        <f t="shared" si="407"/>
        <v>536</v>
      </c>
      <c r="C1132" s="3"/>
      <c r="D1132" s="3"/>
      <c r="E1132" s="3"/>
      <c r="F1132" s="26" t="s">
        <v>172</v>
      </c>
      <c r="G1132" s="3">
        <v>637</v>
      </c>
      <c r="H1132" s="3" t="s">
        <v>134</v>
      </c>
      <c r="I1132" s="19">
        <v>540</v>
      </c>
      <c r="J1132" s="19"/>
      <c r="K1132" s="19">
        <f t="shared" si="405"/>
        <v>540</v>
      </c>
      <c r="M1132" s="19"/>
      <c r="N1132" s="19"/>
      <c r="O1132" s="87">
        <f t="shared" si="406"/>
        <v>0</v>
      </c>
      <c r="Q1132" s="274">
        <f t="shared" si="402"/>
        <v>540</v>
      </c>
      <c r="R1132" s="87">
        <f t="shared" si="412"/>
        <v>0</v>
      </c>
      <c r="S1132" s="87">
        <f t="shared" si="412"/>
        <v>540</v>
      </c>
    </row>
    <row r="1133" spans="2:19" x14ac:dyDescent="0.2">
      <c r="B1133" s="83">
        <f t="shared" si="407"/>
        <v>537</v>
      </c>
      <c r="C1133" s="6"/>
      <c r="D1133" s="6"/>
      <c r="E1133" s="6" t="s">
        <v>102</v>
      </c>
      <c r="F1133" s="29"/>
      <c r="G1133" s="6"/>
      <c r="H1133" s="6" t="s">
        <v>103</v>
      </c>
      <c r="I1133" s="41">
        <f>I1134+I1135+I1136</f>
        <v>29255</v>
      </c>
      <c r="J1133" s="41">
        <f t="shared" ref="J1133" si="413">J1134+J1135+J1136</f>
        <v>0</v>
      </c>
      <c r="K1133" s="41">
        <f t="shared" si="405"/>
        <v>29255</v>
      </c>
      <c r="M1133" s="41">
        <v>0</v>
      </c>
      <c r="N1133" s="41">
        <v>0</v>
      </c>
      <c r="O1133" s="100">
        <f t="shared" si="406"/>
        <v>0</v>
      </c>
      <c r="Q1133" s="318">
        <f t="shared" si="402"/>
        <v>29255</v>
      </c>
      <c r="R1133" s="100">
        <f t="shared" si="412"/>
        <v>0</v>
      </c>
      <c r="S1133" s="100">
        <f t="shared" si="412"/>
        <v>29255</v>
      </c>
    </row>
    <row r="1134" spans="2:19" x14ac:dyDescent="0.2">
      <c r="B1134" s="83">
        <f t="shared" si="407"/>
        <v>538</v>
      </c>
      <c r="C1134" s="7"/>
      <c r="D1134" s="7"/>
      <c r="E1134" s="7"/>
      <c r="F1134" s="25" t="s">
        <v>172</v>
      </c>
      <c r="G1134" s="7">
        <v>610</v>
      </c>
      <c r="H1134" s="7" t="s">
        <v>143</v>
      </c>
      <c r="I1134" s="23">
        <v>10987</v>
      </c>
      <c r="J1134" s="23"/>
      <c r="K1134" s="23">
        <f t="shared" si="405"/>
        <v>10987</v>
      </c>
      <c r="M1134" s="23"/>
      <c r="N1134" s="23"/>
      <c r="O1134" s="86">
        <f t="shared" si="406"/>
        <v>0</v>
      </c>
      <c r="Q1134" s="273">
        <f t="shared" si="402"/>
        <v>10987</v>
      </c>
      <c r="R1134" s="86">
        <f t="shared" si="412"/>
        <v>0</v>
      </c>
      <c r="S1134" s="86">
        <f t="shared" si="412"/>
        <v>10987</v>
      </c>
    </row>
    <row r="1135" spans="2:19" x14ac:dyDescent="0.2">
      <c r="B1135" s="83">
        <f t="shared" si="407"/>
        <v>539</v>
      </c>
      <c r="C1135" s="7"/>
      <c r="D1135" s="7"/>
      <c r="E1135" s="7"/>
      <c r="F1135" s="25" t="s">
        <v>172</v>
      </c>
      <c r="G1135" s="7">
        <v>620</v>
      </c>
      <c r="H1135" s="7" t="s">
        <v>136</v>
      </c>
      <c r="I1135" s="23">
        <v>3973</v>
      </c>
      <c r="J1135" s="23"/>
      <c r="K1135" s="23">
        <f t="shared" si="405"/>
        <v>3973</v>
      </c>
      <c r="M1135" s="23"/>
      <c r="N1135" s="23"/>
      <c r="O1135" s="86">
        <f t="shared" si="406"/>
        <v>0</v>
      </c>
      <c r="Q1135" s="273">
        <f t="shared" si="402"/>
        <v>3973</v>
      </c>
      <c r="R1135" s="86">
        <f t="shared" si="412"/>
        <v>0</v>
      </c>
      <c r="S1135" s="86">
        <f t="shared" si="412"/>
        <v>3973</v>
      </c>
    </row>
    <row r="1136" spans="2:19" x14ac:dyDescent="0.2">
      <c r="B1136" s="83">
        <f t="shared" si="407"/>
        <v>540</v>
      </c>
      <c r="C1136" s="7"/>
      <c r="D1136" s="7"/>
      <c r="E1136" s="7"/>
      <c r="F1136" s="25" t="s">
        <v>172</v>
      </c>
      <c r="G1136" s="7">
        <v>630</v>
      </c>
      <c r="H1136" s="7" t="s">
        <v>133</v>
      </c>
      <c r="I1136" s="23">
        <f>SUM(I1137:I1139)</f>
        <v>14295</v>
      </c>
      <c r="J1136" s="23">
        <f t="shared" ref="J1136" si="414">SUM(J1137:J1139)</f>
        <v>0</v>
      </c>
      <c r="K1136" s="23">
        <f t="shared" si="405"/>
        <v>14295</v>
      </c>
      <c r="M1136" s="23"/>
      <c r="N1136" s="23"/>
      <c r="O1136" s="86">
        <f t="shared" si="406"/>
        <v>0</v>
      </c>
      <c r="Q1136" s="273">
        <f t="shared" si="402"/>
        <v>14295</v>
      </c>
      <c r="R1136" s="86">
        <f t="shared" si="412"/>
        <v>0</v>
      </c>
      <c r="S1136" s="86">
        <f t="shared" si="412"/>
        <v>14295</v>
      </c>
    </row>
    <row r="1137" spans="2:19" x14ac:dyDescent="0.2">
      <c r="B1137" s="83">
        <f t="shared" si="407"/>
        <v>541</v>
      </c>
      <c r="C1137" s="3"/>
      <c r="D1137" s="3"/>
      <c r="E1137" s="3"/>
      <c r="F1137" s="26" t="s">
        <v>172</v>
      </c>
      <c r="G1137" s="3">
        <v>633</v>
      </c>
      <c r="H1137" s="3" t="s">
        <v>137</v>
      </c>
      <c r="I1137" s="19">
        <v>12250</v>
      </c>
      <c r="J1137" s="19"/>
      <c r="K1137" s="19">
        <f t="shared" si="405"/>
        <v>12250</v>
      </c>
      <c r="M1137" s="19"/>
      <c r="N1137" s="19"/>
      <c r="O1137" s="87">
        <f t="shared" si="406"/>
        <v>0</v>
      </c>
      <c r="Q1137" s="274">
        <f t="shared" si="402"/>
        <v>12250</v>
      </c>
      <c r="R1137" s="87">
        <f t="shared" si="412"/>
        <v>0</v>
      </c>
      <c r="S1137" s="87">
        <f t="shared" si="412"/>
        <v>12250</v>
      </c>
    </row>
    <row r="1138" spans="2:19" x14ac:dyDescent="0.2">
      <c r="B1138" s="83">
        <f t="shared" si="407"/>
        <v>542</v>
      </c>
      <c r="C1138" s="3"/>
      <c r="D1138" s="3"/>
      <c r="E1138" s="3"/>
      <c r="F1138" s="26" t="s">
        <v>172</v>
      </c>
      <c r="G1138" s="3">
        <v>635</v>
      </c>
      <c r="H1138" s="3" t="s">
        <v>145</v>
      </c>
      <c r="I1138" s="19">
        <v>1500</v>
      </c>
      <c r="J1138" s="19"/>
      <c r="K1138" s="19">
        <f t="shared" si="405"/>
        <v>1500</v>
      </c>
      <c r="M1138" s="19"/>
      <c r="N1138" s="19"/>
      <c r="O1138" s="87">
        <f t="shared" si="406"/>
        <v>0</v>
      </c>
      <c r="Q1138" s="274">
        <f t="shared" si="402"/>
        <v>1500</v>
      </c>
      <c r="R1138" s="87">
        <f t="shared" si="412"/>
        <v>0</v>
      </c>
      <c r="S1138" s="87">
        <f t="shared" si="412"/>
        <v>1500</v>
      </c>
    </row>
    <row r="1139" spans="2:19" x14ac:dyDescent="0.2">
      <c r="B1139" s="83">
        <f t="shared" si="407"/>
        <v>543</v>
      </c>
      <c r="C1139" s="3"/>
      <c r="D1139" s="3"/>
      <c r="E1139" s="3"/>
      <c r="F1139" s="26" t="s">
        <v>172</v>
      </c>
      <c r="G1139" s="3">
        <v>637</v>
      </c>
      <c r="H1139" s="3" t="s">
        <v>134</v>
      </c>
      <c r="I1139" s="19">
        <v>545</v>
      </c>
      <c r="J1139" s="19"/>
      <c r="K1139" s="19">
        <f t="shared" si="405"/>
        <v>545</v>
      </c>
      <c r="M1139" s="19"/>
      <c r="N1139" s="19"/>
      <c r="O1139" s="87">
        <f t="shared" si="406"/>
        <v>0</v>
      </c>
      <c r="Q1139" s="274">
        <f t="shared" si="402"/>
        <v>545</v>
      </c>
      <c r="R1139" s="87">
        <f t="shared" si="412"/>
        <v>0</v>
      </c>
      <c r="S1139" s="87">
        <f t="shared" si="412"/>
        <v>545</v>
      </c>
    </row>
    <row r="1140" spans="2:19" x14ac:dyDescent="0.2">
      <c r="B1140" s="83">
        <f t="shared" si="407"/>
        <v>544</v>
      </c>
      <c r="C1140" s="6"/>
      <c r="D1140" s="6"/>
      <c r="E1140" s="6" t="s">
        <v>94</v>
      </c>
      <c r="F1140" s="29"/>
      <c r="G1140" s="6"/>
      <c r="H1140" s="6" t="s">
        <v>212</v>
      </c>
      <c r="I1140" s="41">
        <f>I1141+I1142+I1143</f>
        <v>45888</v>
      </c>
      <c r="J1140" s="41">
        <f t="shared" ref="J1140" si="415">J1141+J1142+J1143</f>
        <v>0</v>
      </c>
      <c r="K1140" s="41">
        <f t="shared" si="405"/>
        <v>45888</v>
      </c>
      <c r="M1140" s="41">
        <v>0</v>
      </c>
      <c r="N1140" s="41">
        <v>0</v>
      </c>
      <c r="O1140" s="100">
        <f t="shared" si="406"/>
        <v>0</v>
      </c>
      <c r="Q1140" s="318">
        <f t="shared" si="402"/>
        <v>45888</v>
      </c>
      <c r="R1140" s="100">
        <f t="shared" si="412"/>
        <v>0</v>
      </c>
      <c r="S1140" s="100">
        <f t="shared" si="412"/>
        <v>45888</v>
      </c>
    </row>
    <row r="1141" spans="2:19" x14ac:dyDescent="0.2">
      <c r="B1141" s="83">
        <f t="shared" si="407"/>
        <v>545</v>
      </c>
      <c r="C1141" s="7"/>
      <c r="D1141" s="7"/>
      <c r="E1141" s="7"/>
      <c r="F1141" s="25" t="s">
        <v>172</v>
      </c>
      <c r="G1141" s="7">
        <v>610</v>
      </c>
      <c r="H1141" s="7" t="s">
        <v>143</v>
      </c>
      <c r="I1141" s="23">
        <v>16846</v>
      </c>
      <c r="J1141" s="23"/>
      <c r="K1141" s="23">
        <f t="shared" si="405"/>
        <v>16846</v>
      </c>
      <c r="M1141" s="23"/>
      <c r="N1141" s="23"/>
      <c r="O1141" s="86">
        <f t="shared" si="406"/>
        <v>0</v>
      </c>
      <c r="Q1141" s="273">
        <f t="shared" si="402"/>
        <v>16846</v>
      </c>
      <c r="R1141" s="86">
        <f t="shared" si="412"/>
        <v>0</v>
      </c>
      <c r="S1141" s="86">
        <f t="shared" si="412"/>
        <v>16846</v>
      </c>
    </row>
    <row r="1142" spans="2:19" x14ac:dyDescent="0.2">
      <c r="B1142" s="83">
        <f t="shared" si="407"/>
        <v>546</v>
      </c>
      <c r="C1142" s="7"/>
      <c r="D1142" s="7"/>
      <c r="E1142" s="7"/>
      <c r="F1142" s="25" t="s">
        <v>172</v>
      </c>
      <c r="G1142" s="7">
        <v>620</v>
      </c>
      <c r="H1142" s="7" t="s">
        <v>136</v>
      </c>
      <c r="I1142" s="23">
        <v>6152</v>
      </c>
      <c r="J1142" s="23"/>
      <c r="K1142" s="23">
        <f t="shared" si="405"/>
        <v>6152</v>
      </c>
      <c r="M1142" s="23"/>
      <c r="N1142" s="23"/>
      <c r="O1142" s="86">
        <f t="shared" si="406"/>
        <v>0</v>
      </c>
      <c r="Q1142" s="273">
        <f t="shared" si="402"/>
        <v>6152</v>
      </c>
      <c r="R1142" s="86">
        <f t="shared" ref="R1142:S1157" si="416">J1142+N1142</f>
        <v>0</v>
      </c>
      <c r="S1142" s="86">
        <f t="shared" si="416"/>
        <v>6152</v>
      </c>
    </row>
    <row r="1143" spans="2:19" x14ac:dyDescent="0.2">
      <c r="B1143" s="83">
        <f t="shared" si="407"/>
        <v>547</v>
      </c>
      <c r="C1143" s="7"/>
      <c r="D1143" s="7"/>
      <c r="E1143" s="7"/>
      <c r="F1143" s="25" t="s">
        <v>172</v>
      </c>
      <c r="G1143" s="7">
        <v>630</v>
      </c>
      <c r="H1143" s="7" t="s">
        <v>133</v>
      </c>
      <c r="I1143" s="23">
        <f>SUM(I1144:I1146)</f>
        <v>22890</v>
      </c>
      <c r="J1143" s="23">
        <f t="shared" ref="J1143" si="417">SUM(J1144:J1146)</f>
        <v>0</v>
      </c>
      <c r="K1143" s="23">
        <f t="shared" si="405"/>
        <v>22890</v>
      </c>
      <c r="M1143" s="23"/>
      <c r="N1143" s="23"/>
      <c r="O1143" s="86">
        <f t="shared" si="406"/>
        <v>0</v>
      </c>
      <c r="Q1143" s="273">
        <f t="shared" si="402"/>
        <v>22890</v>
      </c>
      <c r="R1143" s="86">
        <f t="shared" si="416"/>
        <v>0</v>
      </c>
      <c r="S1143" s="86">
        <f t="shared" si="416"/>
        <v>22890</v>
      </c>
    </row>
    <row r="1144" spans="2:19" x14ac:dyDescent="0.2">
      <c r="B1144" s="83">
        <f t="shared" si="407"/>
        <v>548</v>
      </c>
      <c r="C1144" s="3"/>
      <c r="D1144" s="3"/>
      <c r="E1144" s="3"/>
      <c r="F1144" s="26" t="s">
        <v>172</v>
      </c>
      <c r="G1144" s="3">
        <v>633</v>
      </c>
      <c r="H1144" s="3" t="s">
        <v>137</v>
      </c>
      <c r="I1144" s="19">
        <v>21140</v>
      </c>
      <c r="J1144" s="19"/>
      <c r="K1144" s="19">
        <f t="shared" si="405"/>
        <v>21140</v>
      </c>
      <c r="M1144" s="19"/>
      <c r="N1144" s="19"/>
      <c r="O1144" s="87">
        <f t="shared" si="406"/>
        <v>0</v>
      </c>
      <c r="Q1144" s="274">
        <f t="shared" si="402"/>
        <v>21140</v>
      </c>
      <c r="R1144" s="87">
        <f t="shared" si="416"/>
        <v>0</v>
      </c>
      <c r="S1144" s="87">
        <f t="shared" si="416"/>
        <v>21140</v>
      </c>
    </row>
    <row r="1145" spans="2:19" x14ac:dyDescent="0.2">
      <c r="B1145" s="83">
        <f t="shared" si="407"/>
        <v>549</v>
      </c>
      <c r="C1145" s="3"/>
      <c r="D1145" s="3"/>
      <c r="E1145" s="3"/>
      <c r="F1145" s="26" t="s">
        <v>172</v>
      </c>
      <c r="G1145" s="3">
        <v>635</v>
      </c>
      <c r="H1145" s="3" t="s">
        <v>145</v>
      </c>
      <c r="I1145" s="19">
        <v>1300</v>
      </c>
      <c r="J1145" s="19"/>
      <c r="K1145" s="19">
        <f t="shared" si="405"/>
        <v>1300</v>
      </c>
      <c r="M1145" s="19"/>
      <c r="N1145" s="19"/>
      <c r="O1145" s="87">
        <f t="shared" si="406"/>
        <v>0</v>
      </c>
      <c r="Q1145" s="274">
        <f t="shared" si="402"/>
        <v>1300</v>
      </c>
      <c r="R1145" s="87">
        <f t="shared" si="416"/>
        <v>0</v>
      </c>
      <c r="S1145" s="87">
        <f t="shared" si="416"/>
        <v>1300</v>
      </c>
    </row>
    <row r="1146" spans="2:19" x14ac:dyDescent="0.2">
      <c r="B1146" s="83">
        <f t="shared" si="407"/>
        <v>550</v>
      </c>
      <c r="C1146" s="3"/>
      <c r="D1146" s="3"/>
      <c r="E1146" s="3"/>
      <c r="F1146" s="26" t="s">
        <v>172</v>
      </c>
      <c r="G1146" s="3">
        <v>637</v>
      </c>
      <c r="H1146" s="3" t="s">
        <v>134</v>
      </c>
      <c r="I1146" s="19">
        <v>450</v>
      </c>
      <c r="J1146" s="19"/>
      <c r="K1146" s="19">
        <f t="shared" si="405"/>
        <v>450</v>
      </c>
      <c r="M1146" s="19"/>
      <c r="N1146" s="19"/>
      <c r="O1146" s="87">
        <f t="shared" si="406"/>
        <v>0</v>
      </c>
      <c r="Q1146" s="274">
        <f t="shared" si="402"/>
        <v>450</v>
      </c>
      <c r="R1146" s="87">
        <f t="shared" si="416"/>
        <v>0</v>
      </c>
      <c r="S1146" s="87">
        <f t="shared" si="416"/>
        <v>450</v>
      </c>
    </row>
    <row r="1147" spans="2:19" x14ac:dyDescent="0.2">
      <c r="B1147" s="83">
        <f t="shared" si="407"/>
        <v>551</v>
      </c>
      <c r="C1147" s="6"/>
      <c r="D1147" s="6"/>
      <c r="E1147" s="6" t="s">
        <v>95</v>
      </c>
      <c r="F1147" s="29"/>
      <c r="G1147" s="6"/>
      <c r="H1147" s="6" t="s">
        <v>96</v>
      </c>
      <c r="I1147" s="41">
        <f>I1148+I1149+I1150</f>
        <v>83515</v>
      </c>
      <c r="J1147" s="41">
        <f t="shared" ref="J1147" si="418">J1148+J1149+J1150</f>
        <v>0</v>
      </c>
      <c r="K1147" s="41">
        <f t="shared" si="405"/>
        <v>83515</v>
      </c>
      <c r="M1147" s="41">
        <v>0</v>
      </c>
      <c r="N1147" s="41">
        <v>0</v>
      </c>
      <c r="O1147" s="100">
        <f t="shared" si="406"/>
        <v>0</v>
      </c>
      <c r="Q1147" s="318">
        <f t="shared" si="402"/>
        <v>83515</v>
      </c>
      <c r="R1147" s="100">
        <f t="shared" si="416"/>
        <v>0</v>
      </c>
      <c r="S1147" s="100">
        <f t="shared" si="416"/>
        <v>83515</v>
      </c>
    </row>
    <row r="1148" spans="2:19" x14ac:dyDescent="0.2">
      <c r="B1148" s="83">
        <f t="shared" si="407"/>
        <v>552</v>
      </c>
      <c r="C1148" s="7"/>
      <c r="D1148" s="7"/>
      <c r="E1148" s="7"/>
      <c r="F1148" s="25" t="s">
        <v>172</v>
      </c>
      <c r="G1148" s="7">
        <v>610</v>
      </c>
      <c r="H1148" s="7" t="s">
        <v>143</v>
      </c>
      <c r="I1148" s="23">
        <v>33493</v>
      </c>
      <c r="J1148" s="23"/>
      <c r="K1148" s="23">
        <f t="shared" si="405"/>
        <v>33493</v>
      </c>
      <c r="M1148" s="23"/>
      <c r="N1148" s="23"/>
      <c r="O1148" s="86">
        <f t="shared" si="406"/>
        <v>0</v>
      </c>
      <c r="Q1148" s="273">
        <f t="shared" si="402"/>
        <v>33493</v>
      </c>
      <c r="R1148" s="86">
        <f t="shared" si="416"/>
        <v>0</v>
      </c>
      <c r="S1148" s="86">
        <f t="shared" si="416"/>
        <v>33493</v>
      </c>
    </row>
    <row r="1149" spans="2:19" x14ac:dyDescent="0.2">
      <c r="B1149" s="83">
        <f t="shared" si="407"/>
        <v>553</v>
      </c>
      <c r="C1149" s="7"/>
      <c r="D1149" s="7"/>
      <c r="E1149" s="7"/>
      <c r="F1149" s="25" t="s">
        <v>172</v>
      </c>
      <c r="G1149" s="7">
        <v>620</v>
      </c>
      <c r="H1149" s="7" t="s">
        <v>136</v>
      </c>
      <c r="I1149" s="23">
        <v>12272</v>
      </c>
      <c r="J1149" s="23"/>
      <c r="K1149" s="23">
        <f t="shared" si="405"/>
        <v>12272</v>
      </c>
      <c r="M1149" s="23"/>
      <c r="N1149" s="23"/>
      <c r="O1149" s="86">
        <f t="shared" si="406"/>
        <v>0</v>
      </c>
      <c r="Q1149" s="273">
        <f t="shared" si="402"/>
        <v>12272</v>
      </c>
      <c r="R1149" s="86">
        <f t="shared" si="416"/>
        <v>0</v>
      </c>
      <c r="S1149" s="86">
        <f t="shared" si="416"/>
        <v>12272</v>
      </c>
    </row>
    <row r="1150" spans="2:19" x14ac:dyDescent="0.2">
      <c r="B1150" s="83">
        <f t="shared" si="407"/>
        <v>554</v>
      </c>
      <c r="C1150" s="7"/>
      <c r="D1150" s="7"/>
      <c r="E1150" s="7"/>
      <c r="F1150" s="25" t="s">
        <v>172</v>
      </c>
      <c r="G1150" s="7">
        <v>630</v>
      </c>
      <c r="H1150" s="7" t="s">
        <v>133</v>
      </c>
      <c r="I1150" s="23">
        <f>SUM(I1151:I1154)</f>
        <v>37750</v>
      </c>
      <c r="J1150" s="23">
        <f t="shared" ref="J1150" si="419">SUM(J1151:J1154)</f>
        <v>0</v>
      </c>
      <c r="K1150" s="23">
        <f t="shared" si="405"/>
        <v>37750</v>
      </c>
      <c r="M1150" s="23"/>
      <c r="N1150" s="23"/>
      <c r="O1150" s="86">
        <f t="shared" si="406"/>
        <v>0</v>
      </c>
      <c r="Q1150" s="273">
        <f t="shared" si="402"/>
        <v>37750</v>
      </c>
      <c r="R1150" s="86">
        <f t="shared" si="416"/>
        <v>0</v>
      </c>
      <c r="S1150" s="86">
        <f t="shared" si="416"/>
        <v>37750</v>
      </c>
    </row>
    <row r="1151" spans="2:19" x14ac:dyDescent="0.2">
      <c r="B1151" s="83">
        <f t="shared" si="407"/>
        <v>555</v>
      </c>
      <c r="C1151" s="3"/>
      <c r="D1151" s="3"/>
      <c r="E1151" s="3"/>
      <c r="F1151" s="26" t="s">
        <v>172</v>
      </c>
      <c r="G1151" s="3">
        <v>632</v>
      </c>
      <c r="H1151" s="3" t="s">
        <v>146</v>
      </c>
      <c r="I1151" s="19">
        <v>600</v>
      </c>
      <c r="J1151" s="19"/>
      <c r="K1151" s="19">
        <f t="shared" si="405"/>
        <v>600</v>
      </c>
      <c r="M1151" s="19"/>
      <c r="N1151" s="19"/>
      <c r="O1151" s="87">
        <f t="shared" si="406"/>
        <v>0</v>
      </c>
      <c r="Q1151" s="274">
        <f t="shared" si="402"/>
        <v>600</v>
      </c>
      <c r="R1151" s="87">
        <f t="shared" si="416"/>
        <v>0</v>
      </c>
      <c r="S1151" s="87">
        <f t="shared" si="416"/>
        <v>600</v>
      </c>
    </row>
    <row r="1152" spans="2:19" x14ac:dyDescent="0.2">
      <c r="B1152" s="83">
        <f t="shared" si="407"/>
        <v>556</v>
      </c>
      <c r="C1152" s="3"/>
      <c r="D1152" s="3"/>
      <c r="E1152" s="3"/>
      <c r="F1152" s="26" t="s">
        <v>172</v>
      </c>
      <c r="G1152" s="3">
        <v>633</v>
      </c>
      <c r="H1152" s="3" t="s">
        <v>137</v>
      </c>
      <c r="I1152" s="19">
        <v>33190</v>
      </c>
      <c r="J1152" s="19"/>
      <c r="K1152" s="19">
        <f t="shared" si="405"/>
        <v>33190</v>
      </c>
      <c r="M1152" s="19"/>
      <c r="N1152" s="19"/>
      <c r="O1152" s="87">
        <f t="shared" si="406"/>
        <v>0</v>
      </c>
      <c r="Q1152" s="274">
        <f t="shared" si="402"/>
        <v>33190</v>
      </c>
      <c r="R1152" s="87">
        <f t="shared" si="416"/>
        <v>0</v>
      </c>
      <c r="S1152" s="87">
        <f t="shared" si="416"/>
        <v>33190</v>
      </c>
    </row>
    <row r="1153" spans="2:19" x14ac:dyDescent="0.2">
      <c r="B1153" s="83">
        <f t="shared" si="407"/>
        <v>557</v>
      </c>
      <c r="C1153" s="3"/>
      <c r="D1153" s="3"/>
      <c r="E1153" s="3"/>
      <c r="F1153" s="26" t="s">
        <v>172</v>
      </c>
      <c r="G1153" s="3">
        <v>635</v>
      </c>
      <c r="H1153" s="3" t="s">
        <v>145</v>
      </c>
      <c r="I1153" s="19">
        <v>1200</v>
      </c>
      <c r="J1153" s="19"/>
      <c r="K1153" s="19">
        <f t="shared" si="405"/>
        <v>1200</v>
      </c>
      <c r="M1153" s="19"/>
      <c r="N1153" s="19"/>
      <c r="O1153" s="87">
        <f t="shared" si="406"/>
        <v>0</v>
      </c>
      <c r="Q1153" s="274">
        <f t="shared" si="402"/>
        <v>1200</v>
      </c>
      <c r="R1153" s="87">
        <f t="shared" si="416"/>
        <v>0</v>
      </c>
      <c r="S1153" s="87">
        <f t="shared" si="416"/>
        <v>1200</v>
      </c>
    </row>
    <row r="1154" spans="2:19" x14ac:dyDescent="0.2">
      <c r="B1154" s="83">
        <f t="shared" si="407"/>
        <v>558</v>
      </c>
      <c r="C1154" s="3"/>
      <c r="D1154" s="3"/>
      <c r="E1154" s="3"/>
      <c r="F1154" s="26" t="s">
        <v>172</v>
      </c>
      <c r="G1154" s="3">
        <v>637</v>
      </c>
      <c r="H1154" s="3" t="s">
        <v>134</v>
      </c>
      <c r="I1154" s="19">
        <v>2760</v>
      </c>
      <c r="J1154" s="19"/>
      <c r="K1154" s="19">
        <f t="shared" si="405"/>
        <v>2760</v>
      </c>
      <c r="M1154" s="19"/>
      <c r="N1154" s="19"/>
      <c r="O1154" s="87">
        <f t="shared" si="406"/>
        <v>0</v>
      </c>
      <c r="Q1154" s="274">
        <f t="shared" si="402"/>
        <v>2760</v>
      </c>
      <c r="R1154" s="87">
        <f t="shared" si="416"/>
        <v>0</v>
      </c>
      <c r="S1154" s="87">
        <f t="shared" si="416"/>
        <v>2760</v>
      </c>
    </row>
    <row r="1155" spans="2:19" ht="15" x14ac:dyDescent="0.25">
      <c r="B1155" s="83">
        <f t="shared" si="407"/>
        <v>559</v>
      </c>
      <c r="C1155" s="10"/>
      <c r="D1155" s="10"/>
      <c r="E1155" s="10">
        <v>6</v>
      </c>
      <c r="F1155" s="28"/>
      <c r="G1155" s="10"/>
      <c r="H1155" s="10" t="s">
        <v>12</v>
      </c>
      <c r="I1155" s="38">
        <f>I1156+I1157+I1158+I1163+I1164+I1165+I1166+I1171</f>
        <v>170680</v>
      </c>
      <c r="J1155" s="38">
        <f t="shared" ref="J1155" si="420">J1156+J1157+J1158+J1163+J1164+J1165+J1166+J1171</f>
        <v>0</v>
      </c>
      <c r="K1155" s="38">
        <f t="shared" si="405"/>
        <v>170680</v>
      </c>
      <c r="M1155" s="38">
        <v>0</v>
      </c>
      <c r="N1155" s="38">
        <v>0</v>
      </c>
      <c r="O1155" s="94">
        <f t="shared" si="406"/>
        <v>0</v>
      </c>
      <c r="Q1155" s="315">
        <f t="shared" si="402"/>
        <v>170680</v>
      </c>
      <c r="R1155" s="94">
        <f t="shared" si="416"/>
        <v>0</v>
      </c>
      <c r="S1155" s="94">
        <f t="shared" si="416"/>
        <v>170680</v>
      </c>
    </row>
    <row r="1156" spans="2:19" x14ac:dyDescent="0.2">
      <c r="B1156" s="83">
        <f t="shared" si="407"/>
        <v>560</v>
      </c>
      <c r="C1156" s="7"/>
      <c r="D1156" s="7"/>
      <c r="E1156" s="7"/>
      <c r="F1156" s="25" t="s">
        <v>87</v>
      </c>
      <c r="G1156" s="7">
        <v>610</v>
      </c>
      <c r="H1156" s="7" t="s">
        <v>143</v>
      </c>
      <c r="I1156" s="23">
        <v>27947</v>
      </c>
      <c r="J1156" s="23"/>
      <c r="K1156" s="23">
        <f t="shared" si="405"/>
        <v>27947</v>
      </c>
      <c r="M1156" s="23"/>
      <c r="N1156" s="23"/>
      <c r="O1156" s="86">
        <f t="shared" si="406"/>
        <v>0</v>
      </c>
      <c r="Q1156" s="273">
        <f t="shared" si="402"/>
        <v>27947</v>
      </c>
      <c r="R1156" s="86">
        <f t="shared" si="416"/>
        <v>0</v>
      </c>
      <c r="S1156" s="86">
        <f t="shared" si="416"/>
        <v>27947</v>
      </c>
    </row>
    <row r="1157" spans="2:19" x14ac:dyDescent="0.2">
      <c r="B1157" s="83">
        <f t="shared" si="407"/>
        <v>561</v>
      </c>
      <c r="C1157" s="7"/>
      <c r="D1157" s="7"/>
      <c r="E1157" s="7"/>
      <c r="F1157" s="25" t="s">
        <v>87</v>
      </c>
      <c r="G1157" s="7">
        <v>620</v>
      </c>
      <c r="H1157" s="7" t="s">
        <v>136</v>
      </c>
      <c r="I1157" s="23">
        <v>10397</v>
      </c>
      <c r="J1157" s="23"/>
      <c r="K1157" s="23">
        <f t="shared" si="405"/>
        <v>10397</v>
      </c>
      <c r="M1157" s="23"/>
      <c r="N1157" s="23"/>
      <c r="O1157" s="86">
        <f t="shared" si="406"/>
        <v>0</v>
      </c>
      <c r="Q1157" s="273">
        <f t="shared" si="402"/>
        <v>10397</v>
      </c>
      <c r="R1157" s="86">
        <f t="shared" si="416"/>
        <v>0</v>
      </c>
      <c r="S1157" s="86">
        <f t="shared" si="416"/>
        <v>10397</v>
      </c>
    </row>
    <row r="1158" spans="2:19" x14ac:dyDescent="0.2">
      <c r="B1158" s="83">
        <f t="shared" si="407"/>
        <v>562</v>
      </c>
      <c r="C1158" s="7"/>
      <c r="D1158" s="7"/>
      <c r="E1158" s="7"/>
      <c r="F1158" s="25" t="s">
        <v>87</v>
      </c>
      <c r="G1158" s="7">
        <v>630</v>
      </c>
      <c r="H1158" s="7" t="s">
        <v>133</v>
      </c>
      <c r="I1158" s="23">
        <f>SUM(I1159:I1162)</f>
        <v>47303</v>
      </c>
      <c r="J1158" s="23">
        <f t="shared" ref="J1158" si="421">SUM(J1159:J1162)</f>
        <v>0</v>
      </c>
      <c r="K1158" s="23">
        <f t="shared" si="405"/>
        <v>47303</v>
      </c>
      <c r="M1158" s="23"/>
      <c r="N1158" s="23"/>
      <c r="O1158" s="86">
        <f t="shared" si="406"/>
        <v>0</v>
      </c>
      <c r="Q1158" s="273">
        <f t="shared" si="402"/>
        <v>47303</v>
      </c>
      <c r="R1158" s="86">
        <f t="shared" ref="R1158:S1173" si="422">J1158+N1158</f>
        <v>0</v>
      </c>
      <c r="S1158" s="86">
        <f t="shared" si="422"/>
        <v>47303</v>
      </c>
    </row>
    <row r="1159" spans="2:19" x14ac:dyDescent="0.2">
      <c r="B1159" s="83">
        <f t="shared" si="407"/>
        <v>563</v>
      </c>
      <c r="C1159" s="3"/>
      <c r="D1159" s="3"/>
      <c r="E1159" s="3"/>
      <c r="F1159" s="26" t="s">
        <v>87</v>
      </c>
      <c r="G1159" s="3">
        <v>632</v>
      </c>
      <c r="H1159" s="3" t="s">
        <v>146</v>
      </c>
      <c r="I1159" s="19">
        <v>5046</v>
      </c>
      <c r="J1159" s="19"/>
      <c r="K1159" s="19">
        <f t="shared" si="405"/>
        <v>5046</v>
      </c>
      <c r="M1159" s="19"/>
      <c r="N1159" s="19"/>
      <c r="O1159" s="87">
        <f t="shared" si="406"/>
        <v>0</v>
      </c>
      <c r="Q1159" s="274">
        <f t="shared" si="402"/>
        <v>5046</v>
      </c>
      <c r="R1159" s="87">
        <f t="shared" si="422"/>
        <v>0</v>
      </c>
      <c r="S1159" s="87">
        <f t="shared" si="422"/>
        <v>5046</v>
      </c>
    </row>
    <row r="1160" spans="2:19" x14ac:dyDescent="0.2">
      <c r="B1160" s="83">
        <f t="shared" si="407"/>
        <v>564</v>
      </c>
      <c r="C1160" s="3"/>
      <c r="D1160" s="3"/>
      <c r="E1160" s="3"/>
      <c r="F1160" s="26" t="s">
        <v>87</v>
      </c>
      <c r="G1160" s="3">
        <v>633</v>
      </c>
      <c r="H1160" s="3" t="s">
        <v>137</v>
      </c>
      <c r="I1160" s="19">
        <v>40841</v>
      </c>
      <c r="J1160" s="19"/>
      <c r="K1160" s="19">
        <f t="shared" si="405"/>
        <v>40841</v>
      </c>
      <c r="M1160" s="19"/>
      <c r="N1160" s="19"/>
      <c r="O1160" s="87">
        <f t="shared" si="406"/>
        <v>0</v>
      </c>
      <c r="Q1160" s="274">
        <f t="shared" si="402"/>
        <v>40841</v>
      </c>
      <c r="R1160" s="87">
        <f t="shared" si="422"/>
        <v>0</v>
      </c>
      <c r="S1160" s="87">
        <f t="shared" si="422"/>
        <v>40841</v>
      </c>
    </row>
    <row r="1161" spans="2:19" x14ac:dyDescent="0.2">
      <c r="B1161" s="83">
        <f t="shared" si="407"/>
        <v>565</v>
      </c>
      <c r="C1161" s="3"/>
      <c r="D1161" s="3"/>
      <c r="E1161" s="3"/>
      <c r="F1161" s="26" t="s">
        <v>87</v>
      </c>
      <c r="G1161" s="3">
        <v>635</v>
      </c>
      <c r="H1161" s="3" t="s">
        <v>145</v>
      </c>
      <c r="I1161" s="19">
        <v>216</v>
      </c>
      <c r="J1161" s="19"/>
      <c r="K1161" s="19">
        <f t="shared" si="405"/>
        <v>216</v>
      </c>
      <c r="M1161" s="19"/>
      <c r="N1161" s="19"/>
      <c r="O1161" s="87">
        <f t="shared" si="406"/>
        <v>0</v>
      </c>
      <c r="Q1161" s="274">
        <f t="shared" si="402"/>
        <v>216</v>
      </c>
      <c r="R1161" s="87">
        <f t="shared" si="422"/>
        <v>0</v>
      </c>
      <c r="S1161" s="87">
        <f t="shared" si="422"/>
        <v>216</v>
      </c>
    </row>
    <row r="1162" spans="2:19" x14ac:dyDescent="0.2">
      <c r="B1162" s="83">
        <f t="shared" si="407"/>
        <v>566</v>
      </c>
      <c r="C1162" s="3"/>
      <c r="D1162" s="3"/>
      <c r="E1162" s="3"/>
      <c r="F1162" s="26" t="s">
        <v>87</v>
      </c>
      <c r="G1162" s="3">
        <v>637</v>
      </c>
      <c r="H1162" s="3" t="s">
        <v>134</v>
      </c>
      <c r="I1162" s="19">
        <v>1200</v>
      </c>
      <c r="J1162" s="19"/>
      <c r="K1162" s="19">
        <f t="shared" si="405"/>
        <v>1200</v>
      </c>
      <c r="M1162" s="19"/>
      <c r="N1162" s="19"/>
      <c r="O1162" s="87">
        <f t="shared" si="406"/>
        <v>0</v>
      </c>
      <c r="Q1162" s="274">
        <f t="shared" si="402"/>
        <v>1200</v>
      </c>
      <c r="R1162" s="87">
        <f t="shared" si="422"/>
        <v>0</v>
      </c>
      <c r="S1162" s="87">
        <f t="shared" si="422"/>
        <v>1200</v>
      </c>
    </row>
    <row r="1163" spans="2:19" x14ac:dyDescent="0.2">
      <c r="B1163" s="83">
        <f t="shared" si="407"/>
        <v>567</v>
      </c>
      <c r="C1163" s="7"/>
      <c r="D1163" s="7"/>
      <c r="E1163" s="7"/>
      <c r="F1163" s="25" t="s">
        <v>87</v>
      </c>
      <c r="G1163" s="7">
        <v>640</v>
      </c>
      <c r="H1163" s="7" t="s">
        <v>141</v>
      </c>
      <c r="I1163" s="23">
        <v>113</v>
      </c>
      <c r="J1163" s="23"/>
      <c r="K1163" s="23">
        <f t="shared" si="405"/>
        <v>113</v>
      </c>
      <c r="M1163" s="23"/>
      <c r="N1163" s="23"/>
      <c r="O1163" s="86">
        <f t="shared" si="406"/>
        <v>0</v>
      </c>
      <c r="Q1163" s="273">
        <f t="shared" si="402"/>
        <v>113</v>
      </c>
      <c r="R1163" s="86">
        <f t="shared" si="422"/>
        <v>0</v>
      </c>
      <c r="S1163" s="86">
        <f t="shared" si="422"/>
        <v>113</v>
      </c>
    </row>
    <row r="1164" spans="2:19" x14ac:dyDescent="0.2">
      <c r="B1164" s="83">
        <f t="shared" si="407"/>
        <v>568</v>
      </c>
      <c r="C1164" s="7"/>
      <c r="D1164" s="7"/>
      <c r="E1164" s="7"/>
      <c r="F1164" s="25" t="s">
        <v>55</v>
      </c>
      <c r="G1164" s="7">
        <v>610</v>
      </c>
      <c r="H1164" s="7" t="s">
        <v>143</v>
      </c>
      <c r="I1164" s="23">
        <v>27328</v>
      </c>
      <c r="J1164" s="23"/>
      <c r="K1164" s="23">
        <f t="shared" si="405"/>
        <v>27328</v>
      </c>
      <c r="M1164" s="23"/>
      <c r="N1164" s="23"/>
      <c r="O1164" s="86">
        <f t="shared" si="406"/>
        <v>0</v>
      </c>
      <c r="Q1164" s="273">
        <f t="shared" si="402"/>
        <v>27328</v>
      </c>
      <c r="R1164" s="86">
        <f t="shared" si="422"/>
        <v>0</v>
      </c>
      <c r="S1164" s="86">
        <f t="shared" si="422"/>
        <v>27328</v>
      </c>
    </row>
    <row r="1165" spans="2:19" x14ac:dyDescent="0.2">
      <c r="B1165" s="83">
        <f t="shared" si="407"/>
        <v>569</v>
      </c>
      <c r="C1165" s="7"/>
      <c r="D1165" s="7"/>
      <c r="E1165" s="7"/>
      <c r="F1165" s="25" t="s">
        <v>55</v>
      </c>
      <c r="G1165" s="7">
        <v>620</v>
      </c>
      <c r="H1165" s="7" t="s">
        <v>136</v>
      </c>
      <c r="I1165" s="23">
        <v>10176</v>
      </c>
      <c r="J1165" s="23"/>
      <c r="K1165" s="23">
        <f t="shared" si="405"/>
        <v>10176</v>
      </c>
      <c r="M1165" s="23"/>
      <c r="N1165" s="23"/>
      <c r="O1165" s="86">
        <f t="shared" si="406"/>
        <v>0</v>
      </c>
      <c r="Q1165" s="273">
        <f t="shared" si="402"/>
        <v>10176</v>
      </c>
      <c r="R1165" s="86">
        <f t="shared" si="422"/>
        <v>0</v>
      </c>
      <c r="S1165" s="86">
        <f t="shared" si="422"/>
        <v>10176</v>
      </c>
    </row>
    <row r="1166" spans="2:19" x14ac:dyDescent="0.2">
      <c r="B1166" s="83">
        <f t="shared" si="407"/>
        <v>570</v>
      </c>
      <c r="C1166" s="7"/>
      <c r="D1166" s="7"/>
      <c r="E1166" s="7"/>
      <c r="F1166" s="25" t="s">
        <v>55</v>
      </c>
      <c r="G1166" s="7">
        <v>630</v>
      </c>
      <c r="H1166" s="7" t="s">
        <v>133</v>
      </c>
      <c r="I1166" s="23">
        <f>SUM(I1167:I1170)</f>
        <v>47303</v>
      </c>
      <c r="J1166" s="23">
        <f t="shared" ref="J1166" si="423">SUM(J1167:J1170)</f>
        <v>0</v>
      </c>
      <c r="K1166" s="23">
        <f t="shared" si="405"/>
        <v>47303</v>
      </c>
      <c r="M1166" s="23"/>
      <c r="N1166" s="23"/>
      <c r="O1166" s="86">
        <f t="shared" si="406"/>
        <v>0</v>
      </c>
      <c r="Q1166" s="273">
        <f t="shared" si="402"/>
        <v>47303</v>
      </c>
      <c r="R1166" s="86">
        <f t="shared" si="422"/>
        <v>0</v>
      </c>
      <c r="S1166" s="86">
        <f t="shared" si="422"/>
        <v>47303</v>
      </c>
    </row>
    <row r="1167" spans="2:19" x14ac:dyDescent="0.2">
      <c r="B1167" s="83">
        <f t="shared" si="407"/>
        <v>571</v>
      </c>
      <c r="C1167" s="3"/>
      <c r="D1167" s="3"/>
      <c r="E1167" s="3"/>
      <c r="F1167" s="26" t="s">
        <v>55</v>
      </c>
      <c r="G1167" s="3">
        <v>632</v>
      </c>
      <c r="H1167" s="3" t="s">
        <v>146</v>
      </c>
      <c r="I1167" s="19">
        <v>5046</v>
      </c>
      <c r="J1167" s="19"/>
      <c r="K1167" s="19">
        <f t="shared" si="405"/>
        <v>5046</v>
      </c>
      <c r="M1167" s="19"/>
      <c r="N1167" s="19"/>
      <c r="O1167" s="87">
        <f t="shared" si="406"/>
        <v>0</v>
      </c>
      <c r="Q1167" s="274">
        <f t="shared" si="402"/>
        <v>5046</v>
      </c>
      <c r="R1167" s="87">
        <f t="shared" si="422"/>
        <v>0</v>
      </c>
      <c r="S1167" s="87">
        <f t="shared" si="422"/>
        <v>5046</v>
      </c>
    </row>
    <row r="1168" spans="2:19" x14ac:dyDescent="0.2">
      <c r="B1168" s="83">
        <f t="shared" si="407"/>
        <v>572</v>
      </c>
      <c r="C1168" s="3"/>
      <c r="D1168" s="3"/>
      <c r="E1168" s="3"/>
      <c r="F1168" s="26" t="s">
        <v>55</v>
      </c>
      <c r="G1168" s="3">
        <v>633</v>
      </c>
      <c r="H1168" s="3" t="s">
        <v>137</v>
      </c>
      <c r="I1168" s="19">
        <v>40841</v>
      </c>
      <c r="J1168" s="19"/>
      <c r="K1168" s="19">
        <f t="shared" si="405"/>
        <v>40841</v>
      </c>
      <c r="M1168" s="19"/>
      <c r="N1168" s="19"/>
      <c r="O1168" s="87">
        <f t="shared" si="406"/>
        <v>0</v>
      </c>
      <c r="Q1168" s="274">
        <f t="shared" si="402"/>
        <v>40841</v>
      </c>
      <c r="R1168" s="87">
        <f t="shared" si="422"/>
        <v>0</v>
      </c>
      <c r="S1168" s="87">
        <f t="shared" si="422"/>
        <v>40841</v>
      </c>
    </row>
    <row r="1169" spans="2:19" x14ac:dyDescent="0.2">
      <c r="B1169" s="83">
        <f t="shared" si="407"/>
        <v>573</v>
      </c>
      <c r="C1169" s="3"/>
      <c r="D1169" s="3"/>
      <c r="E1169" s="3"/>
      <c r="F1169" s="26" t="s">
        <v>55</v>
      </c>
      <c r="G1169" s="3">
        <v>635</v>
      </c>
      <c r="H1169" s="3" t="s">
        <v>145</v>
      </c>
      <c r="I1169" s="19">
        <v>216</v>
      </c>
      <c r="J1169" s="19"/>
      <c r="K1169" s="19">
        <f t="shared" si="405"/>
        <v>216</v>
      </c>
      <c r="M1169" s="19"/>
      <c r="N1169" s="19"/>
      <c r="O1169" s="87">
        <f t="shared" si="406"/>
        <v>0</v>
      </c>
      <c r="Q1169" s="274">
        <f t="shared" si="402"/>
        <v>216</v>
      </c>
      <c r="R1169" s="87">
        <f t="shared" si="422"/>
        <v>0</v>
      </c>
      <c r="S1169" s="87">
        <f t="shared" si="422"/>
        <v>216</v>
      </c>
    </row>
    <row r="1170" spans="2:19" x14ac:dyDescent="0.2">
      <c r="B1170" s="83">
        <f t="shared" si="407"/>
        <v>574</v>
      </c>
      <c r="C1170" s="3"/>
      <c r="D1170" s="3"/>
      <c r="E1170" s="3"/>
      <c r="F1170" s="26" t="s">
        <v>55</v>
      </c>
      <c r="G1170" s="3">
        <v>637</v>
      </c>
      <c r="H1170" s="3" t="s">
        <v>134</v>
      </c>
      <c r="I1170" s="19">
        <v>1200</v>
      </c>
      <c r="J1170" s="19"/>
      <c r="K1170" s="19">
        <f t="shared" si="405"/>
        <v>1200</v>
      </c>
      <c r="M1170" s="19"/>
      <c r="N1170" s="19"/>
      <c r="O1170" s="87">
        <f t="shared" si="406"/>
        <v>0</v>
      </c>
      <c r="Q1170" s="274">
        <f t="shared" si="402"/>
        <v>1200</v>
      </c>
      <c r="R1170" s="87">
        <f t="shared" si="422"/>
        <v>0</v>
      </c>
      <c r="S1170" s="87">
        <f t="shared" si="422"/>
        <v>1200</v>
      </c>
    </row>
    <row r="1171" spans="2:19" x14ac:dyDescent="0.2">
      <c r="B1171" s="83">
        <f t="shared" si="407"/>
        <v>575</v>
      </c>
      <c r="C1171" s="7"/>
      <c r="D1171" s="7"/>
      <c r="E1171" s="7"/>
      <c r="F1171" s="25" t="s">
        <v>55</v>
      </c>
      <c r="G1171" s="7">
        <v>640</v>
      </c>
      <c r="H1171" s="7" t="s">
        <v>141</v>
      </c>
      <c r="I1171" s="23">
        <v>113</v>
      </c>
      <c r="J1171" s="23"/>
      <c r="K1171" s="23">
        <f t="shared" si="405"/>
        <v>113</v>
      </c>
      <c r="M1171" s="23"/>
      <c r="N1171" s="23"/>
      <c r="O1171" s="86">
        <f t="shared" si="406"/>
        <v>0</v>
      </c>
      <c r="Q1171" s="273">
        <f t="shared" si="402"/>
        <v>113</v>
      </c>
      <c r="R1171" s="86">
        <f t="shared" si="422"/>
        <v>0</v>
      </c>
      <c r="S1171" s="86">
        <f t="shared" si="422"/>
        <v>113</v>
      </c>
    </row>
    <row r="1172" spans="2:19" ht="15" x14ac:dyDescent="0.25">
      <c r="B1172" s="83">
        <f t="shared" si="407"/>
        <v>576</v>
      </c>
      <c r="C1172" s="10"/>
      <c r="D1172" s="10"/>
      <c r="E1172" s="10">
        <v>7</v>
      </c>
      <c r="F1172" s="28"/>
      <c r="G1172" s="10"/>
      <c r="H1172" s="10" t="s">
        <v>13</v>
      </c>
      <c r="I1172" s="38">
        <f>I1173+I1174+I1175+I1180+I1181+I1182+I1183+I1188</f>
        <v>205282</v>
      </c>
      <c r="J1172" s="38">
        <f t="shared" ref="J1172" si="424">J1173+J1174+J1175+J1180+J1181+J1182+J1183+J1188</f>
        <v>0</v>
      </c>
      <c r="K1172" s="38">
        <f t="shared" si="405"/>
        <v>205282</v>
      </c>
      <c r="M1172" s="38">
        <v>0</v>
      </c>
      <c r="N1172" s="38">
        <v>0</v>
      </c>
      <c r="O1172" s="94">
        <f t="shared" si="406"/>
        <v>0</v>
      </c>
      <c r="Q1172" s="315">
        <f t="shared" si="402"/>
        <v>205282</v>
      </c>
      <c r="R1172" s="94">
        <f t="shared" si="422"/>
        <v>0</v>
      </c>
      <c r="S1172" s="94">
        <f t="shared" si="422"/>
        <v>205282</v>
      </c>
    </row>
    <row r="1173" spans="2:19" x14ac:dyDescent="0.2">
      <c r="B1173" s="83">
        <f t="shared" si="407"/>
        <v>577</v>
      </c>
      <c r="C1173" s="7"/>
      <c r="D1173" s="7"/>
      <c r="E1173" s="7"/>
      <c r="F1173" s="25" t="s">
        <v>87</v>
      </c>
      <c r="G1173" s="7">
        <v>610</v>
      </c>
      <c r="H1173" s="7" t="s">
        <v>143</v>
      </c>
      <c r="I1173" s="23">
        <f>35109+2196</f>
        <v>37305</v>
      </c>
      <c r="J1173" s="23"/>
      <c r="K1173" s="23">
        <f t="shared" si="405"/>
        <v>37305</v>
      </c>
      <c r="M1173" s="23"/>
      <c r="N1173" s="23"/>
      <c r="O1173" s="86">
        <f t="shared" si="406"/>
        <v>0</v>
      </c>
      <c r="Q1173" s="273">
        <f t="shared" si="402"/>
        <v>37305</v>
      </c>
      <c r="R1173" s="86">
        <f t="shared" si="422"/>
        <v>0</v>
      </c>
      <c r="S1173" s="86">
        <f t="shared" si="422"/>
        <v>37305</v>
      </c>
    </row>
    <row r="1174" spans="2:19" x14ac:dyDescent="0.2">
      <c r="B1174" s="83">
        <f t="shared" si="407"/>
        <v>578</v>
      </c>
      <c r="C1174" s="7"/>
      <c r="D1174" s="7"/>
      <c r="E1174" s="7"/>
      <c r="F1174" s="25" t="s">
        <v>87</v>
      </c>
      <c r="G1174" s="7">
        <v>620</v>
      </c>
      <c r="H1174" s="7" t="s">
        <v>136</v>
      </c>
      <c r="I1174" s="23">
        <f>12829+773</f>
        <v>13602</v>
      </c>
      <c r="J1174" s="23"/>
      <c r="K1174" s="23">
        <f t="shared" si="405"/>
        <v>13602</v>
      </c>
      <c r="M1174" s="23"/>
      <c r="N1174" s="23"/>
      <c r="O1174" s="86">
        <f t="shared" si="406"/>
        <v>0</v>
      </c>
      <c r="Q1174" s="273">
        <f t="shared" ref="Q1174:Q1237" si="425">I1174+M1174</f>
        <v>13602</v>
      </c>
      <c r="R1174" s="86">
        <f t="shared" ref="R1174:S1189" si="426">J1174+N1174</f>
        <v>0</v>
      </c>
      <c r="S1174" s="86">
        <f t="shared" si="426"/>
        <v>13602</v>
      </c>
    </row>
    <row r="1175" spans="2:19" x14ac:dyDescent="0.2">
      <c r="B1175" s="83">
        <f t="shared" si="407"/>
        <v>579</v>
      </c>
      <c r="C1175" s="7"/>
      <c r="D1175" s="7"/>
      <c r="E1175" s="7"/>
      <c r="F1175" s="25" t="s">
        <v>87</v>
      </c>
      <c r="G1175" s="7">
        <v>630</v>
      </c>
      <c r="H1175" s="7" t="s">
        <v>133</v>
      </c>
      <c r="I1175" s="23">
        <f>SUM(I1176:I1179)</f>
        <v>49593</v>
      </c>
      <c r="J1175" s="23">
        <f t="shared" ref="J1175" si="427">SUM(J1176:J1179)</f>
        <v>0</v>
      </c>
      <c r="K1175" s="23">
        <f t="shared" ref="K1175:K1238" si="428">I1175+J1175</f>
        <v>49593</v>
      </c>
      <c r="M1175" s="23"/>
      <c r="N1175" s="23"/>
      <c r="O1175" s="86">
        <f t="shared" ref="O1175:O1238" si="429">M1175+N1175</f>
        <v>0</v>
      </c>
      <c r="Q1175" s="273">
        <f t="shared" si="425"/>
        <v>49593</v>
      </c>
      <c r="R1175" s="86">
        <f t="shared" si="426"/>
        <v>0</v>
      </c>
      <c r="S1175" s="86">
        <f t="shared" si="426"/>
        <v>49593</v>
      </c>
    </row>
    <row r="1176" spans="2:19" x14ac:dyDescent="0.2">
      <c r="B1176" s="83">
        <f t="shared" ref="B1176:B1239" si="430">B1175+1</f>
        <v>580</v>
      </c>
      <c r="C1176" s="3"/>
      <c r="D1176" s="3"/>
      <c r="E1176" s="3"/>
      <c r="F1176" s="26" t="s">
        <v>87</v>
      </c>
      <c r="G1176" s="3">
        <v>632</v>
      </c>
      <c r="H1176" s="3" t="s">
        <v>146</v>
      </c>
      <c r="I1176" s="19">
        <v>1292</v>
      </c>
      <c r="J1176" s="19"/>
      <c r="K1176" s="19">
        <f t="shared" si="428"/>
        <v>1292</v>
      </c>
      <c r="M1176" s="19"/>
      <c r="N1176" s="19"/>
      <c r="O1176" s="87">
        <f t="shared" si="429"/>
        <v>0</v>
      </c>
      <c r="Q1176" s="274">
        <f t="shared" si="425"/>
        <v>1292</v>
      </c>
      <c r="R1176" s="87">
        <f t="shared" si="426"/>
        <v>0</v>
      </c>
      <c r="S1176" s="87">
        <f t="shared" si="426"/>
        <v>1292</v>
      </c>
    </row>
    <row r="1177" spans="2:19" x14ac:dyDescent="0.2">
      <c r="B1177" s="83">
        <f t="shared" si="430"/>
        <v>581</v>
      </c>
      <c r="C1177" s="3"/>
      <c r="D1177" s="3"/>
      <c r="E1177" s="3"/>
      <c r="F1177" s="26" t="s">
        <v>87</v>
      </c>
      <c r="G1177" s="3">
        <v>633</v>
      </c>
      <c r="H1177" s="3" t="s">
        <v>137</v>
      </c>
      <c r="I1177" s="19">
        <v>45901</v>
      </c>
      <c r="J1177" s="19"/>
      <c r="K1177" s="19">
        <f t="shared" si="428"/>
        <v>45901</v>
      </c>
      <c r="M1177" s="19"/>
      <c r="N1177" s="19"/>
      <c r="O1177" s="87">
        <f t="shared" si="429"/>
        <v>0</v>
      </c>
      <c r="Q1177" s="274">
        <f t="shared" si="425"/>
        <v>45901</v>
      </c>
      <c r="R1177" s="87">
        <f t="shared" si="426"/>
        <v>0</v>
      </c>
      <c r="S1177" s="87">
        <f t="shared" si="426"/>
        <v>45901</v>
      </c>
    </row>
    <row r="1178" spans="2:19" x14ac:dyDescent="0.2">
      <c r="B1178" s="83">
        <f t="shared" si="430"/>
        <v>582</v>
      </c>
      <c r="C1178" s="3"/>
      <c r="D1178" s="3"/>
      <c r="E1178" s="3"/>
      <c r="F1178" s="26" t="s">
        <v>87</v>
      </c>
      <c r="G1178" s="3">
        <v>635</v>
      </c>
      <c r="H1178" s="3" t="s">
        <v>145</v>
      </c>
      <c r="I1178" s="19">
        <v>645</v>
      </c>
      <c r="J1178" s="19"/>
      <c r="K1178" s="19">
        <f t="shared" si="428"/>
        <v>645</v>
      </c>
      <c r="M1178" s="19"/>
      <c r="N1178" s="19"/>
      <c r="O1178" s="87">
        <f t="shared" si="429"/>
        <v>0</v>
      </c>
      <c r="Q1178" s="274">
        <f t="shared" si="425"/>
        <v>645</v>
      </c>
      <c r="R1178" s="87">
        <f t="shared" si="426"/>
        <v>0</v>
      </c>
      <c r="S1178" s="87">
        <f t="shared" si="426"/>
        <v>645</v>
      </c>
    </row>
    <row r="1179" spans="2:19" x14ac:dyDescent="0.2">
      <c r="B1179" s="83">
        <f t="shared" si="430"/>
        <v>583</v>
      </c>
      <c r="C1179" s="3"/>
      <c r="D1179" s="3"/>
      <c r="E1179" s="3"/>
      <c r="F1179" s="26" t="s">
        <v>87</v>
      </c>
      <c r="G1179" s="3">
        <v>637</v>
      </c>
      <c r="H1179" s="3" t="s">
        <v>134</v>
      </c>
      <c r="I1179" s="19">
        <v>1755</v>
      </c>
      <c r="J1179" s="19"/>
      <c r="K1179" s="19">
        <f t="shared" si="428"/>
        <v>1755</v>
      </c>
      <c r="M1179" s="19"/>
      <c r="N1179" s="19"/>
      <c r="O1179" s="87">
        <f t="shared" si="429"/>
        <v>0</v>
      </c>
      <c r="Q1179" s="274">
        <f t="shared" si="425"/>
        <v>1755</v>
      </c>
      <c r="R1179" s="87">
        <f t="shared" si="426"/>
        <v>0</v>
      </c>
      <c r="S1179" s="87">
        <f t="shared" si="426"/>
        <v>1755</v>
      </c>
    </row>
    <row r="1180" spans="2:19" x14ac:dyDescent="0.2">
      <c r="B1180" s="83">
        <f t="shared" si="430"/>
        <v>584</v>
      </c>
      <c r="C1180" s="7"/>
      <c r="D1180" s="7"/>
      <c r="E1180" s="7"/>
      <c r="F1180" s="25" t="s">
        <v>87</v>
      </c>
      <c r="G1180" s="7">
        <v>640</v>
      </c>
      <c r="H1180" s="7" t="s">
        <v>141</v>
      </c>
      <c r="I1180" s="23">
        <v>758</v>
      </c>
      <c r="J1180" s="23"/>
      <c r="K1180" s="23">
        <f t="shared" si="428"/>
        <v>758</v>
      </c>
      <c r="M1180" s="23"/>
      <c r="N1180" s="23"/>
      <c r="O1180" s="86">
        <f t="shared" si="429"/>
        <v>0</v>
      </c>
      <c r="Q1180" s="273">
        <f t="shared" si="425"/>
        <v>758</v>
      </c>
      <c r="R1180" s="86">
        <f t="shared" si="426"/>
        <v>0</v>
      </c>
      <c r="S1180" s="86">
        <f t="shared" si="426"/>
        <v>758</v>
      </c>
    </row>
    <row r="1181" spans="2:19" x14ac:dyDescent="0.2">
      <c r="B1181" s="83">
        <f t="shared" si="430"/>
        <v>585</v>
      </c>
      <c r="C1181" s="7"/>
      <c r="D1181" s="7"/>
      <c r="E1181" s="7"/>
      <c r="F1181" s="25" t="s">
        <v>55</v>
      </c>
      <c r="G1181" s="7">
        <v>610</v>
      </c>
      <c r="H1181" s="7" t="s">
        <v>143</v>
      </c>
      <c r="I1181" s="23">
        <v>39549</v>
      </c>
      <c r="J1181" s="23"/>
      <c r="K1181" s="23">
        <f t="shared" si="428"/>
        <v>39549</v>
      </c>
      <c r="M1181" s="23"/>
      <c r="N1181" s="23"/>
      <c r="O1181" s="86">
        <f t="shared" si="429"/>
        <v>0</v>
      </c>
      <c r="Q1181" s="273">
        <f t="shared" si="425"/>
        <v>39549</v>
      </c>
      <c r="R1181" s="86">
        <f t="shared" si="426"/>
        <v>0</v>
      </c>
      <c r="S1181" s="86">
        <f t="shared" si="426"/>
        <v>39549</v>
      </c>
    </row>
    <row r="1182" spans="2:19" x14ac:dyDescent="0.2">
      <c r="B1182" s="83">
        <f t="shared" si="430"/>
        <v>586</v>
      </c>
      <c r="C1182" s="7"/>
      <c r="D1182" s="7"/>
      <c r="E1182" s="7"/>
      <c r="F1182" s="25" t="s">
        <v>55</v>
      </c>
      <c r="G1182" s="7">
        <v>620</v>
      </c>
      <c r="H1182" s="7" t="s">
        <v>136</v>
      </c>
      <c r="I1182" s="23">
        <v>14544</v>
      </c>
      <c r="J1182" s="23"/>
      <c r="K1182" s="23">
        <f t="shared" si="428"/>
        <v>14544</v>
      </c>
      <c r="M1182" s="23"/>
      <c r="N1182" s="23"/>
      <c r="O1182" s="86">
        <f t="shared" si="429"/>
        <v>0</v>
      </c>
      <c r="Q1182" s="273">
        <f t="shared" si="425"/>
        <v>14544</v>
      </c>
      <c r="R1182" s="86">
        <f t="shared" si="426"/>
        <v>0</v>
      </c>
      <c r="S1182" s="86">
        <f t="shared" si="426"/>
        <v>14544</v>
      </c>
    </row>
    <row r="1183" spans="2:19" x14ac:dyDescent="0.2">
      <c r="B1183" s="83">
        <f t="shared" si="430"/>
        <v>587</v>
      </c>
      <c r="C1183" s="7"/>
      <c r="D1183" s="7"/>
      <c r="E1183" s="7"/>
      <c r="F1183" s="25" t="s">
        <v>55</v>
      </c>
      <c r="G1183" s="7">
        <v>630</v>
      </c>
      <c r="H1183" s="7" t="s">
        <v>133</v>
      </c>
      <c r="I1183" s="23">
        <f>SUM(I1184:I1187)</f>
        <v>48058</v>
      </c>
      <c r="J1183" s="23">
        <f t="shared" ref="J1183" si="431">SUM(J1184:J1187)</f>
        <v>0</v>
      </c>
      <c r="K1183" s="23">
        <f t="shared" si="428"/>
        <v>48058</v>
      </c>
      <c r="M1183" s="23"/>
      <c r="N1183" s="23"/>
      <c r="O1183" s="86">
        <f t="shared" si="429"/>
        <v>0</v>
      </c>
      <c r="Q1183" s="273">
        <f t="shared" si="425"/>
        <v>48058</v>
      </c>
      <c r="R1183" s="86">
        <f t="shared" si="426"/>
        <v>0</v>
      </c>
      <c r="S1183" s="86">
        <f t="shared" si="426"/>
        <v>48058</v>
      </c>
    </row>
    <row r="1184" spans="2:19" x14ac:dyDescent="0.2">
      <c r="B1184" s="83">
        <f t="shared" si="430"/>
        <v>588</v>
      </c>
      <c r="C1184" s="3"/>
      <c r="D1184" s="3"/>
      <c r="E1184" s="3"/>
      <c r="F1184" s="26" t="s">
        <v>55</v>
      </c>
      <c r="G1184" s="3">
        <v>632</v>
      </c>
      <c r="H1184" s="3" t="s">
        <v>146</v>
      </c>
      <c r="I1184" s="19">
        <v>1796</v>
      </c>
      <c r="J1184" s="19"/>
      <c r="K1184" s="19">
        <f t="shared" si="428"/>
        <v>1796</v>
      </c>
      <c r="M1184" s="19"/>
      <c r="N1184" s="19"/>
      <c r="O1184" s="87">
        <f t="shared" si="429"/>
        <v>0</v>
      </c>
      <c r="Q1184" s="274">
        <f t="shared" si="425"/>
        <v>1796</v>
      </c>
      <c r="R1184" s="87">
        <f t="shared" si="426"/>
        <v>0</v>
      </c>
      <c r="S1184" s="87">
        <f t="shared" si="426"/>
        <v>1796</v>
      </c>
    </row>
    <row r="1185" spans="2:19" x14ac:dyDescent="0.2">
      <c r="B1185" s="83">
        <f t="shared" si="430"/>
        <v>589</v>
      </c>
      <c r="C1185" s="3"/>
      <c r="D1185" s="3"/>
      <c r="E1185" s="3"/>
      <c r="F1185" s="26" t="s">
        <v>55</v>
      </c>
      <c r="G1185" s="3">
        <v>633</v>
      </c>
      <c r="H1185" s="3" t="s">
        <v>137</v>
      </c>
      <c r="I1185" s="19">
        <v>43412</v>
      </c>
      <c r="J1185" s="19"/>
      <c r="K1185" s="19">
        <f t="shared" si="428"/>
        <v>43412</v>
      </c>
      <c r="M1185" s="19"/>
      <c r="N1185" s="19"/>
      <c r="O1185" s="87">
        <f t="shared" si="429"/>
        <v>0</v>
      </c>
      <c r="Q1185" s="274">
        <f t="shared" si="425"/>
        <v>43412</v>
      </c>
      <c r="R1185" s="87">
        <f t="shared" si="426"/>
        <v>0</v>
      </c>
      <c r="S1185" s="87">
        <f t="shared" si="426"/>
        <v>43412</v>
      </c>
    </row>
    <row r="1186" spans="2:19" x14ac:dyDescent="0.2">
      <c r="B1186" s="83">
        <f t="shared" si="430"/>
        <v>590</v>
      </c>
      <c r="C1186" s="3"/>
      <c r="D1186" s="3"/>
      <c r="E1186" s="3"/>
      <c r="F1186" s="26" t="s">
        <v>55</v>
      </c>
      <c r="G1186" s="3">
        <v>635</v>
      </c>
      <c r="H1186" s="3" t="s">
        <v>145</v>
      </c>
      <c r="I1186" s="19">
        <v>855</v>
      </c>
      <c r="J1186" s="19"/>
      <c r="K1186" s="19">
        <f t="shared" si="428"/>
        <v>855</v>
      </c>
      <c r="M1186" s="19"/>
      <c r="N1186" s="19"/>
      <c r="O1186" s="87">
        <f t="shared" si="429"/>
        <v>0</v>
      </c>
      <c r="Q1186" s="274">
        <f t="shared" si="425"/>
        <v>855</v>
      </c>
      <c r="R1186" s="87">
        <f t="shared" si="426"/>
        <v>0</v>
      </c>
      <c r="S1186" s="87">
        <f t="shared" si="426"/>
        <v>855</v>
      </c>
    </row>
    <row r="1187" spans="2:19" x14ac:dyDescent="0.2">
      <c r="B1187" s="83">
        <f t="shared" si="430"/>
        <v>591</v>
      </c>
      <c r="C1187" s="3"/>
      <c r="D1187" s="3"/>
      <c r="E1187" s="3"/>
      <c r="F1187" s="26" t="s">
        <v>55</v>
      </c>
      <c r="G1187" s="3">
        <v>637</v>
      </c>
      <c r="H1187" s="3" t="s">
        <v>134</v>
      </c>
      <c r="I1187" s="19">
        <v>1995</v>
      </c>
      <c r="J1187" s="19"/>
      <c r="K1187" s="19">
        <f t="shared" si="428"/>
        <v>1995</v>
      </c>
      <c r="M1187" s="19"/>
      <c r="N1187" s="19"/>
      <c r="O1187" s="87">
        <f t="shared" si="429"/>
        <v>0</v>
      </c>
      <c r="Q1187" s="274">
        <f t="shared" si="425"/>
        <v>1995</v>
      </c>
      <c r="R1187" s="87">
        <f t="shared" si="426"/>
        <v>0</v>
      </c>
      <c r="S1187" s="87">
        <f t="shared" si="426"/>
        <v>1995</v>
      </c>
    </row>
    <row r="1188" spans="2:19" x14ac:dyDescent="0.2">
      <c r="B1188" s="83">
        <f t="shared" si="430"/>
        <v>592</v>
      </c>
      <c r="C1188" s="7"/>
      <c r="D1188" s="7"/>
      <c r="E1188" s="7"/>
      <c r="F1188" s="25" t="s">
        <v>55</v>
      </c>
      <c r="G1188" s="7">
        <v>640</v>
      </c>
      <c r="H1188" s="7" t="s">
        <v>141</v>
      </c>
      <c r="I1188" s="23">
        <v>1873</v>
      </c>
      <c r="J1188" s="23"/>
      <c r="K1188" s="23">
        <f t="shared" si="428"/>
        <v>1873</v>
      </c>
      <c r="M1188" s="23"/>
      <c r="N1188" s="23"/>
      <c r="O1188" s="86">
        <f t="shared" si="429"/>
        <v>0</v>
      </c>
      <c r="Q1188" s="273">
        <f t="shared" si="425"/>
        <v>1873</v>
      </c>
      <c r="R1188" s="86">
        <f t="shared" si="426"/>
        <v>0</v>
      </c>
      <c r="S1188" s="86">
        <f t="shared" si="426"/>
        <v>1873</v>
      </c>
    </row>
    <row r="1189" spans="2:19" ht="15" x14ac:dyDescent="0.25">
      <c r="B1189" s="83">
        <f t="shared" si="430"/>
        <v>593</v>
      </c>
      <c r="C1189" s="10"/>
      <c r="D1189" s="10"/>
      <c r="E1189" s="10">
        <v>8</v>
      </c>
      <c r="F1189" s="28"/>
      <c r="G1189" s="10"/>
      <c r="H1189" s="10" t="s">
        <v>10</v>
      </c>
      <c r="I1189" s="38">
        <f>I1190+I1192</f>
        <v>141861</v>
      </c>
      <c r="J1189" s="38">
        <f t="shared" ref="J1189" si="432">J1190+J1192</f>
        <v>0</v>
      </c>
      <c r="K1189" s="38">
        <f t="shared" si="428"/>
        <v>141861</v>
      </c>
      <c r="M1189" s="38"/>
      <c r="N1189" s="38"/>
      <c r="O1189" s="94">
        <f t="shared" si="429"/>
        <v>0</v>
      </c>
      <c r="Q1189" s="315">
        <f t="shared" si="425"/>
        <v>141861</v>
      </c>
      <c r="R1189" s="94">
        <f t="shared" si="426"/>
        <v>0</v>
      </c>
      <c r="S1189" s="94">
        <f t="shared" si="426"/>
        <v>141861</v>
      </c>
    </row>
    <row r="1190" spans="2:19" x14ac:dyDescent="0.2">
      <c r="B1190" s="83">
        <f t="shared" si="430"/>
        <v>594</v>
      </c>
      <c r="C1190" s="7"/>
      <c r="D1190" s="7"/>
      <c r="E1190" s="7"/>
      <c r="F1190" s="25" t="s">
        <v>87</v>
      </c>
      <c r="G1190" s="7">
        <v>630</v>
      </c>
      <c r="H1190" s="7" t="s">
        <v>133</v>
      </c>
      <c r="I1190" s="23">
        <f>I1191</f>
        <v>56745</v>
      </c>
      <c r="J1190" s="23">
        <f t="shared" ref="J1190" si="433">J1191</f>
        <v>0</v>
      </c>
      <c r="K1190" s="23">
        <f t="shared" si="428"/>
        <v>56745</v>
      </c>
      <c r="M1190" s="23"/>
      <c r="N1190" s="23"/>
      <c r="O1190" s="86">
        <f t="shared" si="429"/>
        <v>0</v>
      </c>
      <c r="Q1190" s="273">
        <f t="shared" si="425"/>
        <v>56745</v>
      </c>
      <c r="R1190" s="86">
        <f t="shared" ref="R1190:S1205" si="434">J1190+N1190</f>
        <v>0</v>
      </c>
      <c r="S1190" s="86">
        <f t="shared" si="434"/>
        <v>56745</v>
      </c>
    </row>
    <row r="1191" spans="2:19" x14ac:dyDescent="0.2">
      <c r="B1191" s="83">
        <f t="shared" si="430"/>
        <v>595</v>
      </c>
      <c r="C1191" s="3"/>
      <c r="D1191" s="3"/>
      <c r="E1191" s="3"/>
      <c r="F1191" s="26" t="s">
        <v>87</v>
      </c>
      <c r="G1191" s="3">
        <v>637</v>
      </c>
      <c r="H1191" s="3" t="s">
        <v>134</v>
      </c>
      <c r="I1191" s="19">
        <v>56745</v>
      </c>
      <c r="J1191" s="19"/>
      <c r="K1191" s="19">
        <f t="shared" si="428"/>
        <v>56745</v>
      </c>
      <c r="M1191" s="19"/>
      <c r="N1191" s="19"/>
      <c r="O1191" s="87">
        <f t="shared" si="429"/>
        <v>0</v>
      </c>
      <c r="Q1191" s="274">
        <f t="shared" si="425"/>
        <v>56745</v>
      </c>
      <c r="R1191" s="87">
        <f t="shared" si="434"/>
        <v>0</v>
      </c>
      <c r="S1191" s="87">
        <f t="shared" si="434"/>
        <v>56745</v>
      </c>
    </row>
    <row r="1192" spans="2:19" x14ac:dyDescent="0.2">
      <c r="B1192" s="83">
        <f t="shared" si="430"/>
        <v>596</v>
      </c>
      <c r="C1192" s="7"/>
      <c r="D1192" s="7"/>
      <c r="E1192" s="7"/>
      <c r="F1192" s="25" t="s">
        <v>55</v>
      </c>
      <c r="G1192" s="7">
        <v>630</v>
      </c>
      <c r="H1192" s="7" t="s">
        <v>133</v>
      </c>
      <c r="I1192" s="23">
        <f>I1193</f>
        <v>85116</v>
      </c>
      <c r="J1192" s="23">
        <f t="shared" ref="J1192" si="435">J1193</f>
        <v>0</v>
      </c>
      <c r="K1192" s="23">
        <f t="shared" si="428"/>
        <v>85116</v>
      </c>
      <c r="M1192" s="23"/>
      <c r="N1192" s="23"/>
      <c r="O1192" s="86">
        <f t="shared" si="429"/>
        <v>0</v>
      </c>
      <c r="Q1192" s="273">
        <f t="shared" si="425"/>
        <v>85116</v>
      </c>
      <c r="R1192" s="86">
        <f t="shared" si="434"/>
        <v>0</v>
      </c>
      <c r="S1192" s="86">
        <f t="shared" si="434"/>
        <v>85116</v>
      </c>
    </row>
    <row r="1193" spans="2:19" x14ac:dyDescent="0.2">
      <c r="B1193" s="83">
        <f t="shared" si="430"/>
        <v>597</v>
      </c>
      <c r="C1193" s="3"/>
      <c r="D1193" s="3"/>
      <c r="E1193" s="3"/>
      <c r="F1193" s="26" t="s">
        <v>55</v>
      </c>
      <c r="G1193" s="3">
        <v>637</v>
      </c>
      <c r="H1193" s="3" t="s">
        <v>134</v>
      </c>
      <c r="I1193" s="19">
        <v>85116</v>
      </c>
      <c r="J1193" s="19"/>
      <c r="K1193" s="19">
        <f t="shared" si="428"/>
        <v>85116</v>
      </c>
      <c r="M1193" s="19"/>
      <c r="N1193" s="19"/>
      <c r="O1193" s="87">
        <f t="shared" si="429"/>
        <v>0</v>
      </c>
      <c r="Q1193" s="274">
        <f t="shared" si="425"/>
        <v>85116</v>
      </c>
      <c r="R1193" s="87">
        <f t="shared" si="434"/>
        <v>0</v>
      </c>
      <c r="S1193" s="87">
        <f t="shared" si="434"/>
        <v>85116</v>
      </c>
    </row>
    <row r="1194" spans="2:19" ht="15" x14ac:dyDescent="0.25">
      <c r="B1194" s="83">
        <f t="shared" si="430"/>
        <v>598</v>
      </c>
      <c r="C1194" s="10"/>
      <c r="D1194" s="10"/>
      <c r="E1194" s="10">
        <v>9</v>
      </c>
      <c r="F1194" s="28"/>
      <c r="G1194" s="10"/>
      <c r="H1194" s="10" t="s">
        <v>8</v>
      </c>
      <c r="I1194" s="38">
        <f>I1195+I1196+I1197+I1202+I1203+I1204</f>
        <v>159296</v>
      </c>
      <c r="J1194" s="38">
        <f t="shared" ref="J1194" si="436">J1195+J1196+J1197+J1202+J1203+J1204</f>
        <v>0</v>
      </c>
      <c r="K1194" s="38">
        <f t="shared" si="428"/>
        <v>159296</v>
      </c>
      <c r="M1194" s="38">
        <f>M1209</f>
        <v>1700</v>
      </c>
      <c r="N1194" s="38">
        <f t="shared" ref="N1194" si="437">N1209</f>
        <v>0</v>
      </c>
      <c r="O1194" s="94">
        <f t="shared" si="429"/>
        <v>1700</v>
      </c>
      <c r="Q1194" s="315">
        <f t="shared" si="425"/>
        <v>160996</v>
      </c>
      <c r="R1194" s="94">
        <f t="shared" si="434"/>
        <v>0</v>
      </c>
      <c r="S1194" s="94">
        <f t="shared" si="434"/>
        <v>160996</v>
      </c>
    </row>
    <row r="1195" spans="2:19" x14ac:dyDescent="0.2">
      <c r="B1195" s="83">
        <f t="shared" si="430"/>
        <v>599</v>
      </c>
      <c r="C1195" s="7"/>
      <c r="D1195" s="7"/>
      <c r="E1195" s="7"/>
      <c r="F1195" s="25" t="s">
        <v>87</v>
      </c>
      <c r="G1195" s="7">
        <v>610</v>
      </c>
      <c r="H1195" s="7" t="s">
        <v>143</v>
      </c>
      <c r="I1195" s="23">
        <f>22533+1733</f>
        <v>24266</v>
      </c>
      <c r="J1195" s="23"/>
      <c r="K1195" s="23">
        <f t="shared" si="428"/>
        <v>24266</v>
      </c>
      <c r="M1195" s="23"/>
      <c r="N1195" s="23"/>
      <c r="O1195" s="86">
        <f t="shared" si="429"/>
        <v>0</v>
      </c>
      <c r="Q1195" s="273">
        <f t="shared" si="425"/>
        <v>24266</v>
      </c>
      <c r="R1195" s="86">
        <f t="shared" si="434"/>
        <v>0</v>
      </c>
      <c r="S1195" s="86">
        <f t="shared" si="434"/>
        <v>24266</v>
      </c>
    </row>
    <row r="1196" spans="2:19" x14ac:dyDescent="0.2">
      <c r="B1196" s="83">
        <f t="shared" si="430"/>
        <v>600</v>
      </c>
      <c r="C1196" s="7"/>
      <c r="D1196" s="7"/>
      <c r="E1196" s="7"/>
      <c r="F1196" s="25" t="s">
        <v>87</v>
      </c>
      <c r="G1196" s="7">
        <v>620</v>
      </c>
      <c r="H1196" s="7" t="s">
        <v>136</v>
      </c>
      <c r="I1196" s="23">
        <f>8094+608</f>
        <v>8702</v>
      </c>
      <c r="J1196" s="23"/>
      <c r="K1196" s="23">
        <f t="shared" si="428"/>
        <v>8702</v>
      </c>
      <c r="M1196" s="23"/>
      <c r="N1196" s="23"/>
      <c r="O1196" s="86">
        <f t="shared" si="429"/>
        <v>0</v>
      </c>
      <c r="Q1196" s="273">
        <f t="shared" si="425"/>
        <v>8702</v>
      </c>
      <c r="R1196" s="86">
        <f t="shared" si="434"/>
        <v>0</v>
      </c>
      <c r="S1196" s="86">
        <f t="shared" si="434"/>
        <v>8702</v>
      </c>
    </row>
    <row r="1197" spans="2:19" x14ac:dyDescent="0.2">
      <c r="B1197" s="83">
        <f t="shared" si="430"/>
        <v>601</v>
      </c>
      <c r="C1197" s="7"/>
      <c r="D1197" s="7"/>
      <c r="E1197" s="7"/>
      <c r="F1197" s="25" t="s">
        <v>87</v>
      </c>
      <c r="G1197" s="7">
        <v>630</v>
      </c>
      <c r="H1197" s="7" t="s">
        <v>133</v>
      </c>
      <c r="I1197" s="23">
        <f>SUM(I1198:I1201)</f>
        <v>46680</v>
      </c>
      <c r="J1197" s="23">
        <f t="shared" ref="J1197" si="438">SUM(J1198:J1201)</f>
        <v>0</v>
      </c>
      <c r="K1197" s="23">
        <f t="shared" si="428"/>
        <v>46680</v>
      </c>
      <c r="M1197" s="23"/>
      <c r="N1197" s="23"/>
      <c r="O1197" s="86">
        <f t="shared" si="429"/>
        <v>0</v>
      </c>
      <c r="Q1197" s="273">
        <f t="shared" si="425"/>
        <v>46680</v>
      </c>
      <c r="R1197" s="86">
        <f t="shared" si="434"/>
        <v>0</v>
      </c>
      <c r="S1197" s="86">
        <f t="shared" si="434"/>
        <v>46680</v>
      </c>
    </row>
    <row r="1198" spans="2:19" x14ac:dyDescent="0.2">
      <c r="B1198" s="83">
        <f t="shared" si="430"/>
        <v>602</v>
      </c>
      <c r="C1198" s="3"/>
      <c r="D1198" s="3"/>
      <c r="E1198" s="3"/>
      <c r="F1198" s="26" t="s">
        <v>87</v>
      </c>
      <c r="G1198" s="3">
        <v>632</v>
      </c>
      <c r="H1198" s="3" t="s">
        <v>146</v>
      </c>
      <c r="I1198" s="19">
        <v>9130</v>
      </c>
      <c r="J1198" s="19"/>
      <c r="K1198" s="19">
        <f t="shared" si="428"/>
        <v>9130</v>
      </c>
      <c r="M1198" s="19"/>
      <c r="N1198" s="19"/>
      <c r="O1198" s="87">
        <f t="shared" si="429"/>
        <v>0</v>
      </c>
      <c r="Q1198" s="274">
        <f t="shared" si="425"/>
        <v>9130</v>
      </c>
      <c r="R1198" s="87">
        <f t="shared" si="434"/>
        <v>0</v>
      </c>
      <c r="S1198" s="87">
        <f t="shared" si="434"/>
        <v>9130</v>
      </c>
    </row>
    <row r="1199" spans="2:19" x14ac:dyDescent="0.2">
      <c r="B1199" s="83">
        <f t="shared" si="430"/>
        <v>603</v>
      </c>
      <c r="C1199" s="3"/>
      <c r="D1199" s="3"/>
      <c r="E1199" s="3"/>
      <c r="F1199" s="26" t="s">
        <v>87</v>
      </c>
      <c r="G1199" s="3">
        <v>633</v>
      </c>
      <c r="H1199" s="3" t="s">
        <v>137</v>
      </c>
      <c r="I1199" s="19">
        <v>33800</v>
      </c>
      <c r="J1199" s="19"/>
      <c r="K1199" s="19">
        <f t="shared" si="428"/>
        <v>33800</v>
      </c>
      <c r="M1199" s="19"/>
      <c r="N1199" s="19"/>
      <c r="O1199" s="87">
        <f t="shared" si="429"/>
        <v>0</v>
      </c>
      <c r="Q1199" s="274">
        <f t="shared" si="425"/>
        <v>33800</v>
      </c>
      <c r="R1199" s="87">
        <f t="shared" si="434"/>
        <v>0</v>
      </c>
      <c r="S1199" s="87">
        <f t="shared" si="434"/>
        <v>33800</v>
      </c>
    </row>
    <row r="1200" spans="2:19" x14ac:dyDescent="0.2">
      <c r="B1200" s="83">
        <f t="shared" si="430"/>
        <v>604</v>
      </c>
      <c r="C1200" s="3"/>
      <c r="D1200" s="3"/>
      <c r="E1200" s="3"/>
      <c r="F1200" s="26" t="s">
        <v>87</v>
      </c>
      <c r="G1200" s="3">
        <v>635</v>
      </c>
      <c r="H1200" s="3" t="s">
        <v>145</v>
      </c>
      <c r="I1200" s="19">
        <v>1700</v>
      </c>
      <c r="J1200" s="19"/>
      <c r="K1200" s="19">
        <f t="shared" si="428"/>
        <v>1700</v>
      </c>
      <c r="M1200" s="19"/>
      <c r="N1200" s="19"/>
      <c r="O1200" s="87">
        <f t="shared" si="429"/>
        <v>0</v>
      </c>
      <c r="Q1200" s="274">
        <f t="shared" si="425"/>
        <v>1700</v>
      </c>
      <c r="R1200" s="87">
        <f t="shared" si="434"/>
        <v>0</v>
      </c>
      <c r="S1200" s="87">
        <f t="shared" si="434"/>
        <v>1700</v>
      </c>
    </row>
    <row r="1201" spans="2:19" x14ac:dyDescent="0.2">
      <c r="B1201" s="83">
        <f t="shared" si="430"/>
        <v>605</v>
      </c>
      <c r="C1201" s="3"/>
      <c r="D1201" s="3"/>
      <c r="E1201" s="3"/>
      <c r="F1201" s="26" t="s">
        <v>87</v>
      </c>
      <c r="G1201" s="3">
        <v>637</v>
      </c>
      <c r="H1201" s="3" t="s">
        <v>134</v>
      </c>
      <c r="I1201" s="19">
        <v>2050</v>
      </c>
      <c r="J1201" s="19"/>
      <c r="K1201" s="19">
        <f t="shared" si="428"/>
        <v>2050</v>
      </c>
      <c r="M1201" s="19"/>
      <c r="N1201" s="19"/>
      <c r="O1201" s="87">
        <f t="shared" si="429"/>
        <v>0</v>
      </c>
      <c r="Q1201" s="274">
        <f t="shared" si="425"/>
        <v>2050</v>
      </c>
      <c r="R1201" s="87">
        <f t="shared" si="434"/>
        <v>0</v>
      </c>
      <c r="S1201" s="87">
        <f t="shared" si="434"/>
        <v>2050</v>
      </c>
    </row>
    <row r="1202" spans="2:19" x14ac:dyDescent="0.2">
      <c r="B1202" s="83">
        <f t="shared" si="430"/>
        <v>606</v>
      </c>
      <c r="C1202" s="7"/>
      <c r="D1202" s="7"/>
      <c r="E1202" s="7"/>
      <c r="F1202" s="25" t="s">
        <v>55</v>
      </c>
      <c r="G1202" s="7">
        <v>610</v>
      </c>
      <c r="H1202" s="7" t="s">
        <v>143</v>
      </c>
      <c r="I1202" s="23">
        <f>22533+1733</f>
        <v>24266</v>
      </c>
      <c r="J1202" s="23"/>
      <c r="K1202" s="23">
        <f t="shared" si="428"/>
        <v>24266</v>
      </c>
      <c r="M1202" s="23"/>
      <c r="N1202" s="23"/>
      <c r="O1202" s="86">
        <f t="shared" si="429"/>
        <v>0</v>
      </c>
      <c r="Q1202" s="273">
        <f t="shared" si="425"/>
        <v>24266</v>
      </c>
      <c r="R1202" s="86">
        <f t="shared" si="434"/>
        <v>0</v>
      </c>
      <c r="S1202" s="86">
        <f t="shared" si="434"/>
        <v>24266</v>
      </c>
    </row>
    <row r="1203" spans="2:19" x14ac:dyDescent="0.2">
      <c r="B1203" s="83">
        <f t="shared" si="430"/>
        <v>607</v>
      </c>
      <c r="C1203" s="7"/>
      <c r="D1203" s="7"/>
      <c r="E1203" s="7"/>
      <c r="F1203" s="25" t="s">
        <v>55</v>
      </c>
      <c r="G1203" s="7">
        <v>620</v>
      </c>
      <c r="H1203" s="7" t="s">
        <v>136</v>
      </c>
      <c r="I1203" s="23">
        <f>8094+608</f>
        <v>8702</v>
      </c>
      <c r="J1203" s="23"/>
      <c r="K1203" s="23">
        <f t="shared" si="428"/>
        <v>8702</v>
      </c>
      <c r="M1203" s="23"/>
      <c r="N1203" s="23"/>
      <c r="O1203" s="86">
        <f t="shared" si="429"/>
        <v>0</v>
      </c>
      <c r="Q1203" s="273">
        <f t="shared" si="425"/>
        <v>8702</v>
      </c>
      <c r="R1203" s="86">
        <f t="shared" si="434"/>
        <v>0</v>
      </c>
      <c r="S1203" s="86">
        <f t="shared" si="434"/>
        <v>8702</v>
      </c>
    </row>
    <row r="1204" spans="2:19" x14ac:dyDescent="0.2">
      <c r="B1204" s="83">
        <f t="shared" si="430"/>
        <v>608</v>
      </c>
      <c r="C1204" s="7"/>
      <c r="D1204" s="7"/>
      <c r="E1204" s="7"/>
      <c r="F1204" s="25" t="s">
        <v>55</v>
      </c>
      <c r="G1204" s="7">
        <v>630</v>
      </c>
      <c r="H1204" s="7" t="s">
        <v>133</v>
      </c>
      <c r="I1204" s="23">
        <f>SUM(I1205:I1208)</f>
        <v>46680</v>
      </c>
      <c r="J1204" s="23">
        <f t="shared" ref="J1204" si="439">SUM(J1205:J1208)</f>
        <v>0</v>
      </c>
      <c r="K1204" s="23">
        <f t="shared" si="428"/>
        <v>46680</v>
      </c>
      <c r="M1204" s="23"/>
      <c r="N1204" s="23"/>
      <c r="O1204" s="86">
        <f t="shared" si="429"/>
        <v>0</v>
      </c>
      <c r="Q1204" s="273">
        <f t="shared" si="425"/>
        <v>46680</v>
      </c>
      <c r="R1204" s="86">
        <f t="shared" si="434"/>
        <v>0</v>
      </c>
      <c r="S1204" s="86">
        <f t="shared" si="434"/>
        <v>46680</v>
      </c>
    </row>
    <row r="1205" spans="2:19" x14ac:dyDescent="0.2">
      <c r="B1205" s="83">
        <f t="shared" si="430"/>
        <v>609</v>
      </c>
      <c r="C1205" s="3"/>
      <c r="D1205" s="3"/>
      <c r="E1205" s="3"/>
      <c r="F1205" s="26" t="s">
        <v>55</v>
      </c>
      <c r="G1205" s="3">
        <v>632</v>
      </c>
      <c r="H1205" s="3" t="s">
        <v>146</v>
      </c>
      <c r="I1205" s="19">
        <v>9130</v>
      </c>
      <c r="J1205" s="19"/>
      <c r="K1205" s="19">
        <f t="shared" si="428"/>
        <v>9130</v>
      </c>
      <c r="M1205" s="19"/>
      <c r="N1205" s="19"/>
      <c r="O1205" s="87">
        <f t="shared" si="429"/>
        <v>0</v>
      </c>
      <c r="Q1205" s="274">
        <f t="shared" si="425"/>
        <v>9130</v>
      </c>
      <c r="R1205" s="87">
        <f t="shared" si="434"/>
        <v>0</v>
      </c>
      <c r="S1205" s="87">
        <f t="shared" si="434"/>
        <v>9130</v>
      </c>
    </row>
    <row r="1206" spans="2:19" x14ac:dyDescent="0.2">
      <c r="B1206" s="83">
        <f t="shared" si="430"/>
        <v>610</v>
      </c>
      <c r="C1206" s="3"/>
      <c r="D1206" s="3"/>
      <c r="E1206" s="3"/>
      <c r="F1206" s="26" t="s">
        <v>55</v>
      </c>
      <c r="G1206" s="3">
        <v>633</v>
      </c>
      <c r="H1206" s="3" t="s">
        <v>137</v>
      </c>
      <c r="I1206" s="19">
        <v>33800</v>
      </c>
      <c r="J1206" s="19"/>
      <c r="K1206" s="19">
        <f t="shared" si="428"/>
        <v>33800</v>
      </c>
      <c r="M1206" s="19"/>
      <c r="N1206" s="19"/>
      <c r="O1206" s="87">
        <f t="shared" si="429"/>
        <v>0</v>
      </c>
      <c r="Q1206" s="274">
        <f t="shared" si="425"/>
        <v>33800</v>
      </c>
      <c r="R1206" s="87">
        <f t="shared" ref="R1206:S1221" si="440">J1206+N1206</f>
        <v>0</v>
      </c>
      <c r="S1206" s="87">
        <f t="shared" si="440"/>
        <v>33800</v>
      </c>
    </row>
    <row r="1207" spans="2:19" x14ac:dyDescent="0.2">
      <c r="B1207" s="83">
        <f t="shared" si="430"/>
        <v>611</v>
      </c>
      <c r="C1207" s="3"/>
      <c r="D1207" s="3"/>
      <c r="E1207" s="3"/>
      <c r="F1207" s="26" t="s">
        <v>55</v>
      </c>
      <c r="G1207" s="3">
        <v>635</v>
      </c>
      <c r="H1207" s="3" t="s">
        <v>145</v>
      </c>
      <c r="I1207" s="19">
        <v>1700</v>
      </c>
      <c r="J1207" s="19"/>
      <c r="K1207" s="19">
        <f t="shared" si="428"/>
        <v>1700</v>
      </c>
      <c r="M1207" s="19"/>
      <c r="N1207" s="19"/>
      <c r="O1207" s="87">
        <f t="shared" si="429"/>
        <v>0</v>
      </c>
      <c r="Q1207" s="274">
        <f t="shared" si="425"/>
        <v>1700</v>
      </c>
      <c r="R1207" s="87">
        <f t="shared" si="440"/>
        <v>0</v>
      </c>
      <c r="S1207" s="87">
        <f t="shared" si="440"/>
        <v>1700</v>
      </c>
    </row>
    <row r="1208" spans="2:19" x14ac:dyDescent="0.2">
      <c r="B1208" s="83">
        <f t="shared" si="430"/>
        <v>612</v>
      </c>
      <c r="C1208" s="3"/>
      <c r="D1208" s="3"/>
      <c r="E1208" s="3"/>
      <c r="F1208" s="26" t="s">
        <v>55</v>
      </c>
      <c r="G1208" s="3">
        <v>637</v>
      </c>
      <c r="H1208" s="3" t="s">
        <v>134</v>
      </c>
      <c r="I1208" s="19">
        <v>2050</v>
      </c>
      <c r="J1208" s="19"/>
      <c r="K1208" s="19">
        <f t="shared" si="428"/>
        <v>2050</v>
      </c>
      <c r="M1208" s="19"/>
      <c r="N1208" s="19"/>
      <c r="O1208" s="87">
        <f t="shared" si="429"/>
        <v>0</v>
      </c>
      <c r="Q1208" s="274">
        <f t="shared" si="425"/>
        <v>2050</v>
      </c>
      <c r="R1208" s="87">
        <f t="shared" si="440"/>
        <v>0</v>
      </c>
      <c r="S1208" s="87">
        <f t="shared" si="440"/>
        <v>2050</v>
      </c>
    </row>
    <row r="1209" spans="2:19" x14ac:dyDescent="0.2">
      <c r="B1209" s="83">
        <f t="shared" si="430"/>
        <v>613</v>
      </c>
      <c r="C1209" s="3"/>
      <c r="D1209" s="3"/>
      <c r="E1209" s="3"/>
      <c r="F1209" s="189" t="s">
        <v>87</v>
      </c>
      <c r="G1209" s="190">
        <v>710</v>
      </c>
      <c r="H1209" s="7" t="s">
        <v>188</v>
      </c>
      <c r="I1209" s="19"/>
      <c r="J1209" s="19"/>
      <c r="K1209" s="19">
        <f t="shared" si="428"/>
        <v>0</v>
      </c>
      <c r="M1209" s="18">
        <f>M1210</f>
        <v>1700</v>
      </c>
      <c r="N1209" s="18">
        <f t="shared" ref="N1209:N1210" si="441">N1210</f>
        <v>0</v>
      </c>
      <c r="O1209" s="115">
        <f t="shared" si="429"/>
        <v>1700</v>
      </c>
      <c r="Q1209" s="319">
        <f t="shared" si="425"/>
        <v>1700</v>
      </c>
      <c r="R1209" s="115">
        <f t="shared" si="440"/>
        <v>0</v>
      </c>
      <c r="S1209" s="115">
        <f t="shared" si="440"/>
        <v>1700</v>
      </c>
    </row>
    <row r="1210" spans="2:19" x14ac:dyDescent="0.2">
      <c r="B1210" s="83">
        <f t="shared" si="430"/>
        <v>614</v>
      </c>
      <c r="C1210" s="3"/>
      <c r="D1210" s="3"/>
      <c r="E1210" s="3"/>
      <c r="F1210" s="191" t="s">
        <v>87</v>
      </c>
      <c r="G1210" s="192">
        <v>713</v>
      </c>
      <c r="H1210" s="3" t="s">
        <v>235</v>
      </c>
      <c r="I1210" s="19"/>
      <c r="J1210" s="19"/>
      <c r="K1210" s="19">
        <f t="shared" si="428"/>
        <v>0</v>
      </c>
      <c r="M1210" s="19">
        <f>M1211</f>
        <v>1700</v>
      </c>
      <c r="N1210" s="19">
        <f t="shared" si="441"/>
        <v>0</v>
      </c>
      <c r="O1210" s="87">
        <f t="shared" si="429"/>
        <v>1700</v>
      </c>
      <c r="Q1210" s="274">
        <f t="shared" si="425"/>
        <v>1700</v>
      </c>
      <c r="R1210" s="87">
        <f t="shared" si="440"/>
        <v>0</v>
      </c>
      <c r="S1210" s="87">
        <f t="shared" si="440"/>
        <v>1700</v>
      </c>
    </row>
    <row r="1211" spans="2:19" x14ac:dyDescent="0.2">
      <c r="B1211" s="83">
        <f t="shared" si="430"/>
        <v>615</v>
      </c>
      <c r="C1211" s="3"/>
      <c r="D1211" s="3"/>
      <c r="E1211" s="3"/>
      <c r="F1211" s="191"/>
      <c r="G1211" s="192"/>
      <c r="H1211" s="4" t="s">
        <v>531</v>
      </c>
      <c r="I1211" s="19"/>
      <c r="J1211" s="19"/>
      <c r="K1211" s="19">
        <f t="shared" si="428"/>
        <v>0</v>
      </c>
      <c r="M1211" s="193">
        <v>1700</v>
      </c>
      <c r="N1211" s="193"/>
      <c r="O1211" s="194">
        <f t="shared" si="429"/>
        <v>1700</v>
      </c>
      <c r="Q1211" s="320">
        <f t="shared" si="425"/>
        <v>1700</v>
      </c>
      <c r="R1211" s="194">
        <f t="shared" si="440"/>
        <v>0</v>
      </c>
      <c r="S1211" s="194">
        <f t="shared" si="440"/>
        <v>1700</v>
      </c>
    </row>
    <row r="1212" spans="2:19" ht="15" x14ac:dyDescent="0.25">
      <c r="B1212" s="83">
        <f t="shared" si="430"/>
        <v>616</v>
      </c>
      <c r="C1212" s="10"/>
      <c r="D1212" s="10"/>
      <c r="E1212" s="10">
        <v>10</v>
      </c>
      <c r="F1212" s="28"/>
      <c r="G1212" s="10"/>
      <c r="H1212" s="10" t="s">
        <v>2</v>
      </c>
      <c r="I1212" s="38">
        <f>I1213+I1214+I1215+I1220+I1221+I1222+I1223+I1228</f>
        <v>223490</v>
      </c>
      <c r="J1212" s="38">
        <f t="shared" ref="J1212" si="442">J1213+J1214+J1215+J1220+J1221+J1222+J1223+J1228</f>
        <v>20000</v>
      </c>
      <c r="K1212" s="38">
        <f t="shared" si="428"/>
        <v>243490</v>
      </c>
      <c r="M1212" s="38">
        <v>0</v>
      </c>
      <c r="N1212" s="38">
        <v>0</v>
      </c>
      <c r="O1212" s="94">
        <f t="shared" si="429"/>
        <v>0</v>
      </c>
      <c r="Q1212" s="315">
        <f t="shared" si="425"/>
        <v>223490</v>
      </c>
      <c r="R1212" s="94">
        <f t="shared" si="440"/>
        <v>20000</v>
      </c>
      <c r="S1212" s="94">
        <f t="shared" si="440"/>
        <v>243490</v>
      </c>
    </row>
    <row r="1213" spans="2:19" x14ac:dyDescent="0.2">
      <c r="B1213" s="83">
        <f t="shared" si="430"/>
        <v>617</v>
      </c>
      <c r="C1213" s="7"/>
      <c r="D1213" s="7"/>
      <c r="E1213" s="7"/>
      <c r="F1213" s="25" t="s">
        <v>87</v>
      </c>
      <c r="G1213" s="7">
        <v>610</v>
      </c>
      <c r="H1213" s="7" t="s">
        <v>143</v>
      </c>
      <c r="I1213" s="23">
        <f>32490+5616-4810</f>
        <v>33296</v>
      </c>
      <c r="J1213" s="23"/>
      <c r="K1213" s="23">
        <f t="shared" si="428"/>
        <v>33296</v>
      </c>
      <c r="M1213" s="23"/>
      <c r="N1213" s="23"/>
      <c r="O1213" s="86">
        <f t="shared" si="429"/>
        <v>0</v>
      </c>
      <c r="Q1213" s="273">
        <f t="shared" si="425"/>
        <v>33296</v>
      </c>
      <c r="R1213" s="86">
        <f t="shared" si="440"/>
        <v>0</v>
      </c>
      <c r="S1213" s="86">
        <f t="shared" si="440"/>
        <v>33296</v>
      </c>
    </row>
    <row r="1214" spans="2:19" x14ac:dyDescent="0.2">
      <c r="B1214" s="83">
        <f t="shared" si="430"/>
        <v>618</v>
      </c>
      <c r="C1214" s="7"/>
      <c r="D1214" s="7"/>
      <c r="E1214" s="7"/>
      <c r="F1214" s="25" t="s">
        <v>87</v>
      </c>
      <c r="G1214" s="7">
        <v>620</v>
      </c>
      <c r="H1214" s="7" t="s">
        <v>136</v>
      </c>
      <c r="I1214" s="23">
        <f>11356+1946-1690</f>
        <v>11612</v>
      </c>
      <c r="J1214" s="23"/>
      <c r="K1214" s="23">
        <f t="shared" si="428"/>
        <v>11612</v>
      </c>
      <c r="M1214" s="23"/>
      <c r="N1214" s="23"/>
      <c r="O1214" s="86">
        <f t="shared" si="429"/>
        <v>0</v>
      </c>
      <c r="Q1214" s="273">
        <f t="shared" si="425"/>
        <v>11612</v>
      </c>
      <c r="R1214" s="86">
        <f t="shared" si="440"/>
        <v>0</v>
      </c>
      <c r="S1214" s="86">
        <f t="shared" si="440"/>
        <v>11612</v>
      </c>
    </row>
    <row r="1215" spans="2:19" x14ac:dyDescent="0.2">
      <c r="B1215" s="83">
        <f t="shared" si="430"/>
        <v>619</v>
      </c>
      <c r="C1215" s="7"/>
      <c r="D1215" s="7"/>
      <c r="E1215" s="7"/>
      <c r="F1215" s="25" t="s">
        <v>87</v>
      </c>
      <c r="G1215" s="7">
        <v>630</v>
      </c>
      <c r="H1215" s="7" t="s">
        <v>133</v>
      </c>
      <c r="I1215" s="23">
        <f>SUM(I1216:I1219)</f>
        <v>68290</v>
      </c>
      <c r="J1215" s="23">
        <f t="shared" ref="J1215" si="443">SUM(J1216:J1219)</f>
        <v>-5000</v>
      </c>
      <c r="K1215" s="23">
        <f t="shared" si="428"/>
        <v>63290</v>
      </c>
      <c r="M1215" s="23"/>
      <c r="N1215" s="23"/>
      <c r="O1215" s="86">
        <f t="shared" si="429"/>
        <v>0</v>
      </c>
      <c r="Q1215" s="273">
        <f t="shared" si="425"/>
        <v>68290</v>
      </c>
      <c r="R1215" s="86">
        <f t="shared" si="440"/>
        <v>-5000</v>
      </c>
      <c r="S1215" s="86">
        <f t="shared" si="440"/>
        <v>63290</v>
      </c>
    </row>
    <row r="1216" spans="2:19" x14ac:dyDescent="0.2">
      <c r="B1216" s="83">
        <f t="shared" si="430"/>
        <v>620</v>
      </c>
      <c r="C1216" s="3"/>
      <c r="D1216" s="3"/>
      <c r="E1216" s="3"/>
      <c r="F1216" s="26" t="s">
        <v>87</v>
      </c>
      <c r="G1216" s="3">
        <v>632</v>
      </c>
      <c r="H1216" s="3" t="s">
        <v>146</v>
      </c>
      <c r="I1216" s="19">
        <v>16050</v>
      </c>
      <c r="J1216" s="19">
        <v>-5000</v>
      </c>
      <c r="K1216" s="19">
        <f t="shared" si="428"/>
        <v>11050</v>
      </c>
      <c r="M1216" s="19"/>
      <c r="N1216" s="19"/>
      <c r="O1216" s="87">
        <f t="shared" si="429"/>
        <v>0</v>
      </c>
      <c r="Q1216" s="274">
        <f t="shared" si="425"/>
        <v>16050</v>
      </c>
      <c r="R1216" s="87">
        <f t="shared" si="440"/>
        <v>-5000</v>
      </c>
      <c r="S1216" s="87">
        <f t="shared" si="440"/>
        <v>11050</v>
      </c>
    </row>
    <row r="1217" spans="2:19" x14ac:dyDescent="0.2">
      <c r="B1217" s="83">
        <f t="shared" si="430"/>
        <v>621</v>
      </c>
      <c r="C1217" s="3"/>
      <c r="D1217" s="3"/>
      <c r="E1217" s="3"/>
      <c r="F1217" s="26" t="s">
        <v>87</v>
      </c>
      <c r="G1217" s="3">
        <v>633</v>
      </c>
      <c r="H1217" s="3" t="s">
        <v>137</v>
      </c>
      <c r="I1217" s="20">
        <v>43000</v>
      </c>
      <c r="J1217" s="20"/>
      <c r="K1217" s="20">
        <f t="shared" si="428"/>
        <v>43000</v>
      </c>
      <c r="M1217" s="19"/>
      <c r="N1217" s="19"/>
      <c r="O1217" s="87">
        <f t="shared" si="429"/>
        <v>0</v>
      </c>
      <c r="Q1217" s="274">
        <f t="shared" si="425"/>
        <v>43000</v>
      </c>
      <c r="R1217" s="87">
        <f t="shared" si="440"/>
        <v>0</v>
      </c>
      <c r="S1217" s="87">
        <f t="shared" si="440"/>
        <v>43000</v>
      </c>
    </row>
    <row r="1218" spans="2:19" x14ac:dyDescent="0.2">
      <c r="B1218" s="83">
        <f t="shared" si="430"/>
        <v>622</v>
      </c>
      <c r="C1218" s="3"/>
      <c r="D1218" s="3"/>
      <c r="E1218" s="3"/>
      <c r="F1218" s="26" t="s">
        <v>87</v>
      </c>
      <c r="G1218" s="3">
        <v>635</v>
      </c>
      <c r="H1218" s="3" t="s">
        <v>145</v>
      </c>
      <c r="I1218" s="19">
        <v>3620</v>
      </c>
      <c r="J1218" s="19"/>
      <c r="K1218" s="19">
        <f t="shared" si="428"/>
        <v>3620</v>
      </c>
      <c r="M1218" s="19"/>
      <c r="N1218" s="19"/>
      <c r="O1218" s="87">
        <f t="shared" si="429"/>
        <v>0</v>
      </c>
      <c r="Q1218" s="274">
        <f t="shared" si="425"/>
        <v>3620</v>
      </c>
      <c r="R1218" s="87">
        <f t="shared" si="440"/>
        <v>0</v>
      </c>
      <c r="S1218" s="87">
        <f t="shared" si="440"/>
        <v>3620</v>
      </c>
    </row>
    <row r="1219" spans="2:19" x14ac:dyDescent="0.2">
      <c r="B1219" s="83">
        <f t="shared" si="430"/>
        <v>623</v>
      </c>
      <c r="C1219" s="3"/>
      <c r="D1219" s="3"/>
      <c r="E1219" s="3"/>
      <c r="F1219" s="26" t="s">
        <v>87</v>
      </c>
      <c r="G1219" s="3">
        <v>637</v>
      </c>
      <c r="H1219" s="3" t="s">
        <v>134</v>
      </c>
      <c r="I1219" s="19">
        <v>5620</v>
      </c>
      <c r="J1219" s="19"/>
      <c r="K1219" s="19">
        <f t="shared" si="428"/>
        <v>5620</v>
      </c>
      <c r="M1219" s="19"/>
      <c r="N1219" s="19"/>
      <c r="O1219" s="87">
        <f t="shared" si="429"/>
        <v>0</v>
      </c>
      <c r="Q1219" s="274">
        <f t="shared" si="425"/>
        <v>5620</v>
      </c>
      <c r="R1219" s="87">
        <f t="shared" si="440"/>
        <v>0</v>
      </c>
      <c r="S1219" s="87">
        <f t="shared" si="440"/>
        <v>5620</v>
      </c>
    </row>
    <row r="1220" spans="2:19" x14ac:dyDescent="0.2">
      <c r="B1220" s="83">
        <f t="shared" si="430"/>
        <v>624</v>
      </c>
      <c r="C1220" s="7"/>
      <c r="D1220" s="7"/>
      <c r="E1220" s="7"/>
      <c r="F1220" s="25" t="s">
        <v>87</v>
      </c>
      <c r="G1220" s="7">
        <v>640</v>
      </c>
      <c r="H1220" s="7" t="s">
        <v>141</v>
      </c>
      <c r="I1220" s="23">
        <v>250</v>
      </c>
      <c r="J1220" s="23"/>
      <c r="K1220" s="23">
        <f t="shared" si="428"/>
        <v>250</v>
      </c>
      <c r="M1220" s="23"/>
      <c r="N1220" s="23"/>
      <c r="O1220" s="86">
        <f t="shared" si="429"/>
        <v>0</v>
      </c>
      <c r="Q1220" s="273">
        <f t="shared" si="425"/>
        <v>250</v>
      </c>
      <c r="R1220" s="86">
        <f t="shared" si="440"/>
        <v>0</v>
      </c>
      <c r="S1220" s="86">
        <f t="shared" si="440"/>
        <v>250</v>
      </c>
    </row>
    <row r="1221" spans="2:19" x14ac:dyDescent="0.2">
      <c r="B1221" s="83">
        <f t="shared" si="430"/>
        <v>625</v>
      </c>
      <c r="C1221" s="7"/>
      <c r="D1221" s="7"/>
      <c r="E1221" s="7"/>
      <c r="F1221" s="25" t="s">
        <v>55</v>
      </c>
      <c r="G1221" s="7">
        <v>610</v>
      </c>
      <c r="H1221" s="7" t="s">
        <v>143</v>
      </c>
      <c r="I1221" s="23">
        <f>26550+4212</f>
        <v>30762</v>
      </c>
      <c r="J1221" s="23"/>
      <c r="K1221" s="23">
        <f t="shared" si="428"/>
        <v>30762</v>
      </c>
      <c r="M1221" s="23"/>
      <c r="N1221" s="23"/>
      <c r="O1221" s="86">
        <f t="shared" si="429"/>
        <v>0</v>
      </c>
      <c r="Q1221" s="273">
        <f t="shared" si="425"/>
        <v>30762</v>
      </c>
      <c r="R1221" s="86">
        <f t="shared" si="440"/>
        <v>0</v>
      </c>
      <c r="S1221" s="86">
        <f t="shared" si="440"/>
        <v>30762</v>
      </c>
    </row>
    <row r="1222" spans="2:19" x14ac:dyDescent="0.2">
      <c r="B1222" s="83">
        <f t="shared" si="430"/>
        <v>626</v>
      </c>
      <c r="C1222" s="7"/>
      <c r="D1222" s="7"/>
      <c r="E1222" s="7"/>
      <c r="F1222" s="25" t="s">
        <v>55</v>
      </c>
      <c r="G1222" s="7">
        <v>620</v>
      </c>
      <c r="H1222" s="7" t="s">
        <v>136</v>
      </c>
      <c r="I1222" s="23">
        <f>9280+1460</f>
        <v>10740</v>
      </c>
      <c r="J1222" s="23"/>
      <c r="K1222" s="23">
        <f t="shared" si="428"/>
        <v>10740</v>
      </c>
      <c r="M1222" s="23"/>
      <c r="N1222" s="23"/>
      <c r="O1222" s="86">
        <f t="shared" si="429"/>
        <v>0</v>
      </c>
      <c r="Q1222" s="273">
        <f t="shared" si="425"/>
        <v>10740</v>
      </c>
      <c r="R1222" s="86">
        <f t="shared" ref="R1222:S1237" si="444">J1222+N1222</f>
        <v>0</v>
      </c>
      <c r="S1222" s="86">
        <f t="shared" si="444"/>
        <v>10740</v>
      </c>
    </row>
    <row r="1223" spans="2:19" x14ac:dyDescent="0.2">
      <c r="B1223" s="83">
        <f t="shared" si="430"/>
        <v>627</v>
      </c>
      <c r="C1223" s="7"/>
      <c r="D1223" s="7"/>
      <c r="E1223" s="7"/>
      <c r="F1223" s="25" t="s">
        <v>55</v>
      </c>
      <c r="G1223" s="7">
        <v>630</v>
      </c>
      <c r="H1223" s="7" t="s">
        <v>133</v>
      </c>
      <c r="I1223" s="23">
        <f>SUM(I1224:I1227)</f>
        <v>68290</v>
      </c>
      <c r="J1223" s="23">
        <f t="shared" ref="J1223" si="445">SUM(J1224:J1227)</f>
        <v>25000</v>
      </c>
      <c r="K1223" s="23">
        <f t="shared" si="428"/>
        <v>93290</v>
      </c>
      <c r="M1223" s="23"/>
      <c r="N1223" s="23"/>
      <c r="O1223" s="86">
        <f t="shared" si="429"/>
        <v>0</v>
      </c>
      <c r="Q1223" s="273">
        <f t="shared" si="425"/>
        <v>68290</v>
      </c>
      <c r="R1223" s="86">
        <f t="shared" si="444"/>
        <v>25000</v>
      </c>
      <c r="S1223" s="86">
        <f t="shared" si="444"/>
        <v>93290</v>
      </c>
    </row>
    <row r="1224" spans="2:19" x14ac:dyDescent="0.2">
      <c r="B1224" s="83">
        <f t="shared" si="430"/>
        <v>628</v>
      </c>
      <c r="C1224" s="3"/>
      <c r="D1224" s="3"/>
      <c r="E1224" s="3"/>
      <c r="F1224" s="26" t="s">
        <v>55</v>
      </c>
      <c r="G1224" s="3">
        <v>632</v>
      </c>
      <c r="H1224" s="3" t="s">
        <v>146</v>
      </c>
      <c r="I1224" s="19">
        <v>16050</v>
      </c>
      <c r="J1224" s="19">
        <v>-5000</v>
      </c>
      <c r="K1224" s="19">
        <f t="shared" si="428"/>
        <v>11050</v>
      </c>
      <c r="M1224" s="19"/>
      <c r="N1224" s="19"/>
      <c r="O1224" s="87">
        <f t="shared" si="429"/>
        <v>0</v>
      </c>
      <c r="Q1224" s="274">
        <f t="shared" si="425"/>
        <v>16050</v>
      </c>
      <c r="R1224" s="87">
        <f t="shared" si="444"/>
        <v>-5000</v>
      </c>
      <c r="S1224" s="87">
        <f t="shared" si="444"/>
        <v>11050</v>
      </c>
    </row>
    <row r="1225" spans="2:19" x14ac:dyDescent="0.2">
      <c r="B1225" s="83">
        <f t="shared" si="430"/>
        <v>629</v>
      </c>
      <c r="C1225" s="3"/>
      <c r="D1225" s="3"/>
      <c r="E1225" s="3"/>
      <c r="F1225" s="26" t="s">
        <v>55</v>
      </c>
      <c r="G1225" s="3">
        <v>633</v>
      </c>
      <c r="H1225" s="3" t="s">
        <v>137</v>
      </c>
      <c r="I1225" s="20">
        <v>43000</v>
      </c>
      <c r="J1225" s="20"/>
      <c r="K1225" s="20">
        <f t="shared" si="428"/>
        <v>43000</v>
      </c>
      <c r="M1225" s="19"/>
      <c r="N1225" s="19"/>
      <c r="O1225" s="87">
        <f t="shared" si="429"/>
        <v>0</v>
      </c>
      <c r="Q1225" s="274">
        <f t="shared" si="425"/>
        <v>43000</v>
      </c>
      <c r="R1225" s="87">
        <f t="shared" si="444"/>
        <v>0</v>
      </c>
      <c r="S1225" s="87">
        <f t="shared" si="444"/>
        <v>43000</v>
      </c>
    </row>
    <row r="1226" spans="2:19" x14ac:dyDescent="0.2">
      <c r="B1226" s="83">
        <f t="shared" si="430"/>
        <v>630</v>
      </c>
      <c r="C1226" s="3"/>
      <c r="D1226" s="3"/>
      <c r="E1226" s="3"/>
      <c r="F1226" s="26" t="s">
        <v>55</v>
      </c>
      <c r="G1226" s="3">
        <v>635</v>
      </c>
      <c r="H1226" s="3" t="s">
        <v>145</v>
      </c>
      <c r="I1226" s="19">
        <v>3620</v>
      </c>
      <c r="J1226" s="19">
        <v>30000</v>
      </c>
      <c r="K1226" s="19">
        <f t="shared" si="428"/>
        <v>33620</v>
      </c>
      <c r="M1226" s="19"/>
      <c r="N1226" s="19"/>
      <c r="O1226" s="87">
        <f t="shared" si="429"/>
        <v>0</v>
      </c>
      <c r="Q1226" s="274">
        <f t="shared" si="425"/>
        <v>3620</v>
      </c>
      <c r="R1226" s="87">
        <f t="shared" si="444"/>
        <v>30000</v>
      </c>
      <c r="S1226" s="87">
        <f t="shared" si="444"/>
        <v>33620</v>
      </c>
    </row>
    <row r="1227" spans="2:19" x14ac:dyDescent="0.2">
      <c r="B1227" s="83">
        <f t="shared" si="430"/>
        <v>631</v>
      </c>
      <c r="C1227" s="3"/>
      <c r="D1227" s="3"/>
      <c r="E1227" s="3"/>
      <c r="F1227" s="26" t="s">
        <v>55</v>
      </c>
      <c r="G1227" s="3">
        <v>637</v>
      </c>
      <c r="H1227" s="3" t="s">
        <v>134</v>
      </c>
      <c r="I1227" s="19">
        <v>5620</v>
      </c>
      <c r="J1227" s="19"/>
      <c r="K1227" s="19">
        <f t="shared" si="428"/>
        <v>5620</v>
      </c>
      <c r="M1227" s="19"/>
      <c r="N1227" s="19"/>
      <c r="O1227" s="87">
        <f t="shared" si="429"/>
        <v>0</v>
      </c>
      <c r="Q1227" s="274">
        <f t="shared" si="425"/>
        <v>5620</v>
      </c>
      <c r="R1227" s="87">
        <f t="shared" si="444"/>
        <v>0</v>
      </c>
      <c r="S1227" s="87">
        <f t="shared" si="444"/>
        <v>5620</v>
      </c>
    </row>
    <row r="1228" spans="2:19" x14ac:dyDescent="0.2">
      <c r="B1228" s="83">
        <f t="shared" si="430"/>
        <v>632</v>
      </c>
      <c r="C1228" s="7"/>
      <c r="D1228" s="7"/>
      <c r="E1228" s="7"/>
      <c r="F1228" s="25" t="s">
        <v>55</v>
      </c>
      <c r="G1228" s="7">
        <v>640</v>
      </c>
      <c r="H1228" s="7" t="s">
        <v>141</v>
      </c>
      <c r="I1228" s="23">
        <v>250</v>
      </c>
      <c r="J1228" s="23"/>
      <c r="K1228" s="23">
        <f t="shared" si="428"/>
        <v>250</v>
      </c>
      <c r="M1228" s="23"/>
      <c r="N1228" s="23"/>
      <c r="O1228" s="86">
        <f t="shared" si="429"/>
        <v>0</v>
      </c>
      <c r="Q1228" s="273">
        <f t="shared" si="425"/>
        <v>250</v>
      </c>
      <c r="R1228" s="86">
        <f t="shared" si="444"/>
        <v>0</v>
      </c>
      <c r="S1228" s="86">
        <f t="shared" si="444"/>
        <v>250</v>
      </c>
    </row>
    <row r="1229" spans="2:19" ht="15" x14ac:dyDescent="0.25">
      <c r="B1229" s="83">
        <f t="shared" si="430"/>
        <v>633</v>
      </c>
      <c r="C1229" s="10"/>
      <c r="D1229" s="10"/>
      <c r="E1229" s="10">
        <v>11</v>
      </c>
      <c r="F1229" s="28"/>
      <c r="G1229" s="10"/>
      <c r="H1229" s="10" t="s">
        <v>11</v>
      </c>
      <c r="I1229" s="38">
        <f>I1230+I1231+I1232+I1238+I1239+I1240+I1241+I1247</f>
        <v>247362</v>
      </c>
      <c r="J1229" s="38">
        <f t="shared" ref="J1229" si="446">J1230+J1231+J1232+J1238+J1239+J1240+J1241+J1247</f>
        <v>0</v>
      </c>
      <c r="K1229" s="38">
        <f t="shared" si="428"/>
        <v>247362</v>
      </c>
      <c r="M1229" s="38">
        <v>0</v>
      </c>
      <c r="N1229" s="38">
        <v>0</v>
      </c>
      <c r="O1229" s="94">
        <f t="shared" si="429"/>
        <v>0</v>
      </c>
      <c r="Q1229" s="315">
        <f t="shared" si="425"/>
        <v>247362</v>
      </c>
      <c r="R1229" s="94">
        <f t="shared" si="444"/>
        <v>0</v>
      </c>
      <c r="S1229" s="94">
        <f t="shared" si="444"/>
        <v>247362</v>
      </c>
    </row>
    <row r="1230" spans="2:19" x14ac:dyDescent="0.2">
      <c r="B1230" s="83">
        <f t="shared" si="430"/>
        <v>634</v>
      </c>
      <c r="C1230" s="7"/>
      <c r="D1230" s="7"/>
      <c r="E1230" s="7"/>
      <c r="F1230" s="25" t="s">
        <v>87</v>
      </c>
      <c r="G1230" s="7">
        <v>610</v>
      </c>
      <c r="H1230" s="7" t="s">
        <v>143</v>
      </c>
      <c r="I1230" s="23">
        <f>28090+3578</f>
        <v>31668</v>
      </c>
      <c r="J1230" s="23"/>
      <c r="K1230" s="23">
        <f t="shared" si="428"/>
        <v>31668</v>
      </c>
      <c r="M1230" s="23"/>
      <c r="N1230" s="23"/>
      <c r="O1230" s="86">
        <f t="shared" si="429"/>
        <v>0</v>
      </c>
      <c r="Q1230" s="273">
        <f t="shared" si="425"/>
        <v>31668</v>
      </c>
      <c r="R1230" s="86">
        <f t="shared" si="444"/>
        <v>0</v>
      </c>
      <c r="S1230" s="86">
        <f t="shared" si="444"/>
        <v>31668</v>
      </c>
    </row>
    <row r="1231" spans="2:19" x14ac:dyDescent="0.2">
      <c r="B1231" s="83">
        <f t="shared" si="430"/>
        <v>635</v>
      </c>
      <c r="C1231" s="7"/>
      <c r="D1231" s="7"/>
      <c r="E1231" s="7"/>
      <c r="F1231" s="25" t="s">
        <v>87</v>
      </c>
      <c r="G1231" s="7">
        <v>620</v>
      </c>
      <c r="H1231" s="7" t="s">
        <v>136</v>
      </c>
      <c r="I1231" s="23">
        <f>9832+1252</f>
        <v>11084</v>
      </c>
      <c r="J1231" s="23"/>
      <c r="K1231" s="23">
        <f t="shared" si="428"/>
        <v>11084</v>
      </c>
      <c r="M1231" s="23"/>
      <c r="N1231" s="23"/>
      <c r="O1231" s="86">
        <f t="shared" si="429"/>
        <v>0</v>
      </c>
      <c r="Q1231" s="273">
        <f t="shared" si="425"/>
        <v>11084</v>
      </c>
      <c r="R1231" s="86">
        <f t="shared" si="444"/>
        <v>0</v>
      </c>
      <c r="S1231" s="86">
        <f t="shared" si="444"/>
        <v>11084</v>
      </c>
    </row>
    <row r="1232" spans="2:19" x14ac:dyDescent="0.2">
      <c r="B1232" s="83">
        <f t="shared" si="430"/>
        <v>636</v>
      </c>
      <c r="C1232" s="7"/>
      <c r="D1232" s="7"/>
      <c r="E1232" s="7"/>
      <c r="F1232" s="25" t="s">
        <v>87</v>
      </c>
      <c r="G1232" s="7">
        <v>630</v>
      </c>
      <c r="H1232" s="7" t="s">
        <v>133</v>
      </c>
      <c r="I1232" s="23">
        <f>SUM(I1233:I1237)</f>
        <v>52850</v>
      </c>
      <c r="J1232" s="23">
        <f t="shared" ref="J1232" si="447">SUM(J1233:J1237)</f>
        <v>0</v>
      </c>
      <c r="K1232" s="23">
        <f t="shared" si="428"/>
        <v>52850</v>
      </c>
      <c r="M1232" s="23"/>
      <c r="N1232" s="23"/>
      <c r="O1232" s="86">
        <f t="shared" si="429"/>
        <v>0</v>
      </c>
      <c r="Q1232" s="273">
        <f t="shared" si="425"/>
        <v>52850</v>
      </c>
      <c r="R1232" s="86">
        <f t="shared" si="444"/>
        <v>0</v>
      </c>
      <c r="S1232" s="86">
        <f t="shared" si="444"/>
        <v>52850</v>
      </c>
    </row>
    <row r="1233" spans="2:19" x14ac:dyDescent="0.2">
      <c r="B1233" s="83">
        <f t="shared" si="430"/>
        <v>637</v>
      </c>
      <c r="C1233" s="3"/>
      <c r="D1233" s="3"/>
      <c r="E1233" s="3"/>
      <c r="F1233" s="26" t="s">
        <v>87</v>
      </c>
      <c r="G1233" s="3">
        <v>631</v>
      </c>
      <c r="H1233" s="3" t="s">
        <v>139</v>
      </c>
      <c r="I1233" s="19">
        <v>5</v>
      </c>
      <c r="J1233" s="19"/>
      <c r="K1233" s="19">
        <f t="shared" si="428"/>
        <v>5</v>
      </c>
      <c r="M1233" s="19"/>
      <c r="N1233" s="19"/>
      <c r="O1233" s="87">
        <f t="shared" si="429"/>
        <v>0</v>
      </c>
      <c r="Q1233" s="274">
        <f t="shared" si="425"/>
        <v>5</v>
      </c>
      <c r="R1233" s="87">
        <f t="shared" si="444"/>
        <v>0</v>
      </c>
      <c r="S1233" s="87">
        <f t="shared" si="444"/>
        <v>5</v>
      </c>
    </row>
    <row r="1234" spans="2:19" x14ac:dyDescent="0.2">
      <c r="B1234" s="83">
        <f t="shared" si="430"/>
        <v>638</v>
      </c>
      <c r="C1234" s="3"/>
      <c r="D1234" s="3"/>
      <c r="E1234" s="3"/>
      <c r="F1234" s="26" t="s">
        <v>87</v>
      </c>
      <c r="G1234" s="3">
        <v>632</v>
      </c>
      <c r="H1234" s="3" t="s">
        <v>146</v>
      </c>
      <c r="I1234" s="19">
        <v>735</v>
      </c>
      <c r="J1234" s="19"/>
      <c r="K1234" s="19">
        <f t="shared" si="428"/>
        <v>735</v>
      </c>
      <c r="M1234" s="19"/>
      <c r="N1234" s="19"/>
      <c r="O1234" s="87">
        <f t="shared" si="429"/>
        <v>0</v>
      </c>
      <c r="Q1234" s="274">
        <f t="shared" si="425"/>
        <v>735</v>
      </c>
      <c r="R1234" s="87">
        <f t="shared" si="444"/>
        <v>0</v>
      </c>
      <c r="S1234" s="87">
        <f t="shared" si="444"/>
        <v>735</v>
      </c>
    </row>
    <row r="1235" spans="2:19" x14ac:dyDescent="0.2">
      <c r="B1235" s="83">
        <f t="shared" si="430"/>
        <v>639</v>
      </c>
      <c r="C1235" s="3"/>
      <c r="D1235" s="3"/>
      <c r="E1235" s="3"/>
      <c r="F1235" s="26" t="s">
        <v>87</v>
      </c>
      <c r="G1235" s="3">
        <v>633</v>
      </c>
      <c r="H1235" s="3" t="s">
        <v>137</v>
      </c>
      <c r="I1235" s="19">
        <v>48510</v>
      </c>
      <c r="J1235" s="19"/>
      <c r="K1235" s="19">
        <f t="shared" si="428"/>
        <v>48510</v>
      </c>
      <c r="M1235" s="19"/>
      <c r="N1235" s="19"/>
      <c r="O1235" s="87">
        <f t="shared" si="429"/>
        <v>0</v>
      </c>
      <c r="Q1235" s="274">
        <f t="shared" si="425"/>
        <v>48510</v>
      </c>
      <c r="R1235" s="87">
        <f t="shared" si="444"/>
        <v>0</v>
      </c>
      <c r="S1235" s="87">
        <f t="shared" si="444"/>
        <v>48510</v>
      </c>
    </row>
    <row r="1236" spans="2:19" x14ac:dyDescent="0.2">
      <c r="B1236" s="83">
        <f t="shared" si="430"/>
        <v>640</v>
      </c>
      <c r="C1236" s="3"/>
      <c r="D1236" s="3"/>
      <c r="E1236" s="3"/>
      <c r="F1236" s="26" t="s">
        <v>87</v>
      </c>
      <c r="G1236" s="3">
        <v>635</v>
      </c>
      <c r="H1236" s="3" t="s">
        <v>145</v>
      </c>
      <c r="I1236" s="19">
        <v>820</v>
      </c>
      <c r="J1236" s="19"/>
      <c r="K1236" s="19">
        <f t="shared" si="428"/>
        <v>820</v>
      </c>
      <c r="M1236" s="19"/>
      <c r="N1236" s="19"/>
      <c r="O1236" s="87">
        <f t="shared" si="429"/>
        <v>0</v>
      </c>
      <c r="Q1236" s="274">
        <f t="shared" si="425"/>
        <v>820</v>
      </c>
      <c r="R1236" s="87">
        <f t="shared" si="444"/>
        <v>0</v>
      </c>
      <c r="S1236" s="87">
        <f t="shared" si="444"/>
        <v>820</v>
      </c>
    </row>
    <row r="1237" spans="2:19" x14ac:dyDescent="0.2">
      <c r="B1237" s="83">
        <f t="shared" si="430"/>
        <v>641</v>
      </c>
      <c r="C1237" s="3"/>
      <c r="D1237" s="3"/>
      <c r="E1237" s="3"/>
      <c r="F1237" s="26" t="s">
        <v>87</v>
      </c>
      <c r="G1237" s="3">
        <v>637</v>
      </c>
      <c r="H1237" s="3" t="s">
        <v>134</v>
      </c>
      <c r="I1237" s="19">
        <v>2780</v>
      </c>
      <c r="J1237" s="19"/>
      <c r="K1237" s="19">
        <f t="shared" si="428"/>
        <v>2780</v>
      </c>
      <c r="M1237" s="19"/>
      <c r="N1237" s="19"/>
      <c r="O1237" s="87">
        <f t="shared" si="429"/>
        <v>0</v>
      </c>
      <c r="Q1237" s="274">
        <f t="shared" si="425"/>
        <v>2780</v>
      </c>
      <c r="R1237" s="87">
        <f t="shared" si="444"/>
        <v>0</v>
      </c>
      <c r="S1237" s="87">
        <f t="shared" si="444"/>
        <v>2780</v>
      </c>
    </row>
    <row r="1238" spans="2:19" x14ac:dyDescent="0.2">
      <c r="B1238" s="83">
        <f t="shared" si="430"/>
        <v>642</v>
      </c>
      <c r="C1238" s="7"/>
      <c r="D1238" s="7"/>
      <c r="E1238" s="7"/>
      <c r="F1238" s="25" t="s">
        <v>87</v>
      </c>
      <c r="G1238" s="7">
        <v>640</v>
      </c>
      <c r="H1238" s="7" t="s">
        <v>141</v>
      </c>
      <c r="I1238" s="23">
        <v>150</v>
      </c>
      <c r="J1238" s="23"/>
      <c r="K1238" s="23">
        <f t="shared" si="428"/>
        <v>150</v>
      </c>
      <c r="M1238" s="23"/>
      <c r="N1238" s="23"/>
      <c r="O1238" s="86">
        <f t="shared" si="429"/>
        <v>0</v>
      </c>
      <c r="Q1238" s="273">
        <f t="shared" ref="Q1238:Q1301" si="448">I1238+M1238</f>
        <v>150</v>
      </c>
      <c r="R1238" s="86">
        <f t="shared" ref="R1238:S1253" si="449">J1238+N1238</f>
        <v>0</v>
      </c>
      <c r="S1238" s="86">
        <f t="shared" si="449"/>
        <v>150</v>
      </c>
    </row>
    <row r="1239" spans="2:19" x14ac:dyDescent="0.2">
      <c r="B1239" s="83">
        <f t="shared" si="430"/>
        <v>643</v>
      </c>
      <c r="C1239" s="7"/>
      <c r="D1239" s="7"/>
      <c r="E1239" s="7"/>
      <c r="F1239" s="25" t="s">
        <v>55</v>
      </c>
      <c r="G1239" s="7">
        <v>610</v>
      </c>
      <c r="H1239" s="7" t="s">
        <v>143</v>
      </c>
      <c r="I1239" s="23">
        <f>48046+5368</f>
        <v>53414</v>
      </c>
      <c r="J1239" s="23"/>
      <c r="K1239" s="23">
        <f t="shared" ref="K1239:K1302" si="450">I1239+J1239</f>
        <v>53414</v>
      </c>
      <c r="M1239" s="23"/>
      <c r="N1239" s="23"/>
      <c r="O1239" s="86">
        <f t="shared" ref="O1239:O1302" si="451">M1239+N1239</f>
        <v>0</v>
      </c>
      <c r="Q1239" s="273">
        <f t="shared" si="448"/>
        <v>53414</v>
      </c>
      <c r="R1239" s="86">
        <f t="shared" si="449"/>
        <v>0</v>
      </c>
      <c r="S1239" s="86">
        <f t="shared" si="449"/>
        <v>53414</v>
      </c>
    </row>
    <row r="1240" spans="2:19" x14ac:dyDescent="0.2">
      <c r="B1240" s="83">
        <f t="shared" ref="B1240:B1303" si="452">B1239+1</f>
        <v>644</v>
      </c>
      <c r="C1240" s="7"/>
      <c r="D1240" s="7"/>
      <c r="E1240" s="7"/>
      <c r="F1240" s="25" t="s">
        <v>55</v>
      </c>
      <c r="G1240" s="7">
        <v>620</v>
      </c>
      <c r="H1240" s="7" t="s">
        <v>136</v>
      </c>
      <c r="I1240" s="23">
        <f>16817+1879</f>
        <v>18696</v>
      </c>
      <c r="J1240" s="23"/>
      <c r="K1240" s="23">
        <f t="shared" si="450"/>
        <v>18696</v>
      </c>
      <c r="M1240" s="23"/>
      <c r="N1240" s="23"/>
      <c r="O1240" s="86">
        <f t="shared" si="451"/>
        <v>0</v>
      </c>
      <c r="Q1240" s="273">
        <f t="shared" si="448"/>
        <v>18696</v>
      </c>
      <c r="R1240" s="86">
        <f t="shared" si="449"/>
        <v>0</v>
      </c>
      <c r="S1240" s="86">
        <f t="shared" si="449"/>
        <v>18696</v>
      </c>
    </row>
    <row r="1241" spans="2:19" x14ac:dyDescent="0.2">
      <c r="B1241" s="83">
        <f t="shared" si="452"/>
        <v>645</v>
      </c>
      <c r="C1241" s="7"/>
      <c r="D1241" s="7"/>
      <c r="E1241" s="7"/>
      <c r="F1241" s="25" t="s">
        <v>55</v>
      </c>
      <c r="G1241" s="7">
        <v>630</v>
      </c>
      <c r="H1241" s="7" t="s">
        <v>133</v>
      </c>
      <c r="I1241" s="23">
        <f>SUM(I1242:I1246)</f>
        <v>79350</v>
      </c>
      <c r="J1241" s="23">
        <f t="shared" ref="J1241" si="453">SUM(J1242:J1246)</f>
        <v>0</v>
      </c>
      <c r="K1241" s="23">
        <f t="shared" si="450"/>
        <v>79350</v>
      </c>
      <c r="M1241" s="23"/>
      <c r="N1241" s="23"/>
      <c r="O1241" s="86">
        <f t="shared" si="451"/>
        <v>0</v>
      </c>
      <c r="Q1241" s="273">
        <f t="shared" si="448"/>
        <v>79350</v>
      </c>
      <c r="R1241" s="86">
        <f t="shared" si="449"/>
        <v>0</v>
      </c>
      <c r="S1241" s="86">
        <f t="shared" si="449"/>
        <v>79350</v>
      </c>
    </row>
    <row r="1242" spans="2:19" x14ac:dyDescent="0.2">
      <c r="B1242" s="83">
        <f t="shared" si="452"/>
        <v>646</v>
      </c>
      <c r="C1242" s="3"/>
      <c r="D1242" s="3"/>
      <c r="E1242" s="3"/>
      <c r="F1242" s="26" t="s">
        <v>55</v>
      </c>
      <c r="G1242" s="3">
        <v>631</v>
      </c>
      <c r="H1242" s="3" t="s">
        <v>139</v>
      </c>
      <c r="I1242" s="19">
        <v>8</v>
      </c>
      <c r="J1242" s="19"/>
      <c r="K1242" s="19">
        <f t="shared" si="450"/>
        <v>8</v>
      </c>
      <c r="M1242" s="19"/>
      <c r="N1242" s="19"/>
      <c r="O1242" s="87">
        <f t="shared" si="451"/>
        <v>0</v>
      </c>
      <c r="Q1242" s="274">
        <f t="shared" si="448"/>
        <v>8</v>
      </c>
      <c r="R1242" s="87">
        <f t="shared" si="449"/>
        <v>0</v>
      </c>
      <c r="S1242" s="87">
        <f t="shared" si="449"/>
        <v>8</v>
      </c>
    </row>
    <row r="1243" spans="2:19" x14ac:dyDescent="0.2">
      <c r="B1243" s="83">
        <f t="shared" si="452"/>
        <v>647</v>
      </c>
      <c r="C1243" s="3"/>
      <c r="D1243" s="3"/>
      <c r="E1243" s="3"/>
      <c r="F1243" s="26" t="s">
        <v>55</v>
      </c>
      <c r="G1243" s="3">
        <v>632</v>
      </c>
      <c r="H1243" s="3" t="s">
        <v>146</v>
      </c>
      <c r="I1243" s="19">
        <v>1103</v>
      </c>
      <c r="J1243" s="19"/>
      <c r="K1243" s="19">
        <f t="shared" si="450"/>
        <v>1103</v>
      </c>
      <c r="M1243" s="19"/>
      <c r="N1243" s="19"/>
      <c r="O1243" s="87">
        <f t="shared" si="451"/>
        <v>0</v>
      </c>
      <c r="Q1243" s="274">
        <f t="shared" si="448"/>
        <v>1103</v>
      </c>
      <c r="R1243" s="87">
        <f t="shared" si="449"/>
        <v>0</v>
      </c>
      <c r="S1243" s="87">
        <f t="shared" si="449"/>
        <v>1103</v>
      </c>
    </row>
    <row r="1244" spans="2:19" x14ac:dyDescent="0.2">
      <c r="B1244" s="83">
        <f t="shared" si="452"/>
        <v>648</v>
      </c>
      <c r="C1244" s="3"/>
      <c r="D1244" s="3"/>
      <c r="E1244" s="3"/>
      <c r="F1244" s="26" t="s">
        <v>55</v>
      </c>
      <c r="G1244" s="3">
        <v>633</v>
      </c>
      <c r="H1244" s="3" t="s">
        <v>137</v>
      </c>
      <c r="I1244" s="19">
        <v>72839</v>
      </c>
      <c r="J1244" s="19"/>
      <c r="K1244" s="19">
        <f t="shared" si="450"/>
        <v>72839</v>
      </c>
      <c r="M1244" s="19"/>
      <c r="N1244" s="19"/>
      <c r="O1244" s="87">
        <f t="shared" si="451"/>
        <v>0</v>
      </c>
      <c r="Q1244" s="274">
        <f t="shared" si="448"/>
        <v>72839</v>
      </c>
      <c r="R1244" s="87">
        <f t="shared" si="449"/>
        <v>0</v>
      </c>
      <c r="S1244" s="87">
        <f t="shared" si="449"/>
        <v>72839</v>
      </c>
    </row>
    <row r="1245" spans="2:19" x14ac:dyDescent="0.2">
      <c r="B1245" s="83">
        <f t="shared" si="452"/>
        <v>649</v>
      </c>
      <c r="C1245" s="3"/>
      <c r="D1245" s="3"/>
      <c r="E1245" s="3"/>
      <c r="F1245" s="26" t="s">
        <v>55</v>
      </c>
      <c r="G1245" s="3">
        <v>635</v>
      </c>
      <c r="H1245" s="3" t="s">
        <v>145</v>
      </c>
      <c r="I1245" s="19">
        <v>1230</v>
      </c>
      <c r="J1245" s="19"/>
      <c r="K1245" s="19">
        <f t="shared" si="450"/>
        <v>1230</v>
      </c>
      <c r="M1245" s="19"/>
      <c r="N1245" s="19"/>
      <c r="O1245" s="87">
        <f t="shared" si="451"/>
        <v>0</v>
      </c>
      <c r="Q1245" s="274">
        <f t="shared" si="448"/>
        <v>1230</v>
      </c>
      <c r="R1245" s="87">
        <f t="shared" si="449"/>
        <v>0</v>
      </c>
      <c r="S1245" s="87">
        <f t="shared" si="449"/>
        <v>1230</v>
      </c>
    </row>
    <row r="1246" spans="2:19" x14ac:dyDescent="0.2">
      <c r="B1246" s="83">
        <f t="shared" si="452"/>
        <v>650</v>
      </c>
      <c r="C1246" s="3"/>
      <c r="D1246" s="3"/>
      <c r="E1246" s="3"/>
      <c r="F1246" s="26" t="s">
        <v>55</v>
      </c>
      <c r="G1246" s="3">
        <v>637</v>
      </c>
      <c r="H1246" s="3" t="s">
        <v>134</v>
      </c>
      <c r="I1246" s="19">
        <v>4170</v>
      </c>
      <c r="J1246" s="19"/>
      <c r="K1246" s="19">
        <f t="shared" si="450"/>
        <v>4170</v>
      </c>
      <c r="M1246" s="19"/>
      <c r="N1246" s="19"/>
      <c r="O1246" s="87">
        <f t="shared" si="451"/>
        <v>0</v>
      </c>
      <c r="Q1246" s="274">
        <f t="shared" si="448"/>
        <v>4170</v>
      </c>
      <c r="R1246" s="87">
        <f t="shared" si="449"/>
        <v>0</v>
      </c>
      <c r="S1246" s="87">
        <f t="shared" si="449"/>
        <v>4170</v>
      </c>
    </row>
    <row r="1247" spans="2:19" x14ac:dyDescent="0.2">
      <c r="B1247" s="83">
        <f t="shared" si="452"/>
        <v>651</v>
      </c>
      <c r="C1247" s="7"/>
      <c r="D1247" s="7"/>
      <c r="E1247" s="7"/>
      <c r="F1247" s="25" t="s">
        <v>55</v>
      </c>
      <c r="G1247" s="7">
        <v>640</v>
      </c>
      <c r="H1247" s="7" t="s">
        <v>141</v>
      </c>
      <c r="I1247" s="23">
        <v>150</v>
      </c>
      <c r="J1247" s="23"/>
      <c r="K1247" s="23">
        <f t="shared" si="450"/>
        <v>150</v>
      </c>
      <c r="M1247" s="23"/>
      <c r="N1247" s="23"/>
      <c r="O1247" s="86">
        <f t="shared" si="451"/>
        <v>0</v>
      </c>
      <c r="Q1247" s="273">
        <f t="shared" si="448"/>
        <v>150</v>
      </c>
      <c r="R1247" s="86">
        <f t="shared" si="449"/>
        <v>0</v>
      </c>
      <c r="S1247" s="86">
        <f t="shared" si="449"/>
        <v>150</v>
      </c>
    </row>
    <row r="1248" spans="2:19" ht="15" x14ac:dyDescent="0.25">
      <c r="B1248" s="83">
        <f t="shared" si="452"/>
        <v>652</v>
      </c>
      <c r="C1248" s="10"/>
      <c r="D1248" s="10"/>
      <c r="E1248" s="10">
        <v>12</v>
      </c>
      <c r="F1248" s="28"/>
      <c r="G1248" s="10"/>
      <c r="H1248" s="10" t="s">
        <v>9</v>
      </c>
      <c r="I1248" s="38">
        <f>I1249+I1250+I1251+I1256+I1257+I1258+I1259+I1265</f>
        <v>272550</v>
      </c>
      <c r="J1248" s="38">
        <f t="shared" ref="J1248" si="454">J1249+J1250+J1251+J1256+J1257+J1258+J1259+J1265</f>
        <v>0</v>
      </c>
      <c r="K1248" s="38">
        <f t="shared" si="450"/>
        <v>272550</v>
      </c>
      <c r="M1248" s="38">
        <v>0</v>
      </c>
      <c r="N1248" s="38">
        <v>0</v>
      </c>
      <c r="O1248" s="94">
        <f t="shared" si="451"/>
        <v>0</v>
      </c>
      <c r="Q1248" s="315">
        <f t="shared" si="448"/>
        <v>272550</v>
      </c>
      <c r="R1248" s="94">
        <f t="shared" si="449"/>
        <v>0</v>
      </c>
      <c r="S1248" s="94">
        <f t="shared" si="449"/>
        <v>272550</v>
      </c>
    </row>
    <row r="1249" spans="2:19" x14ac:dyDescent="0.2">
      <c r="B1249" s="83">
        <f t="shared" si="452"/>
        <v>653</v>
      </c>
      <c r="C1249" s="7"/>
      <c r="D1249" s="7"/>
      <c r="E1249" s="7"/>
      <c r="F1249" s="25" t="s">
        <v>87</v>
      </c>
      <c r="G1249" s="7">
        <v>610</v>
      </c>
      <c r="H1249" s="7" t="s">
        <v>143</v>
      </c>
      <c r="I1249" s="23">
        <v>36000</v>
      </c>
      <c r="J1249" s="23"/>
      <c r="K1249" s="23">
        <f t="shared" si="450"/>
        <v>36000</v>
      </c>
      <c r="M1249" s="23"/>
      <c r="N1249" s="23"/>
      <c r="O1249" s="86">
        <f t="shared" si="451"/>
        <v>0</v>
      </c>
      <c r="Q1249" s="273">
        <f t="shared" si="448"/>
        <v>36000</v>
      </c>
      <c r="R1249" s="86">
        <f t="shared" si="449"/>
        <v>0</v>
      </c>
      <c r="S1249" s="86">
        <f t="shared" si="449"/>
        <v>36000</v>
      </c>
    </row>
    <row r="1250" spans="2:19" x14ac:dyDescent="0.2">
      <c r="B1250" s="83">
        <f t="shared" si="452"/>
        <v>654</v>
      </c>
      <c r="C1250" s="7"/>
      <c r="D1250" s="7"/>
      <c r="E1250" s="7"/>
      <c r="F1250" s="25" t="s">
        <v>87</v>
      </c>
      <c r="G1250" s="7">
        <v>620</v>
      </c>
      <c r="H1250" s="7" t="s">
        <v>136</v>
      </c>
      <c r="I1250" s="23">
        <v>13000</v>
      </c>
      <c r="J1250" s="23"/>
      <c r="K1250" s="23">
        <f t="shared" si="450"/>
        <v>13000</v>
      </c>
      <c r="M1250" s="23"/>
      <c r="N1250" s="23"/>
      <c r="O1250" s="86">
        <f t="shared" si="451"/>
        <v>0</v>
      </c>
      <c r="Q1250" s="273">
        <f t="shared" si="448"/>
        <v>13000</v>
      </c>
      <c r="R1250" s="86">
        <f t="shared" si="449"/>
        <v>0</v>
      </c>
      <c r="S1250" s="86">
        <f t="shared" si="449"/>
        <v>13000</v>
      </c>
    </row>
    <row r="1251" spans="2:19" x14ac:dyDescent="0.2">
      <c r="B1251" s="83">
        <f t="shared" si="452"/>
        <v>655</v>
      </c>
      <c r="C1251" s="7"/>
      <c r="D1251" s="7"/>
      <c r="E1251" s="7"/>
      <c r="F1251" s="25" t="s">
        <v>87</v>
      </c>
      <c r="G1251" s="7">
        <v>630</v>
      </c>
      <c r="H1251" s="7" t="s">
        <v>133</v>
      </c>
      <c r="I1251" s="23">
        <f>SUM(I1252:I1255)</f>
        <v>77680</v>
      </c>
      <c r="J1251" s="23">
        <f t="shared" ref="J1251" si="455">SUM(J1252:J1255)</f>
        <v>0</v>
      </c>
      <c r="K1251" s="23">
        <f t="shared" si="450"/>
        <v>77680</v>
      </c>
      <c r="M1251" s="23"/>
      <c r="N1251" s="23"/>
      <c r="O1251" s="86">
        <f t="shared" si="451"/>
        <v>0</v>
      </c>
      <c r="Q1251" s="273">
        <f t="shared" si="448"/>
        <v>77680</v>
      </c>
      <c r="R1251" s="86">
        <f t="shared" si="449"/>
        <v>0</v>
      </c>
      <c r="S1251" s="86">
        <f t="shared" si="449"/>
        <v>77680</v>
      </c>
    </row>
    <row r="1252" spans="2:19" x14ac:dyDescent="0.2">
      <c r="B1252" s="83">
        <f t="shared" si="452"/>
        <v>656</v>
      </c>
      <c r="C1252" s="3"/>
      <c r="D1252" s="3"/>
      <c r="E1252" s="3"/>
      <c r="F1252" s="26" t="s">
        <v>87</v>
      </c>
      <c r="G1252" s="3">
        <v>632</v>
      </c>
      <c r="H1252" s="3" t="s">
        <v>146</v>
      </c>
      <c r="I1252" s="19">
        <v>6700</v>
      </c>
      <c r="J1252" s="19"/>
      <c r="K1252" s="19">
        <f t="shared" si="450"/>
        <v>6700</v>
      </c>
      <c r="M1252" s="19"/>
      <c r="N1252" s="19"/>
      <c r="O1252" s="87">
        <f t="shared" si="451"/>
        <v>0</v>
      </c>
      <c r="Q1252" s="274">
        <f t="shared" si="448"/>
        <v>6700</v>
      </c>
      <c r="R1252" s="87">
        <f t="shared" si="449"/>
        <v>0</v>
      </c>
      <c r="S1252" s="87">
        <f t="shared" si="449"/>
        <v>6700</v>
      </c>
    </row>
    <row r="1253" spans="2:19" x14ac:dyDescent="0.2">
      <c r="B1253" s="83">
        <f t="shared" si="452"/>
        <v>657</v>
      </c>
      <c r="C1253" s="3"/>
      <c r="D1253" s="3"/>
      <c r="E1253" s="3"/>
      <c r="F1253" s="26" t="s">
        <v>87</v>
      </c>
      <c r="G1253" s="3">
        <v>633</v>
      </c>
      <c r="H1253" s="3" t="s">
        <v>137</v>
      </c>
      <c r="I1253" s="19">
        <v>68270</v>
      </c>
      <c r="J1253" s="19"/>
      <c r="K1253" s="19">
        <f t="shared" si="450"/>
        <v>68270</v>
      </c>
      <c r="M1253" s="19"/>
      <c r="N1253" s="19"/>
      <c r="O1253" s="87">
        <f t="shared" si="451"/>
        <v>0</v>
      </c>
      <c r="Q1253" s="274">
        <f t="shared" si="448"/>
        <v>68270</v>
      </c>
      <c r="R1253" s="87">
        <f t="shared" si="449"/>
        <v>0</v>
      </c>
      <c r="S1253" s="87">
        <f t="shared" si="449"/>
        <v>68270</v>
      </c>
    </row>
    <row r="1254" spans="2:19" x14ac:dyDescent="0.2">
      <c r="B1254" s="83">
        <f t="shared" si="452"/>
        <v>658</v>
      </c>
      <c r="C1254" s="3"/>
      <c r="D1254" s="3"/>
      <c r="E1254" s="3"/>
      <c r="F1254" s="26" t="s">
        <v>87</v>
      </c>
      <c r="G1254" s="3">
        <v>635</v>
      </c>
      <c r="H1254" s="3" t="s">
        <v>145</v>
      </c>
      <c r="I1254" s="19">
        <v>1750</v>
      </c>
      <c r="J1254" s="19"/>
      <c r="K1254" s="19">
        <f t="shared" si="450"/>
        <v>1750</v>
      </c>
      <c r="M1254" s="19"/>
      <c r="N1254" s="19"/>
      <c r="O1254" s="87">
        <f t="shared" si="451"/>
        <v>0</v>
      </c>
      <c r="Q1254" s="274">
        <f t="shared" si="448"/>
        <v>1750</v>
      </c>
      <c r="R1254" s="87">
        <f t="shared" ref="R1254:S1269" si="456">J1254+N1254</f>
        <v>0</v>
      </c>
      <c r="S1254" s="87">
        <f t="shared" si="456"/>
        <v>1750</v>
      </c>
    </row>
    <row r="1255" spans="2:19" x14ac:dyDescent="0.2">
      <c r="B1255" s="83">
        <f t="shared" si="452"/>
        <v>659</v>
      </c>
      <c r="C1255" s="3"/>
      <c r="D1255" s="3"/>
      <c r="E1255" s="3"/>
      <c r="F1255" s="26" t="s">
        <v>87</v>
      </c>
      <c r="G1255" s="3">
        <v>637</v>
      </c>
      <c r="H1255" s="3" t="s">
        <v>134</v>
      </c>
      <c r="I1255" s="19">
        <v>960</v>
      </c>
      <c r="J1255" s="19"/>
      <c r="K1255" s="19">
        <f t="shared" si="450"/>
        <v>960</v>
      </c>
      <c r="M1255" s="19"/>
      <c r="N1255" s="19"/>
      <c r="O1255" s="87">
        <f t="shared" si="451"/>
        <v>0</v>
      </c>
      <c r="Q1255" s="274">
        <f t="shared" si="448"/>
        <v>960</v>
      </c>
      <c r="R1255" s="87">
        <f t="shared" si="456"/>
        <v>0</v>
      </c>
      <c r="S1255" s="87">
        <f t="shared" si="456"/>
        <v>960</v>
      </c>
    </row>
    <row r="1256" spans="2:19" x14ac:dyDescent="0.2">
      <c r="B1256" s="83">
        <f t="shared" si="452"/>
        <v>660</v>
      </c>
      <c r="C1256" s="7"/>
      <c r="D1256" s="7"/>
      <c r="E1256" s="7"/>
      <c r="F1256" s="25" t="s">
        <v>87</v>
      </c>
      <c r="G1256" s="7">
        <v>640</v>
      </c>
      <c r="H1256" s="7" t="s">
        <v>141</v>
      </c>
      <c r="I1256" s="23">
        <v>200</v>
      </c>
      <c r="J1256" s="23"/>
      <c r="K1256" s="23">
        <f t="shared" si="450"/>
        <v>200</v>
      </c>
      <c r="M1256" s="23"/>
      <c r="N1256" s="23"/>
      <c r="O1256" s="86">
        <f t="shared" si="451"/>
        <v>0</v>
      </c>
      <c r="Q1256" s="273">
        <f t="shared" si="448"/>
        <v>200</v>
      </c>
      <c r="R1256" s="86">
        <f t="shared" si="456"/>
        <v>0</v>
      </c>
      <c r="S1256" s="86">
        <f t="shared" si="456"/>
        <v>200</v>
      </c>
    </row>
    <row r="1257" spans="2:19" x14ac:dyDescent="0.2">
      <c r="B1257" s="83">
        <f t="shared" si="452"/>
        <v>661</v>
      </c>
      <c r="C1257" s="7"/>
      <c r="D1257" s="7"/>
      <c r="E1257" s="7"/>
      <c r="F1257" s="25" t="s">
        <v>55</v>
      </c>
      <c r="G1257" s="7">
        <v>610</v>
      </c>
      <c r="H1257" s="7" t="s">
        <v>143</v>
      </c>
      <c r="I1257" s="23">
        <v>37700</v>
      </c>
      <c r="J1257" s="23"/>
      <c r="K1257" s="23">
        <f t="shared" si="450"/>
        <v>37700</v>
      </c>
      <c r="M1257" s="23"/>
      <c r="N1257" s="23"/>
      <c r="O1257" s="86">
        <f t="shared" si="451"/>
        <v>0</v>
      </c>
      <c r="Q1257" s="273">
        <f t="shared" si="448"/>
        <v>37700</v>
      </c>
      <c r="R1257" s="86">
        <f t="shared" si="456"/>
        <v>0</v>
      </c>
      <c r="S1257" s="86">
        <f t="shared" si="456"/>
        <v>37700</v>
      </c>
    </row>
    <row r="1258" spans="2:19" x14ac:dyDescent="0.2">
      <c r="B1258" s="83">
        <f t="shared" si="452"/>
        <v>662</v>
      </c>
      <c r="C1258" s="7"/>
      <c r="D1258" s="7"/>
      <c r="E1258" s="7"/>
      <c r="F1258" s="25" t="s">
        <v>55</v>
      </c>
      <c r="G1258" s="7">
        <v>620</v>
      </c>
      <c r="H1258" s="7" t="s">
        <v>136</v>
      </c>
      <c r="I1258" s="23">
        <v>14000</v>
      </c>
      <c r="J1258" s="23"/>
      <c r="K1258" s="23">
        <f t="shared" si="450"/>
        <v>14000</v>
      </c>
      <c r="M1258" s="23"/>
      <c r="N1258" s="23"/>
      <c r="O1258" s="86">
        <f t="shared" si="451"/>
        <v>0</v>
      </c>
      <c r="Q1258" s="273">
        <f t="shared" si="448"/>
        <v>14000</v>
      </c>
      <c r="R1258" s="86">
        <f t="shared" si="456"/>
        <v>0</v>
      </c>
      <c r="S1258" s="86">
        <f t="shared" si="456"/>
        <v>14000</v>
      </c>
    </row>
    <row r="1259" spans="2:19" x14ac:dyDescent="0.2">
      <c r="B1259" s="83">
        <f t="shared" si="452"/>
        <v>663</v>
      </c>
      <c r="C1259" s="7"/>
      <c r="D1259" s="7"/>
      <c r="E1259" s="7"/>
      <c r="F1259" s="25" t="s">
        <v>55</v>
      </c>
      <c r="G1259" s="7">
        <v>630</v>
      </c>
      <c r="H1259" s="7" t="s">
        <v>133</v>
      </c>
      <c r="I1259" s="23">
        <f>SUM(I1260:I1264)</f>
        <v>93750</v>
      </c>
      <c r="J1259" s="23">
        <f t="shared" ref="J1259" si="457">SUM(J1260:J1264)</f>
        <v>0</v>
      </c>
      <c r="K1259" s="23">
        <f t="shared" si="450"/>
        <v>93750</v>
      </c>
      <c r="M1259" s="23"/>
      <c r="N1259" s="23"/>
      <c r="O1259" s="86">
        <f t="shared" si="451"/>
        <v>0</v>
      </c>
      <c r="Q1259" s="273">
        <f t="shared" si="448"/>
        <v>93750</v>
      </c>
      <c r="R1259" s="86">
        <f t="shared" si="456"/>
        <v>0</v>
      </c>
      <c r="S1259" s="86">
        <f t="shared" si="456"/>
        <v>93750</v>
      </c>
    </row>
    <row r="1260" spans="2:19" x14ac:dyDescent="0.2">
      <c r="B1260" s="83">
        <f t="shared" si="452"/>
        <v>664</v>
      </c>
      <c r="C1260" s="3"/>
      <c r="D1260" s="3"/>
      <c r="E1260" s="3"/>
      <c r="F1260" s="26" t="s">
        <v>55</v>
      </c>
      <c r="G1260" s="3">
        <v>631</v>
      </c>
      <c r="H1260" s="3" t="s">
        <v>139</v>
      </c>
      <c r="I1260" s="19">
        <v>50</v>
      </c>
      <c r="J1260" s="19"/>
      <c r="K1260" s="19">
        <f t="shared" si="450"/>
        <v>50</v>
      </c>
      <c r="M1260" s="19"/>
      <c r="N1260" s="19"/>
      <c r="O1260" s="87">
        <f t="shared" si="451"/>
        <v>0</v>
      </c>
      <c r="Q1260" s="274">
        <f t="shared" si="448"/>
        <v>50</v>
      </c>
      <c r="R1260" s="87">
        <f t="shared" si="456"/>
        <v>0</v>
      </c>
      <c r="S1260" s="87">
        <f t="shared" si="456"/>
        <v>50</v>
      </c>
    </row>
    <row r="1261" spans="2:19" x14ac:dyDescent="0.2">
      <c r="B1261" s="83">
        <f t="shared" si="452"/>
        <v>665</v>
      </c>
      <c r="C1261" s="3"/>
      <c r="D1261" s="3"/>
      <c r="E1261" s="3"/>
      <c r="F1261" s="26" t="s">
        <v>55</v>
      </c>
      <c r="G1261" s="3">
        <v>632</v>
      </c>
      <c r="H1261" s="3" t="s">
        <v>146</v>
      </c>
      <c r="I1261" s="19">
        <v>8300</v>
      </c>
      <c r="J1261" s="19"/>
      <c r="K1261" s="19">
        <f t="shared" si="450"/>
        <v>8300</v>
      </c>
      <c r="M1261" s="19"/>
      <c r="N1261" s="19"/>
      <c r="O1261" s="87">
        <f t="shared" si="451"/>
        <v>0</v>
      </c>
      <c r="Q1261" s="274">
        <f t="shared" si="448"/>
        <v>8300</v>
      </c>
      <c r="R1261" s="87">
        <f t="shared" si="456"/>
        <v>0</v>
      </c>
      <c r="S1261" s="87">
        <f t="shared" si="456"/>
        <v>8300</v>
      </c>
    </row>
    <row r="1262" spans="2:19" x14ac:dyDescent="0.2">
      <c r="B1262" s="83">
        <f t="shared" si="452"/>
        <v>666</v>
      </c>
      <c r="C1262" s="3"/>
      <c r="D1262" s="3"/>
      <c r="E1262" s="3"/>
      <c r="F1262" s="26" t="s">
        <v>55</v>
      </c>
      <c r="G1262" s="3">
        <v>633</v>
      </c>
      <c r="H1262" s="3" t="s">
        <v>137</v>
      </c>
      <c r="I1262" s="19">
        <v>82050</v>
      </c>
      <c r="J1262" s="19"/>
      <c r="K1262" s="19">
        <f t="shared" si="450"/>
        <v>82050</v>
      </c>
      <c r="M1262" s="19"/>
      <c r="N1262" s="19"/>
      <c r="O1262" s="87">
        <f t="shared" si="451"/>
        <v>0</v>
      </c>
      <c r="Q1262" s="274">
        <f t="shared" si="448"/>
        <v>82050</v>
      </c>
      <c r="R1262" s="87">
        <f t="shared" si="456"/>
        <v>0</v>
      </c>
      <c r="S1262" s="87">
        <f t="shared" si="456"/>
        <v>82050</v>
      </c>
    </row>
    <row r="1263" spans="2:19" x14ac:dyDescent="0.2">
      <c r="B1263" s="83">
        <f t="shared" si="452"/>
        <v>667</v>
      </c>
      <c r="C1263" s="3"/>
      <c r="D1263" s="3"/>
      <c r="E1263" s="3"/>
      <c r="F1263" s="26" t="s">
        <v>55</v>
      </c>
      <c r="G1263" s="3">
        <v>635</v>
      </c>
      <c r="H1263" s="3" t="s">
        <v>145</v>
      </c>
      <c r="I1263" s="19">
        <v>2150</v>
      </c>
      <c r="J1263" s="19"/>
      <c r="K1263" s="19">
        <f t="shared" si="450"/>
        <v>2150</v>
      </c>
      <c r="M1263" s="19"/>
      <c r="N1263" s="19"/>
      <c r="O1263" s="87">
        <f t="shared" si="451"/>
        <v>0</v>
      </c>
      <c r="Q1263" s="274">
        <f t="shared" si="448"/>
        <v>2150</v>
      </c>
      <c r="R1263" s="87">
        <f t="shared" si="456"/>
        <v>0</v>
      </c>
      <c r="S1263" s="87">
        <f t="shared" si="456"/>
        <v>2150</v>
      </c>
    </row>
    <row r="1264" spans="2:19" x14ac:dyDescent="0.2">
      <c r="B1264" s="83">
        <f t="shared" si="452"/>
        <v>668</v>
      </c>
      <c r="C1264" s="3"/>
      <c r="D1264" s="3"/>
      <c r="E1264" s="3"/>
      <c r="F1264" s="26" t="s">
        <v>55</v>
      </c>
      <c r="G1264" s="3">
        <v>637</v>
      </c>
      <c r="H1264" s="3" t="s">
        <v>134</v>
      </c>
      <c r="I1264" s="19">
        <v>1200</v>
      </c>
      <c r="J1264" s="19"/>
      <c r="K1264" s="19">
        <f t="shared" si="450"/>
        <v>1200</v>
      </c>
      <c r="M1264" s="19"/>
      <c r="N1264" s="19"/>
      <c r="O1264" s="87">
        <f t="shared" si="451"/>
        <v>0</v>
      </c>
      <c r="Q1264" s="274">
        <f t="shared" si="448"/>
        <v>1200</v>
      </c>
      <c r="R1264" s="87">
        <f t="shared" si="456"/>
        <v>0</v>
      </c>
      <c r="S1264" s="87">
        <f t="shared" si="456"/>
        <v>1200</v>
      </c>
    </row>
    <row r="1265" spans="2:19" x14ac:dyDescent="0.2">
      <c r="B1265" s="83">
        <f t="shared" si="452"/>
        <v>669</v>
      </c>
      <c r="C1265" s="7"/>
      <c r="D1265" s="7"/>
      <c r="E1265" s="7"/>
      <c r="F1265" s="25" t="s">
        <v>55</v>
      </c>
      <c r="G1265" s="7">
        <v>640</v>
      </c>
      <c r="H1265" s="7" t="s">
        <v>141</v>
      </c>
      <c r="I1265" s="23">
        <v>220</v>
      </c>
      <c r="J1265" s="23"/>
      <c r="K1265" s="23">
        <f t="shared" si="450"/>
        <v>220</v>
      </c>
      <c r="M1265" s="23"/>
      <c r="N1265" s="23"/>
      <c r="O1265" s="86">
        <f t="shared" si="451"/>
        <v>0</v>
      </c>
      <c r="Q1265" s="273">
        <f t="shared" si="448"/>
        <v>220</v>
      </c>
      <c r="R1265" s="86">
        <f t="shared" si="456"/>
        <v>0</v>
      </c>
      <c r="S1265" s="86">
        <f t="shared" si="456"/>
        <v>220</v>
      </c>
    </row>
    <row r="1266" spans="2:19" ht="15" x14ac:dyDescent="0.25">
      <c r="B1266" s="83">
        <f t="shared" si="452"/>
        <v>670</v>
      </c>
      <c r="C1266" s="10"/>
      <c r="D1266" s="10"/>
      <c r="E1266" s="10">
        <v>13</v>
      </c>
      <c r="F1266" s="28"/>
      <c r="G1266" s="10"/>
      <c r="H1266" s="10" t="s">
        <v>19</v>
      </c>
      <c r="I1266" s="38">
        <f>I1267+I1268+I1269+I1273+I1274+I1275+I1276+I1282</f>
        <v>151685</v>
      </c>
      <c r="J1266" s="38">
        <f t="shared" ref="J1266" si="458">J1267+J1268+J1269+J1273+J1274+J1275+J1276+J1282</f>
        <v>0</v>
      </c>
      <c r="K1266" s="38">
        <f t="shared" si="450"/>
        <v>151685</v>
      </c>
      <c r="M1266" s="38">
        <v>0</v>
      </c>
      <c r="N1266" s="38">
        <v>0</v>
      </c>
      <c r="O1266" s="94">
        <f t="shared" si="451"/>
        <v>0</v>
      </c>
      <c r="Q1266" s="315">
        <f t="shared" si="448"/>
        <v>151685</v>
      </c>
      <c r="R1266" s="94">
        <f t="shared" si="456"/>
        <v>0</v>
      </c>
      <c r="S1266" s="94">
        <f t="shared" si="456"/>
        <v>151685</v>
      </c>
    </row>
    <row r="1267" spans="2:19" x14ac:dyDescent="0.2">
      <c r="B1267" s="83">
        <f t="shared" si="452"/>
        <v>671</v>
      </c>
      <c r="C1267" s="7"/>
      <c r="D1267" s="7"/>
      <c r="E1267" s="7"/>
      <c r="F1267" s="25" t="s">
        <v>87</v>
      </c>
      <c r="G1267" s="7">
        <v>610</v>
      </c>
      <c r="H1267" s="7" t="s">
        <v>143</v>
      </c>
      <c r="I1267" s="23">
        <v>24710</v>
      </c>
      <c r="J1267" s="23"/>
      <c r="K1267" s="23">
        <f t="shared" si="450"/>
        <v>24710</v>
      </c>
      <c r="M1267" s="23"/>
      <c r="N1267" s="23"/>
      <c r="O1267" s="86">
        <f t="shared" si="451"/>
        <v>0</v>
      </c>
      <c r="Q1267" s="273">
        <f t="shared" si="448"/>
        <v>24710</v>
      </c>
      <c r="R1267" s="86">
        <f t="shared" si="456"/>
        <v>0</v>
      </c>
      <c r="S1267" s="86">
        <f t="shared" si="456"/>
        <v>24710</v>
      </c>
    </row>
    <row r="1268" spans="2:19" x14ac:dyDescent="0.2">
      <c r="B1268" s="83">
        <f t="shared" si="452"/>
        <v>672</v>
      </c>
      <c r="C1268" s="7"/>
      <c r="D1268" s="7"/>
      <c r="E1268" s="7"/>
      <c r="F1268" s="25" t="s">
        <v>87</v>
      </c>
      <c r="G1268" s="7">
        <v>620</v>
      </c>
      <c r="H1268" s="7" t="s">
        <v>136</v>
      </c>
      <c r="I1268" s="23">
        <v>8636</v>
      </c>
      <c r="J1268" s="23"/>
      <c r="K1268" s="23">
        <f t="shared" si="450"/>
        <v>8636</v>
      </c>
      <c r="M1268" s="23"/>
      <c r="N1268" s="23"/>
      <c r="O1268" s="86">
        <f t="shared" si="451"/>
        <v>0</v>
      </c>
      <c r="Q1268" s="273">
        <f t="shared" si="448"/>
        <v>8636</v>
      </c>
      <c r="R1268" s="86">
        <f t="shared" si="456"/>
        <v>0</v>
      </c>
      <c r="S1268" s="86">
        <f t="shared" si="456"/>
        <v>8636</v>
      </c>
    </row>
    <row r="1269" spans="2:19" x14ac:dyDescent="0.2">
      <c r="B1269" s="83">
        <f t="shared" si="452"/>
        <v>673</v>
      </c>
      <c r="C1269" s="7"/>
      <c r="D1269" s="7"/>
      <c r="E1269" s="7"/>
      <c r="F1269" s="25" t="s">
        <v>87</v>
      </c>
      <c r="G1269" s="7">
        <v>630</v>
      </c>
      <c r="H1269" s="7" t="s">
        <v>133</v>
      </c>
      <c r="I1269" s="23">
        <f>SUM(I1270:I1272)</f>
        <v>9114</v>
      </c>
      <c r="J1269" s="23">
        <f t="shared" ref="J1269" si="459">SUM(J1270:J1272)</f>
        <v>0</v>
      </c>
      <c r="K1269" s="23">
        <f t="shared" si="450"/>
        <v>9114</v>
      </c>
      <c r="M1269" s="23"/>
      <c r="N1269" s="23"/>
      <c r="O1269" s="86">
        <f t="shared" si="451"/>
        <v>0</v>
      </c>
      <c r="Q1269" s="273">
        <f t="shared" si="448"/>
        <v>9114</v>
      </c>
      <c r="R1269" s="86">
        <f t="shared" si="456"/>
        <v>0</v>
      </c>
      <c r="S1269" s="86">
        <f t="shared" si="456"/>
        <v>9114</v>
      </c>
    </row>
    <row r="1270" spans="2:19" x14ac:dyDescent="0.2">
      <c r="B1270" s="83">
        <f t="shared" si="452"/>
        <v>674</v>
      </c>
      <c r="C1270" s="3"/>
      <c r="D1270" s="3"/>
      <c r="E1270" s="3"/>
      <c r="F1270" s="26" t="s">
        <v>87</v>
      </c>
      <c r="G1270" s="3">
        <v>632</v>
      </c>
      <c r="H1270" s="3" t="s">
        <v>146</v>
      </c>
      <c r="I1270" s="19">
        <v>3322</v>
      </c>
      <c r="J1270" s="19"/>
      <c r="K1270" s="19">
        <f t="shared" si="450"/>
        <v>3322</v>
      </c>
      <c r="M1270" s="19"/>
      <c r="N1270" s="19"/>
      <c r="O1270" s="87">
        <f t="shared" si="451"/>
        <v>0</v>
      </c>
      <c r="Q1270" s="274">
        <f t="shared" si="448"/>
        <v>3322</v>
      </c>
      <c r="R1270" s="87">
        <f t="shared" ref="R1270:S1285" si="460">J1270+N1270</f>
        <v>0</v>
      </c>
      <c r="S1270" s="87">
        <f t="shared" si="460"/>
        <v>3322</v>
      </c>
    </row>
    <row r="1271" spans="2:19" x14ac:dyDescent="0.2">
      <c r="B1271" s="83">
        <f t="shared" si="452"/>
        <v>675</v>
      </c>
      <c r="C1271" s="3"/>
      <c r="D1271" s="3"/>
      <c r="E1271" s="3"/>
      <c r="F1271" s="26" t="s">
        <v>87</v>
      </c>
      <c r="G1271" s="3">
        <v>633</v>
      </c>
      <c r="H1271" s="3" t="s">
        <v>137</v>
      </c>
      <c r="I1271" s="19">
        <v>4212</v>
      </c>
      <c r="J1271" s="19"/>
      <c r="K1271" s="19">
        <f t="shared" si="450"/>
        <v>4212</v>
      </c>
      <c r="M1271" s="19"/>
      <c r="N1271" s="19"/>
      <c r="O1271" s="87">
        <f t="shared" si="451"/>
        <v>0</v>
      </c>
      <c r="Q1271" s="274">
        <f t="shared" si="448"/>
        <v>4212</v>
      </c>
      <c r="R1271" s="87">
        <f t="shared" si="460"/>
        <v>0</v>
      </c>
      <c r="S1271" s="87">
        <f t="shared" si="460"/>
        <v>4212</v>
      </c>
    </row>
    <row r="1272" spans="2:19" x14ac:dyDescent="0.2">
      <c r="B1272" s="83">
        <f t="shared" si="452"/>
        <v>676</v>
      </c>
      <c r="C1272" s="3"/>
      <c r="D1272" s="3"/>
      <c r="E1272" s="3"/>
      <c r="F1272" s="26" t="s">
        <v>87</v>
      </c>
      <c r="G1272" s="3">
        <v>637</v>
      </c>
      <c r="H1272" s="3" t="s">
        <v>134</v>
      </c>
      <c r="I1272" s="19">
        <v>1580</v>
      </c>
      <c r="J1272" s="19"/>
      <c r="K1272" s="19">
        <f t="shared" si="450"/>
        <v>1580</v>
      </c>
      <c r="M1272" s="19"/>
      <c r="N1272" s="19"/>
      <c r="O1272" s="87">
        <f t="shared" si="451"/>
        <v>0</v>
      </c>
      <c r="Q1272" s="274">
        <f t="shared" si="448"/>
        <v>1580</v>
      </c>
      <c r="R1272" s="87">
        <f t="shared" si="460"/>
        <v>0</v>
      </c>
      <c r="S1272" s="87">
        <f t="shared" si="460"/>
        <v>1580</v>
      </c>
    </row>
    <row r="1273" spans="2:19" x14ac:dyDescent="0.2">
      <c r="B1273" s="83">
        <f t="shared" si="452"/>
        <v>677</v>
      </c>
      <c r="C1273" s="7"/>
      <c r="D1273" s="7"/>
      <c r="E1273" s="7"/>
      <c r="F1273" s="25" t="s">
        <v>87</v>
      </c>
      <c r="G1273" s="7">
        <v>640</v>
      </c>
      <c r="H1273" s="7" t="s">
        <v>141</v>
      </c>
      <c r="I1273" s="23">
        <v>20</v>
      </c>
      <c r="J1273" s="23"/>
      <c r="K1273" s="23">
        <f t="shared" si="450"/>
        <v>20</v>
      </c>
      <c r="M1273" s="23"/>
      <c r="N1273" s="23"/>
      <c r="O1273" s="86">
        <f t="shared" si="451"/>
        <v>0</v>
      </c>
      <c r="Q1273" s="273">
        <f t="shared" si="448"/>
        <v>20</v>
      </c>
      <c r="R1273" s="86">
        <f t="shared" si="460"/>
        <v>0</v>
      </c>
      <c r="S1273" s="86">
        <f t="shared" si="460"/>
        <v>20</v>
      </c>
    </row>
    <row r="1274" spans="2:19" x14ac:dyDescent="0.2">
      <c r="B1274" s="83">
        <f t="shared" si="452"/>
        <v>678</v>
      </c>
      <c r="C1274" s="7"/>
      <c r="D1274" s="7"/>
      <c r="E1274" s="7"/>
      <c r="F1274" s="25" t="s">
        <v>55</v>
      </c>
      <c r="G1274" s="7">
        <v>610</v>
      </c>
      <c r="H1274" s="7" t="s">
        <v>143</v>
      </c>
      <c r="I1274" s="23">
        <v>27629</v>
      </c>
      <c r="J1274" s="23"/>
      <c r="K1274" s="23">
        <f t="shared" si="450"/>
        <v>27629</v>
      </c>
      <c r="M1274" s="23"/>
      <c r="N1274" s="23"/>
      <c r="O1274" s="86">
        <f t="shared" si="451"/>
        <v>0</v>
      </c>
      <c r="Q1274" s="273">
        <f t="shared" si="448"/>
        <v>27629</v>
      </c>
      <c r="R1274" s="86">
        <f t="shared" si="460"/>
        <v>0</v>
      </c>
      <c r="S1274" s="86">
        <f t="shared" si="460"/>
        <v>27629</v>
      </c>
    </row>
    <row r="1275" spans="2:19" x14ac:dyDescent="0.2">
      <c r="B1275" s="83">
        <f t="shared" si="452"/>
        <v>679</v>
      </c>
      <c r="C1275" s="7"/>
      <c r="D1275" s="7"/>
      <c r="E1275" s="7"/>
      <c r="F1275" s="25" t="s">
        <v>55</v>
      </c>
      <c r="G1275" s="7">
        <v>620</v>
      </c>
      <c r="H1275" s="7" t="s">
        <v>136</v>
      </c>
      <c r="I1275" s="23">
        <v>9656</v>
      </c>
      <c r="J1275" s="23"/>
      <c r="K1275" s="23">
        <f t="shared" si="450"/>
        <v>9656</v>
      </c>
      <c r="M1275" s="23"/>
      <c r="N1275" s="23"/>
      <c r="O1275" s="86">
        <f t="shared" si="451"/>
        <v>0</v>
      </c>
      <c r="Q1275" s="273">
        <f t="shared" si="448"/>
        <v>9656</v>
      </c>
      <c r="R1275" s="86">
        <f t="shared" si="460"/>
        <v>0</v>
      </c>
      <c r="S1275" s="86">
        <f t="shared" si="460"/>
        <v>9656</v>
      </c>
    </row>
    <row r="1276" spans="2:19" x14ac:dyDescent="0.2">
      <c r="B1276" s="83">
        <f t="shared" si="452"/>
        <v>680</v>
      </c>
      <c r="C1276" s="7"/>
      <c r="D1276" s="7"/>
      <c r="E1276" s="7"/>
      <c r="F1276" s="25" t="s">
        <v>55</v>
      </c>
      <c r="G1276" s="7">
        <v>630</v>
      </c>
      <c r="H1276" s="7" t="s">
        <v>133</v>
      </c>
      <c r="I1276" s="23">
        <f>SUM(I1277:I1281)</f>
        <v>71890</v>
      </c>
      <c r="J1276" s="23">
        <f t="shared" ref="J1276" si="461">SUM(J1277:J1281)</f>
        <v>0</v>
      </c>
      <c r="K1276" s="23">
        <f t="shared" si="450"/>
        <v>71890</v>
      </c>
      <c r="M1276" s="23"/>
      <c r="N1276" s="23"/>
      <c r="O1276" s="86">
        <f t="shared" si="451"/>
        <v>0</v>
      </c>
      <c r="Q1276" s="273">
        <f t="shared" si="448"/>
        <v>71890</v>
      </c>
      <c r="R1276" s="86">
        <f t="shared" si="460"/>
        <v>0</v>
      </c>
      <c r="S1276" s="86">
        <f t="shared" si="460"/>
        <v>71890</v>
      </c>
    </row>
    <row r="1277" spans="2:19" x14ac:dyDescent="0.2">
      <c r="B1277" s="83">
        <f t="shared" si="452"/>
        <v>681</v>
      </c>
      <c r="C1277" s="3"/>
      <c r="D1277" s="3"/>
      <c r="E1277" s="3"/>
      <c r="F1277" s="26" t="s">
        <v>55</v>
      </c>
      <c r="G1277" s="3">
        <v>631</v>
      </c>
      <c r="H1277" s="3" t="s">
        <v>139</v>
      </c>
      <c r="I1277" s="19">
        <v>25</v>
      </c>
      <c r="J1277" s="19"/>
      <c r="K1277" s="19">
        <f t="shared" si="450"/>
        <v>25</v>
      </c>
      <c r="M1277" s="19"/>
      <c r="N1277" s="19"/>
      <c r="O1277" s="87">
        <f t="shared" si="451"/>
        <v>0</v>
      </c>
      <c r="Q1277" s="274">
        <f t="shared" si="448"/>
        <v>25</v>
      </c>
      <c r="R1277" s="87">
        <f t="shared" si="460"/>
        <v>0</v>
      </c>
      <c r="S1277" s="87">
        <f t="shared" si="460"/>
        <v>25</v>
      </c>
    </row>
    <row r="1278" spans="2:19" x14ac:dyDescent="0.2">
      <c r="B1278" s="83">
        <f t="shared" si="452"/>
        <v>682</v>
      </c>
      <c r="C1278" s="3"/>
      <c r="D1278" s="3"/>
      <c r="E1278" s="3"/>
      <c r="F1278" s="26" t="s">
        <v>55</v>
      </c>
      <c r="G1278" s="3">
        <v>632</v>
      </c>
      <c r="H1278" s="3" t="s">
        <v>146</v>
      </c>
      <c r="I1278" s="19">
        <v>3100</v>
      </c>
      <c r="J1278" s="19"/>
      <c r="K1278" s="19">
        <f t="shared" si="450"/>
        <v>3100</v>
      </c>
      <c r="M1278" s="19"/>
      <c r="N1278" s="19"/>
      <c r="O1278" s="87">
        <f t="shared" si="451"/>
        <v>0</v>
      </c>
      <c r="Q1278" s="274">
        <f t="shared" si="448"/>
        <v>3100</v>
      </c>
      <c r="R1278" s="87">
        <f t="shared" si="460"/>
        <v>0</v>
      </c>
      <c r="S1278" s="87">
        <f t="shared" si="460"/>
        <v>3100</v>
      </c>
    </row>
    <row r="1279" spans="2:19" x14ac:dyDescent="0.2">
      <c r="B1279" s="83">
        <f t="shared" si="452"/>
        <v>683</v>
      </c>
      <c r="C1279" s="3"/>
      <c r="D1279" s="3"/>
      <c r="E1279" s="3"/>
      <c r="F1279" s="26" t="s">
        <v>55</v>
      </c>
      <c r="G1279" s="3">
        <v>633</v>
      </c>
      <c r="H1279" s="3" t="s">
        <v>137</v>
      </c>
      <c r="I1279" s="19">
        <v>62865</v>
      </c>
      <c r="J1279" s="19"/>
      <c r="K1279" s="19">
        <f t="shared" si="450"/>
        <v>62865</v>
      </c>
      <c r="M1279" s="19"/>
      <c r="N1279" s="19"/>
      <c r="O1279" s="87">
        <f t="shared" si="451"/>
        <v>0</v>
      </c>
      <c r="Q1279" s="274">
        <f t="shared" si="448"/>
        <v>62865</v>
      </c>
      <c r="R1279" s="87">
        <f t="shared" si="460"/>
        <v>0</v>
      </c>
      <c r="S1279" s="87">
        <f t="shared" si="460"/>
        <v>62865</v>
      </c>
    </row>
    <row r="1280" spans="2:19" x14ac:dyDescent="0.2">
      <c r="B1280" s="83">
        <f t="shared" si="452"/>
        <v>684</v>
      </c>
      <c r="C1280" s="3"/>
      <c r="D1280" s="3"/>
      <c r="E1280" s="3"/>
      <c r="F1280" s="26" t="s">
        <v>55</v>
      </c>
      <c r="G1280" s="3">
        <v>635</v>
      </c>
      <c r="H1280" s="3" t="s">
        <v>145</v>
      </c>
      <c r="I1280" s="19">
        <v>3600</v>
      </c>
      <c r="J1280" s="19"/>
      <c r="K1280" s="19">
        <f t="shared" si="450"/>
        <v>3600</v>
      </c>
      <c r="M1280" s="19"/>
      <c r="N1280" s="19"/>
      <c r="O1280" s="87">
        <f t="shared" si="451"/>
        <v>0</v>
      </c>
      <c r="Q1280" s="274">
        <f t="shared" si="448"/>
        <v>3600</v>
      </c>
      <c r="R1280" s="87">
        <f t="shared" si="460"/>
        <v>0</v>
      </c>
      <c r="S1280" s="87">
        <f t="shared" si="460"/>
        <v>3600</v>
      </c>
    </row>
    <row r="1281" spans="2:19" x14ac:dyDescent="0.2">
      <c r="B1281" s="83">
        <f t="shared" si="452"/>
        <v>685</v>
      </c>
      <c r="C1281" s="3"/>
      <c r="D1281" s="3"/>
      <c r="E1281" s="3"/>
      <c r="F1281" s="26" t="s">
        <v>55</v>
      </c>
      <c r="G1281" s="3">
        <v>637</v>
      </c>
      <c r="H1281" s="3" t="s">
        <v>134</v>
      </c>
      <c r="I1281" s="19">
        <v>2300</v>
      </c>
      <c r="J1281" s="19"/>
      <c r="K1281" s="19">
        <f t="shared" si="450"/>
        <v>2300</v>
      </c>
      <c r="M1281" s="19"/>
      <c r="N1281" s="19"/>
      <c r="O1281" s="87">
        <f t="shared" si="451"/>
        <v>0</v>
      </c>
      <c r="Q1281" s="274">
        <f t="shared" si="448"/>
        <v>2300</v>
      </c>
      <c r="R1281" s="87">
        <f t="shared" si="460"/>
        <v>0</v>
      </c>
      <c r="S1281" s="87">
        <f t="shared" si="460"/>
        <v>2300</v>
      </c>
    </row>
    <row r="1282" spans="2:19" x14ac:dyDescent="0.2">
      <c r="B1282" s="83">
        <f t="shared" si="452"/>
        <v>686</v>
      </c>
      <c r="C1282" s="7"/>
      <c r="D1282" s="7"/>
      <c r="E1282" s="7"/>
      <c r="F1282" s="25" t="s">
        <v>55</v>
      </c>
      <c r="G1282" s="7">
        <v>640</v>
      </c>
      <c r="H1282" s="7" t="s">
        <v>141</v>
      </c>
      <c r="I1282" s="23">
        <v>30</v>
      </c>
      <c r="J1282" s="23"/>
      <c r="K1282" s="23">
        <f t="shared" si="450"/>
        <v>30</v>
      </c>
      <c r="M1282" s="23"/>
      <c r="N1282" s="23"/>
      <c r="O1282" s="86">
        <f t="shared" si="451"/>
        <v>0</v>
      </c>
      <c r="Q1282" s="273">
        <f t="shared" si="448"/>
        <v>30</v>
      </c>
      <c r="R1282" s="86">
        <f t="shared" si="460"/>
        <v>0</v>
      </c>
      <c r="S1282" s="86">
        <f t="shared" si="460"/>
        <v>30</v>
      </c>
    </row>
    <row r="1283" spans="2:19" ht="15" x14ac:dyDescent="0.2">
      <c r="B1283" s="83">
        <f t="shared" si="452"/>
        <v>687</v>
      </c>
      <c r="C1283" s="268">
        <v>5</v>
      </c>
      <c r="D1283" s="360" t="s">
        <v>132</v>
      </c>
      <c r="E1283" s="361"/>
      <c r="F1283" s="361"/>
      <c r="G1283" s="361"/>
      <c r="H1283" s="362"/>
      <c r="I1283" s="36">
        <f>I1284+I1289+I1291+I1300</f>
        <v>243512</v>
      </c>
      <c r="J1283" s="36">
        <f t="shared" ref="J1283" si="462">J1284+J1289+J1291+J1300</f>
        <v>-756</v>
      </c>
      <c r="K1283" s="36">
        <f t="shared" si="450"/>
        <v>242756</v>
      </c>
      <c r="M1283" s="36">
        <v>0</v>
      </c>
      <c r="N1283" s="36">
        <v>0</v>
      </c>
      <c r="O1283" s="84">
        <f t="shared" si="451"/>
        <v>0</v>
      </c>
      <c r="Q1283" s="272">
        <f t="shared" si="448"/>
        <v>243512</v>
      </c>
      <c r="R1283" s="84">
        <f t="shared" si="460"/>
        <v>-756</v>
      </c>
      <c r="S1283" s="84">
        <f t="shared" si="460"/>
        <v>242756</v>
      </c>
    </row>
    <row r="1284" spans="2:19" x14ac:dyDescent="0.2">
      <c r="B1284" s="83">
        <f t="shared" si="452"/>
        <v>688</v>
      </c>
      <c r="C1284" s="6"/>
      <c r="D1284" s="6"/>
      <c r="E1284" s="6"/>
      <c r="F1284" s="29"/>
      <c r="G1284" s="6"/>
      <c r="H1284" s="6" t="s">
        <v>140</v>
      </c>
      <c r="I1284" s="41">
        <f>I1285+I1286+I1287</f>
        <v>3920</v>
      </c>
      <c r="J1284" s="41">
        <f t="shared" ref="J1284" si="463">J1285+J1286+J1287</f>
        <v>-720</v>
      </c>
      <c r="K1284" s="41">
        <f t="shared" si="450"/>
        <v>3200</v>
      </c>
      <c r="M1284" s="41">
        <v>0</v>
      </c>
      <c r="N1284" s="41">
        <v>0</v>
      </c>
      <c r="O1284" s="100">
        <f t="shared" si="451"/>
        <v>0</v>
      </c>
      <c r="Q1284" s="318">
        <f t="shared" si="448"/>
        <v>3920</v>
      </c>
      <c r="R1284" s="100">
        <f t="shared" si="460"/>
        <v>-720</v>
      </c>
      <c r="S1284" s="100">
        <f t="shared" si="460"/>
        <v>3200</v>
      </c>
    </row>
    <row r="1285" spans="2:19" x14ac:dyDescent="0.2">
      <c r="B1285" s="83">
        <f t="shared" si="452"/>
        <v>689</v>
      </c>
      <c r="C1285" s="7"/>
      <c r="D1285" s="7"/>
      <c r="E1285" s="7"/>
      <c r="F1285" s="25" t="s">
        <v>56</v>
      </c>
      <c r="G1285" s="7">
        <v>610</v>
      </c>
      <c r="H1285" s="7" t="s">
        <v>143</v>
      </c>
      <c r="I1285" s="23">
        <v>600</v>
      </c>
      <c r="J1285" s="23">
        <v>-600</v>
      </c>
      <c r="K1285" s="23">
        <f t="shared" si="450"/>
        <v>0</v>
      </c>
      <c r="M1285" s="23"/>
      <c r="N1285" s="23"/>
      <c r="O1285" s="86">
        <f t="shared" si="451"/>
        <v>0</v>
      </c>
      <c r="Q1285" s="273">
        <f t="shared" si="448"/>
        <v>600</v>
      </c>
      <c r="R1285" s="86">
        <f t="shared" si="460"/>
        <v>-600</v>
      </c>
      <c r="S1285" s="86">
        <f t="shared" si="460"/>
        <v>0</v>
      </c>
    </row>
    <row r="1286" spans="2:19" x14ac:dyDescent="0.2">
      <c r="B1286" s="83">
        <f t="shared" si="452"/>
        <v>690</v>
      </c>
      <c r="C1286" s="7"/>
      <c r="D1286" s="7"/>
      <c r="E1286" s="7"/>
      <c r="F1286" s="25" t="s">
        <v>56</v>
      </c>
      <c r="G1286" s="7">
        <v>620</v>
      </c>
      <c r="H1286" s="7" t="s">
        <v>136</v>
      </c>
      <c r="I1286" s="23">
        <v>120</v>
      </c>
      <c r="J1286" s="23">
        <v>-120</v>
      </c>
      <c r="K1286" s="23">
        <f t="shared" si="450"/>
        <v>0</v>
      </c>
      <c r="M1286" s="23"/>
      <c r="N1286" s="23"/>
      <c r="O1286" s="86">
        <f t="shared" si="451"/>
        <v>0</v>
      </c>
      <c r="Q1286" s="273">
        <f t="shared" si="448"/>
        <v>120</v>
      </c>
      <c r="R1286" s="86">
        <f t="shared" ref="R1286:S1301" si="464">J1286+N1286</f>
        <v>-120</v>
      </c>
      <c r="S1286" s="86">
        <f t="shared" si="464"/>
        <v>0</v>
      </c>
    </row>
    <row r="1287" spans="2:19" x14ac:dyDescent="0.2">
      <c r="B1287" s="83">
        <f t="shared" si="452"/>
        <v>691</v>
      </c>
      <c r="C1287" s="7"/>
      <c r="D1287" s="7"/>
      <c r="E1287" s="7"/>
      <c r="F1287" s="25" t="s">
        <v>56</v>
      </c>
      <c r="G1287" s="7">
        <v>630</v>
      </c>
      <c r="H1287" s="7" t="s">
        <v>133</v>
      </c>
      <c r="I1287" s="23">
        <f>I1288</f>
        <v>3200</v>
      </c>
      <c r="J1287" s="23">
        <f t="shared" ref="J1287" si="465">J1288</f>
        <v>0</v>
      </c>
      <c r="K1287" s="23">
        <f t="shared" si="450"/>
        <v>3200</v>
      </c>
      <c r="M1287" s="23"/>
      <c r="N1287" s="23"/>
      <c r="O1287" s="86">
        <f t="shared" si="451"/>
        <v>0</v>
      </c>
      <c r="Q1287" s="273">
        <f t="shared" si="448"/>
        <v>3200</v>
      </c>
      <c r="R1287" s="86">
        <f t="shared" si="464"/>
        <v>0</v>
      </c>
      <c r="S1287" s="86">
        <f t="shared" si="464"/>
        <v>3200</v>
      </c>
    </row>
    <row r="1288" spans="2:19" x14ac:dyDescent="0.2">
      <c r="B1288" s="83">
        <f t="shared" si="452"/>
        <v>692</v>
      </c>
      <c r="C1288" s="3"/>
      <c r="D1288" s="3"/>
      <c r="E1288" s="3"/>
      <c r="F1288" s="26" t="s">
        <v>56</v>
      </c>
      <c r="G1288" s="3">
        <v>633</v>
      </c>
      <c r="H1288" s="3" t="s">
        <v>137</v>
      </c>
      <c r="I1288" s="19">
        <v>3200</v>
      </c>
      <c r="J1288" s="19"/>
      <c r="K1288" s="19">
        <f t="shared" si="450"/>
        <v>3200</v>
      </c>
      <c r="M1288" s="19"/>
      <c r="N1288" s="19"/>
      <c r="O1288" s="87">
        <f t="shared" si="451"/>
        <v>0</v>
      </c>
      <c r="Q1288" s="274">
        <f t="shared" si="448"/>
        <v>3200</v>
      </c>
      <c r="R1288" s="87">
        <f t="shared" si="464"/>
        <v>0</v>
      </c>
      <c r="S1288" s="87">
        <f t="shared" si="464"/>
        <v>3200</v>
      </c>
    </row>
    <row r="1289" spans="2:19" x14ac:dyDescent="0.2">
      <c r="B1289" s="83">
        <f t="shared" si="452"/>
        <v>693</v>
      </c>
      <c r="C1289" s="6"/>
      <c r="D1289" s="6"/>
      <c r="E1289" s="6"/>
      <c r="F1289" s="29"/>
      <c r="G1289" s="6"/>
      <c r="H1289" s="6" t="s">
        <v>313</v>
      </c>
      <c r="I1289" s="41">
        <f>I1290</f>
        <v>10000</v>
      </c>
      <c r="J1289" s="41">
        <f t="shared" ref="J1289" si="466">J1290</f>
        <v>0</v>
      </c>
      <c r="K1289" s="41">
        <f t="shared" si="450"/>
        <v>10000</v>
      </c>
      <c r="M1289" s="41">
        <v>0</v>
      </c>
      <c r="N1289" s="41">
        <v>0</v>
      </c>
      <c r="O1289" s="100">
        <f t="shared" si="451"/>
        <v>0</v>
      </c>
      <c r="Q1289" s="318">
        <f t="shared" si="448"/>
        <v>10000</v>
      </c>
      <c r="R1289" s="100">
        <f t="shared" si="464"/>
        <v>0</v>
      </c>
      <c r="S1289" s="100">
        <f t="shared" si="464"/>
        <v>10000</v>
      </c>
    </row>
    <row r="1290" spans="2:19" x14ac:dyDescent="0.2">
      <c r="B1290" s="83">
        <f t="shared" si="452"/>
        <v>694</v>
      </c>
      <c r="C1290" s="2"/>
      <c r="D1290" s="2"/>
      <c r="E1290" s="2"/>
      <c r="F1290" s="30" t="s">
        <v>56</v>
      </c>
      <c r="G1290" s="2">
        <v>640</v>
      </c>
      <c r="H1290" s="2" t="s">
        <v>141</v>
      </c>
      <c r="I1290" s="18">
        <v>10000</v>
      </c>
      <c r="J1290" s="18"/>
      <c r="K1290" s="18">
        <f t="shared" si="450"/>
        <v>10000</v>
      </c>
      <c r="M1290" s="18"/>
      <c r="N1290" s="18"/>
      <c r="O1290" s="115">
        <f t="shared" si="451"/>
        <v>0</v>
      </c>
      <c r="Q1290" s="319">
        <f t="shared" si="448"/>
        <v>10000</v>
      </c>
      <c r="R1290" s="115">
        <f t="shared" si="464"/>
        <v>0</v>
      </c>
      <c r="S1290" s="115">
        <f t="shared" si="464"/>
        <v>10000</v>
      </c>
    </row>
    <row r="1291" spans="2:19" x14ac:dyDescent="0.2">
      <c r="B1291" s="83">
        <f t="shared" si="452"/>
        <v>695</v>
      </c>
      <c r="C1291" s="6"/>
      <c r="D1291" s="6"/>
      <c r="E1291" s="6"/>
      <c r="F1291" s="29"/>
      <c r="G1291" s="6"/>
      <c r="H1291" s="6" t="s">
        <v>135</v>
      </c>
      <c r="I1291" s="41">
        <f>I1292+I1293+I1294+I1299</f>
        <v>42512</v>
      </c>
      <c r="J1291" s="41">
        <f t="shared" ref="J1291" si="467">J1292+J1293+J1294+J1299</f>
        <v>-36</v>
      </c>
      <c r="K1291" s="41">
        <f t="shared" si="450"/>
        <v>42476</v>
      </c>
      <c r="M1291" s="41">
        <v>0</v>
      </c>
      <c r="N1291" s="41">
        <v>0</v>
      </c>
      <c r="O1291" s="100">
        <f t="shared" si="451"/>
        <v>0</v>
      </c>
      <c r="Q1291" s="318">
        <f t="shared" si="448"/>
        <v>42512</v>
      </c>
      <c r="R1291" s="100">
        <f t="shared" si="464"/>
        <v>-36</v>
      </c>
      <c r="S1291" s="100">
        <f t="shared" si="464"/>
        <v>42476</v>
      </c>
    </row>
    <row r="1292" spans="2:19" x14ac:dyDescent="0.2">
      <c r="B1292" s="83">
        <f t="shared" si="452"/>
        <v>696</v>
      </c>
      <c r="C1292" s="7"/>
      <c r="D1292" s="7"/>
      <c r="E1292" s="7"/>
      <c r="F1292" s="25" t="s">
        <v>56</v>
      </c>
      <c r="G1292" s="7">
        <v>610</v>
      </c>
      <c r="H1292" s="7" t="s">
        <v>143</v>
      </c>
      <c r="I1292" s="23">
        <v>26800</v>
      </c>
      <c r="J1292" s="23"/>
      <c r="K1292" s="23">
        <f t="shared" si="450"/>
        <v>26800</v>
      </c>
      <c r="M1292" s="23"/>
      <c r="N1292" s="23"/>
      <c r="O1292" s="86">
        <f t="shared" si="451"/>
        <v>0</v>
      </c>
      <c r="Q1292" s="273">
        <f t="shared" si="448"/>
        <v>26800</v>
      </c>
      <c r="R1292" s="86">
        <f t="shared" si="464"/>
        <v>0</v>
      </c>
      <c r="S1292" s="86">
        <f t="shared" si="464"/>
        <v>26800</v>
      </c>
    </row>
    <row r="1293" spans="2:19" x14ac:dyDescent="0.2">
      <c r="B1293" s="83">
        <f t="shared" si="452"/>
        <v>697</v>
      </c>
      <c r="C1293" s="7"/>
      <c r="D1293" s="7"/>
      <c r="E1293" s="7"/>
      <c r="F1293" s="25" t="s">
        <v>56</v>
      </c>
      <c r="G1293" s="7">
        <v>620</v>
      </c>
      <c r="H1293" s="7" t="s">
        <v>136</v>
      </c>
      <c r="I1293" s="23">
        <v>11070</v>
      </c>
      <c r="J1293" s="23"/>
      <c r="K1293" s="23">
        <f t="shared" si="450"/>
        <v>11070</v>
      </c>
      <c r="M1293" s="23"/>
      <c r="N1293" s="23"/>
      <c r="O1293" s="86">
        <f t="shared" si="451"/>
        <v>0</v>
      </c>
      <c r="Q1293" s="273">
        <f t="shared" si="448"/>
        <v>11070</v>
      </c>
      <c r="R1293" s="86">
        <f t="shared" si="464"/>
        <v>0</v>
      </c>
      <c r="S1293" s="86">
        <f t="shared" si="464"/>
        <v>11070</v>
      </c>
    </row>
    <row r="1294" spans="2:19" x14ac:dyDescent="0.2">
      <c r="B1294" s="83">
        <f t="shared" si="452"/>
        <v>698</v>
      </c>
      <c r="C1294" s="7"/>
      <c r="D1294" s="7"/>
      <c r="E1294" s="7"/>
      <c r="F1294" s="25" t="s">
        <v>56</v>
      </c>
      <c r="G1294" s="7">
        <v>630</v>
      </c>
      <c r="H1294" s="7" t="s">
        <v>133</v>
      </c>
      <c r="I1294" s="23">
        <f>SUM(I1295:I1298)</f>
        <v>2312</v>
      </c>
      <c r="J1294" s="23">
        <f t="shared" ref="J1294" si="468">SUM(J1295:J1298)</f>
        <v>-36</v>
      </c>
      <c r="K1294" s="23">
        <f t="shared" si="450"/>
        <v>2276</v>
      </c>
      <c r="M1294" s="23"/>
      <c r="N1294" s="23"/>
      <c r="O1294" s="86">
        <f t="shared" si="451"/>
        <v>0</v>
      </c>
      <c r="Q1294" s="273">
        <f t="shared" si="448"/>
        <v>2312</v>
      </c>
      <c r="R1294" s="86">
        <f t="shared" si="464"/>
        <v>-36</v>
      </c>
      <c r="S1294" s="86">
        <f t="shared" si="464"/>
        <v>2276</v>
      </c>
    </row>
    <row r="1295" spans="2:19" x14ac:dyDescent="0.2">
      <c r="B1295" s="83">
        <f t="shared" si="452"/>
        <v>699</v>
      </c>
      <c r="C1295" s="3"/>
      <c r="D1295" s="3"/>
      <c r="E1295" s="3"/>
      <c r="F1295" s="26" t="s">
        <v>56</v>
      </c>
      <c r="G1295" s="3">
        <v>631</v>
      </c>
      <c r="H1295" s="3" t="s">
        <v>139</v>
      </c>
      <c r="I1295" s="19">
        <v>50</v>
      </c>
      <c r="J1295" s="19"/>
      <c r="K1295" s="19">
        <f t="shared" si="450"/>
        <v>50</v>
      </c>
      <c r="M1295" s="19"/>
      <c r="N1295" s="19"/>
      <c r="O1295" s="87">
        <f t="shared" si="451"/>
        <v>0</v>
      </c>
      <c r="Q1295" s="274">
        <f t="shared" si="448"/>
        <v>50</v>
      </c>
      <c r="R1295" s="87">
        <f t="shared" si="464"/>
        <v>0</v>
      </c>
      <c r="S1295" s="87">
        <f t="shared" si="464"/>
        <v>50</v>
      </c>
    </row>
    <row r="1296" spans="2:19" x14ac:dyDescent="0.2">
      <c r="B1296" s="83">
        <f t="shared" si="452"/>
        <v>700</v>
      </c>
      <c r="C1296" s="3"/>
      <c r="D1296" s="3"/>
      <c r="E1296" s="3"/>
      <c r="F1296" s="26" t="s">
        <v>56</v>
      </c>
      <c r="G1296" s="3">
        <v>632</v>
      </c>
      <c r="H1296" s="3" t="s">
        <v>146</v>
      </c>
      <c r="I1296" s="19">
        <v>252</v>
      </c>
      <c r="J1296" s="19">
        <v>-36</v>
      </c>
      <c r="K1296" s="19">
        <f t="shared" si="450"/>
        <v>216</v>
      </c>
      <c r="M1296" s="19"/>
      <c r="N1296" s="19"/>
      <c r="O1296" s="87">
        <f t="shared" si="451"/>
        <v>0</v>
      </c>
      <c r="Q1296" s="274">
        <f t="shared" si="448"/>
        <v>252</v>
      </c>
      <c r="R1296" s="87">
        <f t="shared" si="464"/>
        <v>-36</v>
      </c>
      <c r="S1296" s="87">
        <f t="shared" si="464"/>
        <v>216</v>
      </c>
    </row>
    <row r="1297" spans="2:19" x14ac:dyDescent="0.2">
      <c r="B1297" s="83">
        <f t="shared" si="452"/>
        <v>701</v>
      </c>
      <c r="C1297" s="3"/>
      <c r="D1297" s="3"/>
      <c r="E1297" s="3"/>
      <c r="F1297" s="26" t="s">
        <v>56</v>
      </c>
      <c r="G1297" s="3">
        <v>633</v>
      </c>
      <c r="H1297" s="3" t="s">
        <v>137</v>
      </c>
      <c r="I1297" s="19">
        <v>360</v>
      </c>
      <c r="J1297" s="19"/>
      <c r="K1297" s="19">
        <f t="shared" si="450"/>
        <v>360</v>
      </c>
      <c r="M1297" s="19"/>
      <c r="N1297" s="19"/>
      <c r="O1297" s="87">
        <f t="shared" si="451"/>
        <v>0</v>
      </c>
      <c r="Q1297" s="274">
        <f t="shared" si="448"/>
        <v>360</v>
      </c>
      <c r="R1297" s="87">
        <f t="shared" si="464"/>
        <v>0</v>
      </c>
      <c r="S1297" s="87">
        <f t="shared" si="464"/>
        <v>360</v>
      </c>
    </row>
    <row r="1298" spans="2:19" x14ac:dyDescent="0.2">
      <c r="B1298" s="83">
        <f t="shared" si="452"/>
        <v>702</v>
      </c>
      <c r="C1298" s="3"/>
      <c r="D1298" s="3"/>
      <c r="E1298" s="3"/>
      <c r="F1298" s="26" t="s">
        <v>56</v>
      </c>
      <c r="G1298" s="3">
        <v>637</v>
      </c>
      <c r="H1298" s="3" t="s">
        <v>134</v>
      </c>
      <c r="I1298" s="19">
        <v>1650</v>
      </c>
      <c r="J1298" s="19"/>
      <c r="K1298" s="19">
        <f t="shared" si="450"/>
        <v>1650</v>
      </c>
      <c r="M1298" s="19"/>
      <c r="N1298" s="19"/>
      <c r="O1298" s="87">
        <f t="shared" si="451"/>
        <v>0</v>
      </c>
      <c r="Q1298" s="274">
        <f t="shared" si="448"/>
        <v>1650</v>
      </c>
      <c r="R1298" s="87">
        <f t="shared" si="464"/>
        <v>0</v>
      </c>
      <c r="S1298" s="87">
        <f t="shared" si="464"/>
        <v>1650</v>
      </c>
    </row>
    <row r="1299" spans="2:19" x14ac:dyDescent="0.2">
      <c r="B1299" s="83">
        <f t="shared" si="452"/>
        <v>703</v>
      </c>
      <c r="C1299" s="7"/>
      <c r="D1299" s="7"/>
      <c r="E1299" s="7"/>
      <c r="F1299" s="25" t="s">
        <v>56</v>
      </c>
      <c r="G1299" s="7">
        <v>640</v>
      </c>
      <c r="H1299" s="7" t="s">
        <v>141</v>
      </c>
      <c r="I1299" s="23">
        <v>2330</v>
      </c>
      <c r="J1299" s="23"/>
      <c r="K1299" s="23">
        <f t="shared" si="450"/>
        <v>2330</v>
      </c>
      <c r="M1299" s="23"/>
      <c r="N1299" s="23"/>
      <c r="O1299" s="86">
        <f t="shared" si="451"/>
        <v>0</v>
      </c>
      <c r="Q1299" s="273">
        <f t="shared" si="448"/>
        <v>2330</v>
      </c>
      <c r="R1299" s="86">
        <f t="shared" si="464"/>
        <v>0</v>
      </c>
      <c r="S1299" s="86">
        <f t="shared" si="464"/>
        <v>2330</v>
      </c>
    </row>
    <row r="1300" spans="2:19" ht="15" x14ac:dyDescent="0.25">
      <c r="B1300" s="83">
        <f t="shared" si="452"/>
        <v>704</v>
      </c>
      <c r="C1300" s="10"/>
      <c r="D1300" s="10"/>
      <c r="E1300" s="10">
        <v>4</v>
      </c>
      <c r="F1300" s="28"/>
      <c r="G1300" s="10"/>
      <c r="H1300" s="10" t="s">
        <v>90</v>
      </c>
      <c r="I1300" s="38">
        <f>I1301+I1302+I1303+I1310</f>
        <v>187080</v>
      </c>
      <c r="J1300" s="38">
        <f t="shared" ref="J1300" si="469">J1301+J1302+J1303+J1310</f>
        <v>0</v>
      </c>
      <c r="K1300" s="38">
        <f t="shared" si="450"/>
        <v>187080</v>
      </c>
      <c r="M1300" s="38">
        <v>0</v>
      </c>
      <c r="N1300" s="38">
        <v>0</v>
      </c>
      <c r="O1300" s="94">
        <f t="shared" si="451"/>
        <v>0</v>
      </c>
      <c r="Q1300" s="315">
        <f t="shared" si="448"/>
        <v>187080</v>
      </c>
      <c r="R1300" s="94">
        <f t="shared" si="464"/>
        <v>0</v>
      </c>
      <c r="S1300" s="94">
        <f t="shared" si="464"/>
        <v>187080</v>
      </c>
    </row>
    <row r="1301" spans="2:19" x14ac:dyDescent="0.2">
      <c r="B1301" s="83">
        <f t="shared" si="452"/>
        <v>705</v>
      </c>
      <c r="C1301" s="7"/>
      <c r="D1301" s="7"/>
      <c r="E1301" s="7"/>
      <c r="F1301" s="25" t="s">
        <v>80</v>
      </c>
      <c r="G1301" s="7">
        <v>610</v>
      </c>
      <c r="H1301" s="7" t="s">
        <v>143</v>
      </c>
      <c r="I1301" s="23">
        <v>102410</v>
      </c>
      <c r="J1301" s="23"/>
      <c r="K1301" s="23">
        <f t="shared" si="450"/>
        <v>102410</v>
      </c>
      <c r="M1301" s="23"/>
      <c r="N1301" s="23"/>
      <c r="O1301" s="86">
        <f t="shared" si="451"/>
        <v>0</v>
      </c>
      <c r="Q1301" s="273">
        <f t="shared" si="448"/>
        <v>102410</v>
      </c>
      <c r="R1301" s="86">
        <f t="shared" si="464"/>
        <v>0</v>
      </c>
      <c r="S1301" s="86">
        <f t="shared" si="464"/>
        <v>102410</v>
      </c>
    </row>
    <row r="1302" spans="2:19" x14ac:dyDescent="0.2">
      <c r="B1302" s="83">
        <f t="shared" si="452"/>
        <v>706</v>
      </c>
      <c r="C1302" s="7"/>
      <c r="D1302" s="7"/>
      <c r="E1302" s="7"/>
      <c r="F1302" s="25" t="s">
        <v>80</v>
      </c>
      <c r="G1302" s="7">
        <v>620</v>
      </c>
      <c r="H1302" s="7" t="s">
        <v>136</v>
      </c>
      <c r="I1302" s="23">
        <v>41720</v>
      </c>
      <c r="J1302" s="23"/>
      <c r="K1302" s="23">
        <f t="shared" si="450"/>
        <v>41720</v>
      </c>
      <c r="M1302" s="23"/>
      <c r="N1302" s="23"/>
      <c r="O1302" s="86">
        <f t="shared" si="451"/>
        <v>0</v>
      </c>
      <c r="Q1302" s="273">
        <f t="shared" ref="Q1302:Q1310" si="470">I1302+M1302</f>
        <v>41720</v>
      </c>
      <c r="R1302" s="86">
        <f t="shared" ref="R1302:S1310" si="471">J1302+N1302</f>
        <v>0</v>
      </c>
      <c r="S1302" s="86">
        <f t="shared" si="471"/>
        <v>41720</v>
      </c>
    </row>
    <row r="1303" spans="2:19" x14ac:dyDescent="0.2">
      <c r="B1303" s="83">
        <f t="shared" si="452"/>
        <v>707</v>
      </c>
      <c r="C1303" s="7"/>
      <c r="D1303" s="7"/>
      <c r="E1303" s="7"/>
      <c r="F1303" s="25" t="s">
        <v>80</v>
      </c>
      <c r="G1303" s="7">
        <v>630</v>
      </c>
      <c r="H1303" s="7" t="s">
        <v>133</v>
      </c>
      <c r="I1303" s="23">
        <f>SUM(I1304:I1309)</f>
        <v>39047</v>
      </c>
      <c r="J1303" s="23">
        <f t="shared" ref="J1303" si="472">SUM(J1304:J1309)</f>
        <v>0</v>
      </c>
      <c r="K1303" s="23">
        <f t="shared" ref="K1303:K1310" si="473">I1303+J1303</f>
        <v>39047</v>
      </c>
      <c r="M1303" s="23"/>
      <c r="N1303" s="23"/>
      <c r="O1303" s="86">
        <f t="shared" ref="O1303:O1310" si="474">M1303+N1303</f>
        <v>0</v>
      </c>
      <c r="Q1303" s="273">
        <f t="shared" si="470"/>
        <v>39047</v>
      </c>
      <c r="R1303" s="86">
        <f t="shared" si="471"/>
        <v>0</v>
      </c>
      <c r="S1303" s="86">
        <f t="shared" si="471"/>
        <v>39047</v>
      </c>
    </row>
    <row r="1304" spans="2:19" x14ac:dyDescent="0.2">
      <c r="B1304" s="83">
        <f t="shared" ref="B1304:B1306" si="475">B1303+1</f>
        <v>708</v>
      </c>
      <c r="C1304" s="3"/>
      <c r="D1304" s="3"/>
      <c r="E1304" s="3"/>
      <c r="F1304" s="26" t="s">
        <v>80</v>
      </c>
      <c r="G1304" s="3">
        <v>631</v>
      </c>
      <c r="H1304" s="3" t="s">
        <v>139</v>
      </c>
      <c r="I1304" s="19">
        <v>50</v>
      </c>
      <c r="J1304" s="19"/>
      <c r="K1304" s="19">
        <f t="shared" si="473"/>
        <v>50</v>
      </c>
      <c r="M1304" s="19"/>
      <c r="N1304" s="19"/>
      <c r="O1304" s="87">
        <f t="shared" si="474"/>
        <v>0</v>
      </c>
      <c r="Q1304" s="274">
        <f t="shared" si="470"/>
        <v>50</v>
      </c>
      <c r="R1304" s="87">
        <f t="shared" si="471"/>
        <v>0</v>
      </c>
      <c r="S1304" s="87">
        <f t="shared" si="471"/>
        <v>50</v>
      </c>
    </row>
    <row r="1305" spans="2:19" x14ac:dyDescent="0.2">
      <c r="B1305" s="83">
        <f t="shared" si="475"/>
        <v>709</v>
      </c>
      <c r="C1305" s="3"/>
      <c r="D1305" s="3"/>
      <c r="E1305" s="3"/>
      <c r="F1305" s="26" t="s">
        <v>80</v>
      </c>
      <c r="G1305" s="3">
        <v>632</v>
      </c>
      <c r="H1305" s="3" t="s">
        <v>146</v>
      </c>
      <c r="I1305" s="19">
        <v>1200</v>
      </c>
      <c r="J1305" s="19"/>
      <c r="K1305" s="19">
        <f t="shared" si="473"/>
        <v>1200</v>
      </c>
      <c r="M1305" s="19"/>
      <c r="N1305" s="19"/>
      <c r="O1305" s="87">
        <f t="shared" si="474"/>
        <v>0</v>
      </c>
      <c r="Q1305" s="274">
        <f t="shared" si="470"/>
        <v>1200</v>
      </c>
      <c r="R1305" s="87">
        <f t="shared" si="471"/>
        <v>0</v>
      </c>
      <c r="S1305" s="87">
        <f t="shared" si="471"/>
        <v>1200</v>
      </c>
    </row>
    <row r="1306" spans="2:19" x14ac:dyDescent="0.2">
      <c r="B1306" s="83">
        <f t="shared" si="475"/>
        <v>710</v>
      </c>
      <c r="C1306" s="3"/>
      <c r="D1306" s="3"/>
      <c r="E1306" s="3"/>
      <c r="F1306" s="26" t="s">
        <v>80</v>
      </c>
      <c r="G1306" s="3">
        <v>633</v>
      </c>
      <c r="H1306" s="3" t="s">
        <v>137</v>
      </c>
      <c r="I1306" s="19">
        <v>2900</v>
      </c>
      <c r="J1306" s="19"/>
      <c r="K1306" s="19">
        <f t="shared" si="473"/>
        <v>2900</v>
      </c>
      <c r="M1306" s="19"/>
      <c r="N1306" s="19"/>
      <c r="O1306" s="87">
        <f t="shared" si="474"/>
        <v>0</v>
      </c>
      <c r="Q1306" s="274">
        <f t="shared" si="470"/>
        <v>2900</v>
      </c>
      <c r="R1306" s="87">
        <f t="shared" si="471"/>
        <v>0</v>
      </c>
      <c r="S1306" s="87">
        <f t="shared" si="471"/>
        <v>2900</v>
      </c>
    </row>
    <row r="1307" spans="2:19" x14ac:dyDescent="0.2">
      <c r="B1307" s="83">
        <f>B1306+1</f>
        <v>711</v>
      </c>
      <c r="C1307" s="3"/>
      <c r="D1307" s="3"/>
      <c r="E1307" s="3"/>
      <c r="F1307" s="26" t="s">
        <v>80</v>
      </c>
      <c r="G1307" s="3">
        <v>634</v>
      </c>
      <c r="H1307" s="3" t="s">
        <v>144</v>
      </c>
      <c r="I1307" s="19">
        <v>4150</v>
      </c>
      <c r="J1307" s="19"/>
      <c r="K1307" s="19">
        <f t="shared" si="473"/>
        <v>4150</v>
      </c>
      <c r="M1307" s="19"/>
      <c r="N1307" s="19"/>
      <c r="O1307" s="87">
        <f t="shared" si="474"/>
        <v>0</v>
      </c>
      <c r="Q1307" s="274">
        <f t="shared" si="470"/>
        <v>4150</v>
      </c>
      <c r="R1307" s="87">
        <f t="shared" si="471"/>
        <v>0</v>
      </c>
      <c r="S1307" s="87">
        <f t="shared" si="471"/>
        <v>4150</v>
      </c>
    </row>
    <row r="1308" spans="2:19" x14ac:dyDescent="0.2">
      <c r="B1308" s="83">
        <f>B1307+1</f>
        <v>712</v>
      </c>
      <c r="C1308" s="3"/>
      <c r="D1308" s="3"/>
      <c r="E1308" s="3"/>
      <c r="F1308" s="26" t="s">
        <v>80</v>
      </c>
      <c r="G1308" s="3">
        <v>636</v>
      </c>
      <c r="H1308" s="3" t="s">
        <v>138</v>
      </c>
      <c r="I1308" s="19">
        <v>2780</v>
      </c>
      <c r="J1308" s="19"/>
      <c r="K1308" s="19">
        <f t="shared" si="473"/>
        <v>2780</v>
      </c>
      <c r="M1308" s="19"/>
      <c r="N1308" s="19"/>
      <c r="O1308" s="87">
        <f t="shared" si="474"/>
        <v>0</v>
      </c>
      <c r="Q1308" s="274">
        <f t="shared" si="470"/>
        <v>2780</v>
      </c>
      <c r="R1308" s="87">
        <f t="shared" si="471"/>
        <v>0</v>
      </c>
      <c r="S1308" s="87">
        <f t="shared" si="471"/>
        <v>2780</v>
      </c>
    </row>
    <row r="1309" spans="2:19" x14ac:dyDescent="0.2">
      <c r="B1309" s="83">
        <f>B1308+1</f>
        <v>713</v>
      </c>
      <c r="C1309" s="3"/>
      <c r="D1309" s="3"/>
      <c r="E1309" s="3"/>
      <c r="F1309" s="26" t="s">
        <v>80</v>
      </c>
      <c r="G1309" s="3">
        <v>637</v>
      </c>
      <c r="H1309" s="3" t="s">
        <v>134</v>
      </c>
      <c r="I1309" s="19">
        <v>27967</v>
      </c>
      <c r="J1309" s="19"/>
      <c r="K1309" s="19">
        <f t="shared" si="473"/>
        <v>27967</v>
      </c>
      <c r="M1309" s="19"/>
      <c r="N1309" s="19"/>
      <c r="O1309" s="87">
        <f t="shared" si="474"/>
        <v>0</v>
      </c>
      <c r="Q1309" s="274">
        <f t="shared" si="470"/>
        <v>27967</v>
      </c>
      <c r="R1309" s="87">
        <f t="shared" si="471"/>
        <v>0</v>
      </c>
      <c r="S1309" s="87">
        <f t="shared" si="471"/>
        <v>27967</v>
      </c>
    </row>
    <row r="1310" spans="2:19" ht="13.5" thickBot="1" x14ac:dyDescent="0.25">
      <c r="B1310" s="89">
        <f>B1309+1</f>
        <v>714</v>
      </c>
      <c r="C1310" s="116"/>
      <c r="D1310" s="116"/>
      <c r="E1310" s="116"/>
      <c r="F1310" s="117" t="s">
        <v>80</v>
      </c>
      <c r="G1310" s="116">
        <v>640</v>
      </c>
      <c r="H1310" s="116" t="s">
        <v>141</v>
      </c>
      <c r="I1310" s="118">
        <v>3903</v>
      </c>
      <c r="J1310" s="118"/>
      <c r="K1310" s="118">
        <f t="shared" si="473"/>
        <v>3903</v>
      </c>
      <c r="L1310" s="270"/>
      <c r="M1310" s="118"/>
      <c r="N1310" s="118"/>
      <c r="O1310" s="119">
        <f t="shared" si="474"/>
        <v>0</v>
      </c>
      <c r="Q1310" s="321">
        <f t="shared" si="470"/>
        <v>3903</v>
      </c>
      <c r="R1310" s="119">
        <f t="shared" si="471"/>
        <v>0</v>
      </c>
      <c r="S1310" s="119">
        <f t="shared" si="471"/>
        <v>3903</v>
      </c>
    </row>
    <row r="1356" spans="2:19" ht="27.75" thickBot="1" x14ac:dyDescent="0.4">
      <c r="B1356" s="352" t="s">
        <v>1</v>
      </c>
      <c r="C1356" s="353"/>
      <c r="D1356" s="353"/>
      <c r="E1356" s="353"/>
      <c r="F1356" s="353"/>
      <c r="G1356" s="353"/>
      <c r="H1356" s="353"/>
      <c r="I1356" s="353"/>
      <c r="J1356" s="353"/>
      <c r="K1356" s="353"/>
      <c r="L1356" s="353"/>
      <c r="M1356" s="353"/>
      <c r="N1356" s="353"/>
      <c r="O1356" s="353"/>
      <c r="P1356" s="353"/>
      <c r="Q1356" s="353"/>
    </row>
    <row r="1357" spans="2:19" ht="13.5" customHeight="1" thickBot="1" x14ac:dyDescent="0.25">
      <c r="B1357" s="378" t="s">
        <v>364</v>
      </c>
      <c r="C1357" s="379"/>
      <c r="D1357" s="379"/>
      <c r="E1357" s="379"/>
      <c r="F1357" s="379"/>
      <c r="G1357" s="379"/>
      <c r="H1357" s="379"/>
      <c r="I1357" s="379"/>
      <c r="J1357" s="379"/>
      <c r="K1357" s="379"/>
      <c r="L1357" s="379"/>
      <c r="M1357" s="379"/>
      <c r="N1357" s="379"/>
      <c r="O1357" s="380"/>
      <c r="P1357" s="271"/>
      <c r="Q1357" s="354" t="s">
        <v>571</v>
      </c>
      <c r="R1357" s="392" t="s">
        <v>565</v>
      </c>
      <c r="S1357" s="395" t="s">
        <v>569</v>
      </c>
    </row>
    <row r="1358" spans="2:19" ht="13.5" customHeight="1" thickBot="1" x14ac:dyDescent="0.25">
      <c r="B1358" s="366"/>
      <c r="C1358" s="357" t="s">
        <v>126</v>
      </c>
      <c r="D1358" s="357" t="s">
        <v>127</v>
      </c>
      <c r="E1358" s="357"/>
      <c r="F1358" s="357" t="s">
        <v>128</v>
      </c>
      <c r="G1358" s="371" t="s">
        <v>129</v>
      </c>
      <c r="H1358" s="374" t="s">
        <v>130</v>
      </c>
      <c r="I1358" s="363" t="s">
        <v>566</v>
      </c>
      <c r="J1358" s="377" t="s">
        <v>565</v>
      </c>
      <c r="K1358" s="376" t="s">
        <v>567</v>
      </c>
      <c r="M1358" s="363" t="s">
        <v>568</v>
      </c>
      <c r="N1358" s="377" t="s">
        <v>565</v>
      </c>
      <c r="O1358" s="376" t="s">
        <v>570</v>
      </c>
      <c r="Q1358" s="355"/>
      <c r="R1358" s="393"/>
      <c r="S1358" s="396"/>
    </row>
    <row r="1359" spans="2:19" ht="13.5" thickBot="1" x14ac:dyDescent="0.25">
      <c r="B1359" s="367"/>
      <c r="C1359" s="358"/>
      <c r="D1359" s="358"/>
      <c r="E1359" s="358"/>
      <c r="F1359" s="358"/>
      <c r="G1359" s="372"/>
      <c r="H1359" s="375"/>
      <c r="I1359" s="363"/>
      <c r="J1359" s="377"/>
      <c r="K1359" s="376"/>
      <c r="M1359" s="363"/>
      <c r="N1359" s="377"/>
      <c r="O1359" s="376"/>
      <c r="Q1359" s="355"/>
      <c r="R1359" s="393"/>
      <c r="S1359" s="396"/>
    </row>
    <row r="1360" spans="2:19" ht="13.5" thickBot="1" x14ac:dyDescent="0.25">
      <c r="B1360" s="367"/>
      <c r="C1360" s="358"/>
      <c r="D1360" s="358"/>
      <c r="E1360" s="358"/>
      <c r="F1360" s="358"/>
      <c r="G1360" s="372"/>
      <c r="H1360" s="375"/>
      <c r="I1360" s="363"/>
      <c r="J1360" s="377"/>
      <c r="K1360" s="376"/>
      <c r="M1360" s="363"/>
      <c r="N1360" s="377"/>
      <c r="O1360" s="376"/>
      <c r="Q1360" s="355"/>
      <c r="R1360" s="393"/>
      <c r="S1360" s="396"/>
    </row>
    <row r="1361" spans="2:19" ht="13.5" thickBot="1" x14ac:dyDescent="0.25">
      <c r="B1361" s="367"/>
      <c r="C1361" s="359"/>
      <c r="D1361" s="359"/>
      <c r="E1361" s="359"/>
      <c r="F1361" s="359"/>
      <c r="G1361" s="373"/>
      <c r="H1361" s="375"/>
      <c r="I1361" s="363"/>
      <c r="J1361" s="377"/>
      <c r="K1361" s="376"/>
      <c r="M1361" s="363"/>
      <c r="N1361" s="377"/>
      <c r="O1361" s="376"/>
      <c r="Q1361" s="356"/>
      <c r="R1361" s="394"/>
      <c r="S1361" s="397"/>
    </row>
    <row r="1362" spans="2:19" ht="16.5" thickTop="1" x14ac:dyDescent="0.2">
      <c r="B1362" s="83">
        <f t="shared" ref="B1362:B1425" si="476">B1361+1</f>
        <v>1</v>
      </c>
      <c r="C1362" s="385" t="s">
        <v>1</v>
      </c>
      <c r="D1362" s="390"/>
      <c r="E1362" s="390"/>
      <c r="F1362" s="390"/>
      <c r="G1362" s="390"/>
      <c r="H1362" s="391"/>
      <c r="I1362" s="35">
        <f>I1441+I1381+I1367+I1363</f>
        <v>2153041</v>
      </c>
      <c r="J1362" s="35">
        <f t="shared" ref="J1362" si="477">J1441+J1381+J1367+J1363</f>
        <v>0</v>
      </c>
      <c r="K1362" s="35">
        <f>I1362+J1362</f>
        <v>2153041</v>
      </c>
      <c r="M1362" s="35">
        <f>M1363+M1367+M1381+M1441</f>
        <v>1217495</v>
      </c>
      <c r="N1362" s="35">
        <f t="shared" ref="N1362" si="478">N1363+N1367+N1381+N1441</f>
        <v>0</v>
      </c>
      <c r="O1362" s="93">
        <f>M1362+N1362</f>
        <v>1217495</v>
      </c>
      <c r="Q1362" s="290">
        <f t="shared" ref="Q1362:Q1393" si="479">I1362+M1362</f>
        <v>3370536</v>
      </c>
      <c r="R1362" s="35">
        <f t="shared" ref="R1362:S1377" si="480">J1362+N1362</f>
        <v>0</v>
      </c>
      <c r="S1362" s="93">
        <f t="shared" si="480"/>
        <v>3370536</v>
      </c>
    </row>
    <row r="1363" spans="2:19" ht="15" x14ac:dyDescent="0.2">
      <c r="B1363" s="83">
        <f t="shared" si="476"/>
        <v>2</v>
      </c>
      <c r="C1363" s="268">
        <v>1</v>
      </c>
      <c r="D1363" s="360" t="s">
        <v>242</v>
      </c>
      <c r="E1363" s="361"/>
      <c r="F1363" s="361"/>
      <c r="G1363" s="361"/>
      <c r="H1363" s="362"/>
      <c r="I1363" s="36">
        <f>I1364</f>
        <v>3800</v>
      </c>
      <c r="J1363" s="36">
        <f t="shared" ref="J1363" si="481">J1364</f>
        <v>0</v>
      </c>
      <c r="K1363" s="36">
        <f t="shared" ref="K1363:K1426" si="482">I1363+J1363</f>
        <v>3800</v>
      </c>
      <c r="M1363" s="36">
        <v>0</v>
      </c>
      <c r="N1363" s="36">
        <v>0</v>
      </c>
      <c r="O1363" s="84">
        <f t="shared" ref="O1363:O1426" si="483">M1363+N1363</f>
        <v>0</v>
      </c>
      <c r="Q1363" s="291">
        <f t="shared" si="479"/>
        <v>3800</v>
      </c>
      <c r="R1363" s="36">
        <f t="shared" si="480"/>
        <v>0</v>
      </c>
      <c r="S1363" s="84">
        <f t="shared" si="480"/>
        <v>3800</v>
      </c>
    </row>
    <row r="1364" spans="2:19" x14ac:dyDescent="0.2">
      <c r="B1364" s="83">
        <f t="shared" si="476"/>
        <v>3</v>
      </c>
      <c r="C1364" s="7"/>
      <c r="D1364" s="7"/>
      <c r="E1364" s="7"/>
      <c r="F1364" s="25" t="s">
        <v>193</v>
      </c>
      <c r="G1364" s="7">
        <v>630</v>
      </c>
      <c r="H1364" s="7" t="s">
        <v>133</v>
      </c>
      <c r="I1364" s="23">
        <f>I1366+I1365</f>
        <v>3800</v>
      </c>
      <c r="J1364" s="23">
        <f t="shared" ref="J1364" si="484">J1366+J1365</f>
        <v>0</v>
      </c>
      <c r="K1364" s="23">
        <f t="shared" si="482"/>
        <v>3800</v>
      </c>
      <c r="M1364" s="23"/>
      <c r="N1364" s="23"/>
      <c r="O1364" s="86">
        <f t="shared" si="483"/>
        <v>0</v>
      </c>
      <c r="Q1364" s="293">
        <f t="shared" si="479"/>
        <v>3800</v>
      </c>
      <c r="R1364" s="23">
        <f t="shared" si="480"/>
        <v>0</v>
      </c>
      <c r="S1364" s="86">
        <f t="shared" si="480"/>
        <v>3800</v>
      </c>
    </row>
    <row r="1365" spans="2:19" x14ac:dyDescent="0.2">
      <c r="B1365" s="83">
        <f t="shared" si="476"/>
        <v>4</v>
      </c>
      <c r="C1365" s="3"/>
      <c r="D1365" s="3"/>
      <c r="E1365" s="3"/>
      <c r="F1365" s="26" t="s">
        <v>193</v>
      </c>
      <c r="G1365" s="3">
        <v>633</v>
      </c>
      <c r="H1365" s="3" t="s">
        <v>137</v>
      </c>
      <c r="I1365" s="19">
        <v>2300</v>
      </c>
      <c r="J1365" s="19"/>
      <c r="K1365" s="19">
        <f t="shared" si="482"/>
        <v>2300</v>
      </c>
      <c r="M1365" s="19"/>
      <c r="N1365" s="19"/>
      <c r="O1365" s="87">
        <f t="shared" si="483"/>
        <v>0</v>
      </c>
      <c r="Q1365" s="294">
        <f t="shared" si="479"/>
        <v>2300</v>
      </c>
      <c r="R1365" s="19">
        <f t="shared" si="480"/>
        <v>0</v>
      </c>
      <c r="S1365" s="87">
        <f t="shared" si="480"/>
        <v>2300</v>
      </c>
    </row>
    <row r="1366" spans="2:19" x14ac:dyDescent="0.2">
      <c r="B1366" s="83">
        <f t="shared" si="476"/>
        <v>5</v>
      </c>
      <c r="C1366" s="3"/>
      <c r="D1366" s="3"/>
      <c r="E1366" s="3"/>
      <c r="F1366" s="26" t="s">
        <v>193</v>
      </c>
      <c r="G1366" s="3">
        <v>637</v>
      </c>
      <c r="H1366" s="3" t="s">
        <v>134</v>
      </c>
      <c r="I1366" s="19">
        <v>1500</v>
      </c>
      <c r="J1366" s="19"/>
      <c r="K1366" s="19">
        <f t="shared" si="482"/>
        <v>1500</v>
      </c>
      <c r="M1366" s="19"/>
      <c r="N1366" s="19"/>
      <c r="O1366" s="87">
        <f t="shared" si="483"/>
        <v>0</v>
      </c>
      <c r="Q1366" s="294">
        <f t="shared" si="479"/>
        <v>1500</v>
      </c>
      <c r="R1366" s="19">
        <f t="shared" si="480"/>
        <v>0</v>
      </c>
      <c r="S1366" s="87">
        <f t="shared" si="480"/>
        <v>1500</v>
      </c>
    </row>
    <row r="1367" spans="2:19" ht="15" x14ac:dyDescent="0.2">
      <c r="B1367" s="83">
        <f t="shared" si="476"/>
        <v>6</v>
      </c>
      <c r="C1367" s="268">
        <v>2</v>
      </c>
      <c r="D1367" s="360" t="s">
        <v>20</v>
      </c>
      <c r="E1367" s="361"/>
      <c r="F1367" s="361"/>
      <c r="G1367" s="361"/>
      <c r="H1367" s="362"/>
      <c r="I1367" s="36">
        <f>I1368</f>
        <v>601951</v>
      </c>
      <c r="J1367" s="36">
        <f t="shared" ref="J1367" si="485">J1368</f>
        <v>0</v>
      </c>
      <c r="K1367" s="36">
        <f t="shared" si="482"/>
        <v>601951</v>
      </c>
      <c r="M1367" s="36">
        <v>0</v>
      </c>
      <c r="N1367" s="36">
        <v>0</v>
      </c>
      <c r="O1367" s="84">
        <f t="shared" si="483"/>
        <v>0</v>
      </c>
      <c r="Q1367" s="291">
        <f t="shared" si="479"/>
        <v>601951</v>
      </c>
      <c r="R1367" s="36">
        <f t="shared" si="480"/>
        <v>0</v>
      </c>
      <c r="S1367" s="84">
        <f t="shared" si="480"/>
        <v>601951</v>
      </c>
    </row>
    <row r="1368" spans="2:19" x14ac:dyDescent="0.2">
      <c r="B1368" s="83">
        <f t="shared" si="476"/>
        <v>7</v>
      </c>
      <c r="C1368" s="7"/>
      <c r="D1368" s="7"/>
      <c r="E1368" s="7"/>
      <c r="F1368" s="25" t="s">
        <v>193</v>
      </c>
      <c r="G1368" s="7">
        <v>640</v>
      </c>
      <c r="H1368" s="7" t="s">
        <v>141</v>
      </c>
      <c r="I1368" s="23">
        <f>SUM(I1369:I1380)</f>
        <v>601951</v>
      </c>
      <c r="J1368" s="23">
        <f t="shared" ref="J1368" si="486">SUM(J1369:J1380)</f>
        <v>0</v>
      </c>
      <c r="K1368" s="23">
        <f t="shared" si="482"/>
        <v>601951</v>
      </c>
      <c r="M1368" s="23"/>
      <c r="N1368" s="23"/>
      <c r="O1368" s="86">
        <f t="shared" si="483"/>
        <v>0</v>
      </c>
      <c r="Q1368" s="293">
        <f t="shared" si="479"/>
        <v>601951</v>
      </c>
      <c r="R1368" s="23">
        <f t="shared" si="480"/>
        <v>0</v>
      </c>
      <c r="S1368" s="86">
        <f t="shared" si="480"/>
        <v>601951</v>
      </c>
    </row>
    <row r="1369" spans="2:19" x14ac:dyDescent="0.2">
      <c r="B1369" s="83">
        <f t="shared" si="476"/>
        <v>8</v>
      </c>
      <c r="C1369" s="4"/>
      <c r="D1369" s="4"/>
      <c r="E1369" s="4"/>
      <c r="F1369" s="27"/>
      <c r="G1369" s="4"/>
      <c r="H1369" s="4" t="s">
        <v>194</v>
      </c>
      <c r="I1369" s="22">
        <v>50000</v>
      </c>
      <c r="J1369" s="22"/>
      <c r="K1369" s="22">
        <f t="shared" si="482"/>
        <v>50000</v>
      </c>
      <c r="M1369" s="21"/>
      <c r="N1369" s="21"/>
      <c r="O1369" s="88">
        <f t="shared" si="483"/>
        <v>0</v>
      </c>
      <c r="Q1369" s="308">
        <f t="shared" si="479"/>
        <v>50000</v>
      </c>
      <c r="R1369" s="21">
        <f t="shared" si="480"/>
        <v>0</v>
      </c>
      <c r="S1369" s="88">
        <f t="shared" si="480"/>
        <v>50000</v>
      </c>
    </row>
    <row r="1370" spans="2:19" x14ac:dyDescent="0.2">
      <c r="B1370" s="83">
        <f t="shared" si="476"/>
        <v>9</v>
      </c>
      <c r="C1370" s="4"/>
      <c r="D1370" s="4"/>
      <c r="E1370" s="4"/>
      <c r="F1370" s="27"/>
      <c r="G1370" s="4"/>
      <c r="H1370" s="4" t="s">
        <v>22</v>
      </c>
      <c r="I1370" s="22">
        <v>10000</v>
      </c>
      <c r="J1370" s="22"/>
      <c r="K1370" s="22">
        <f t="shared" si="482"/>
        <v>10000</v>
      </c>
      <c r="M1370" s="21"/>
      <c r="N1370" s="21"/>
      <c r="O1370" s="88">
        <f t="shared" si="483"/>
        <v>0</v>
      </c>
      <c r="Q1370" s="308">
        <f t="shared" si="479"/>
        <v>10000</v>
      </c>
      <c r="R1370" s="21">
        <f t="shared" si="480"/>
        <v>0</v>
      </c>
      <c r="S1370" s="88">
        <f t="shared" si="480"/>
        <v>10000</v>
      </c>
    </row>
    <row r="1371" spans="2:19" x14ac:dyDescent="0.2">
      <c r="B1371" s="83">
        <f t="shared" si="476"/>
        <v>10</v>
      </c>
      <c r="C1371" s="4"/>
      <c r="D1371" s="4"/>
      <c r="E1371" s="4"/>
      <c r="F1371" s="27"/>
      <c r="G1371" s="4"/>
      <c r="H1371" s="4" t="s">
        <v>21</v>
      </c>
      <c r="I1371" s="22">
        <v>20000</v>
      </c>
      <c r="J1371" s="22"/>
      <c r="K1371" s="22">
        <f t="shared" si="482"/>
        <v>20000</v>
      </c>
      <c r="M1371" s="21"/>
      <c r="N1371" s="21"/>
      <c r="O1371" s="88">
        <f t="shared" si="483"/>
        <v>0</v>
      </c>
      <c r="Q1371" s="308">
        <f t="shared" si="479"/>
        <v>20000</v>
      </c>
      <c r="R1371" s="21">
        <f t="shared" si="480"/>
        <v>0</v>
      </c>
      <c r="S1371" s="88">
        <f t="shared" si="480"/>
        <v>20000</v>
      </c>
    </row>
    <row r="1372" spans="2:19" x14ac:dyDescent="0.2">
      <c r="B1372" s="83">
        <f t="shared" si="476"/>
        <v>11</v>
      </c>
      <c r="C1372" s="4"/>
      <c r="D1372" s="4"/>
      <c r="E1372" s="4"/>
      <c r="F1372" s="27"/>
      <c r="G1372" s="4"/>
      <c r="H1372" s="4" t="s">
        <v>347</v>
      </c>
      <c r="I1372" s="22">
        <v>2500</v>
      </c>
      <c r="J1372" s="22"/>
      <c r="K1372" s="22">
        <f t="shared" si="482"/>
        <v>2500</v>
      </c>
      <c r="M1372" s="21"/>
      <c r="N1372" s="21"/>
      <c r="O1372" s="88">
        <f t="shared" si="483"/>
        <v>0</v>
      </c>
      <c r="Q1372" s="308">
        <f t="shared" si="479"/>
        <v>2500</v>
      </c>
      <c r="R1372" s="21">
        <f t="shared" si="480"/>
        <v>0</v>
      </c>
      <c r="S1372" s="88">
        <f t="shared" si="480"/>
        <v>2500</v>
      </c>
    </row>
    <row r="1373" spans="2:19" x14ac:dyDescent="0.2">
      <c r="B1373" s="83">
        <f t="shared" si="476"/>
        <v>12</v>
      </c>
      <c r="C1373" s="4"/>
      <c r="D1373" s="4"/>
      <c r="E1373" s="4"/>
      <c r="F1373" s="27"/>
      <c r="G1373" s="4"/>
      <c r="H1373" s="4" t="s">
        <v>0</v>
      </c>
      <c r="I1373" s="22">
        <v>100000</v>
      </c>
      <c r="J1373" s="22"/>
      <c r="K1373" s="22">
        <f t="shared" si="482"/>
        <v>100000</v>
      </c>
      <c r="M1373" s="21"/>
      <c r="N1373" s="21"/>
      <c r="O1373" s="88">
        <f t="shared" si="483"/>
        <v>0</v>
      </c>
      <c r="Q1373" s="308">
        <f t="shared" si="479"/>
        <v>100000</v>
      </c>
      <c r="R1373" s="21">
        <f t="shared" si="480"/>
        <v>0</v>
      </c>
      <c r="S1373" s="88">
        <f t="shared" si="480"/>
        <v>100000</v>
      </c>
    </row>
    <row r="1374" spans="2:19" ht="22.5" x14ac:dyDescent="0.2">
      <c r="B1374" s="111">
        <f t="shared" si="476"/>
        <v>13</v>
      </c>
      <c r="C1374" s="155"/>
      <c r="D1374" s="155"/>
      <c r="E1374" s="155"/>
      <c r="F1374" s="156"/>
      <c r="G1374" s="155"/>
      <c r="H1374" s="183" t="s">
        <v>341</v>
      </c>
      <c r="I1374" s="184">
        <v>204342</v>
      </c>
      <c r="J1374" s="184"/>
      <c r="K1374" s="184">
        <f t="shared" si="482"/>
        <v>204342</v>
      </c>
      <c r="M1374" s="157"/>
      <c r="N1374" s="157"/>
      <c r="O1374" s="158">
        <f t="shared" si="483"/>
        <v>0</v>
      </c>
      <c r="Q1374" s="309">
        <f t="shared" si="479"/>
        <v>204342</v>
      </c>
      <c r="R1374" s="157">
        <f t="shared" si="480"/>
        <v>0</v>
      </c>
      <c r="S1374" s="158">
        <f t="shared" si="480"/>
        <v>204342</v>
      </c>
    </row>
    <row r="1375" spans="2:19" ht="22.5" x14ac:dyDescent="0.2">
      <c r="B1375" s="111">
        <f t="shared" si="476"/>
        <v>14</v>
      </c>
      <c r="C1375" s="155"/>
      <c r="D1375" s="155"/>
      <c r="E1375" s="155"/>
      <c r="F1375" s="156"/>
      <c r="G1375" s="155"/>
      <c r="H1375" s="183" t="s">
        <v>340</v>
      </c>
      <c r="I1375" s="184">
        <v>122923</v>
      </c>
      <c r="J1375" s="184"/>
      <c r="K1375" s="184">
        <f t="shared" si="482"/>
        <v>122923</v>
      </c>
      <c r="M1375" s="157"/>
      <c r="N1375" s="157"/>
      <c r="O1375" s="158">
        <f t="shared" si="483"/>
        <v>0</v>
      </c>
      <c r="Q1375" s="309">
        <f t="shared" si="479"/>
        <v>122923</v>
      </c>
      <c r="R1375" s="157">
        <f t="shared" si="480"/>
        <v>0</v>
      </c>
      <c r="S1375" s="158">
        <f t="shared" si="480"/>
        <v>122923</v>
      </c>
    </row>
    <row r="1376" spans="2:19" ht="22.5" x14ac:dyDescent="0.2">
      <c r="B1376" s="111">
        <f t="shared" si="476"/>
        <v>15</v>
      </c>
      <c r="C1376" s="155"/>
      <c r="D1376" s="155"/>
      <c r="E1376" s="155"/>
      <c r="F1376" s="156"/>
      <c r="G1376" s="155"/>
      <c r="H1376" s="183" t="s">
        <v>342</v>
      </c>
      <c r="I1376" s="184">
        <v>28100</v>
      </c>
      <c r="J1376" s="184"/>
      <c r="K1376" s="184">
        <f t="shared" si="482"/>
        <v>28100</v>
      </c>
      <c r="M1376" s="157"/>
      <c r="N1376" s="157"/>
      <c r="O1376" s="158">
        <f t="shared" si="483"/>
        <v>0</v>
      </c>
      <c r="Q1376" s="309">
        <f t="shared" si="479"/>
        <v>28100</v>
      </c>
      <c r="R1376" s="157">
        <f t="shared" si="480"/>
        <v>0</v>
      </c>
      <c r="S1376" s="158">
        <f t="shared" si="480"/>
        <v>28100</v>
      </c>
    </row>
    <row r="1377" spans="2:19" ht="22.5" x14ac:dyDescent="0.2">
      <c r="B1377" s="111">
        <f t="shared" si="476"/>
        <v>16</v>
      </c>
      <c r="C1377" s="155"/>
      <c r="D1377" s="155"/>
      <c r="E1377" s="155"/>
      <c r="F1377" s="156"/>
      <c r="G1377" s="155"/>
      <c r="H1377" s="183" t="s">
        <v>343</v>
      </c>
      <c r="I1377" s="184">
        <v>51086</v>
      </c>
      <c r="J1377" s="184"/>
      <c r="K1377" s="184">
        <f t="shared" si="482"/>
        <v>51086</v>
      </c>
      <c r="M1377" s="157"/>
      <c r="N1377" s="157"/>
      <c r="O1377" s="158">
        <f t="shared" si="483"/>
        <v>0</v>
      </c>
      <c r="Q1377" s="309">
        <f t="shared" si="479"/>
        <v>51086</v>
      </c>
      <c r="R1377" s="157">
        <f t="shared" si="480"/>
        <v>0</v>
      </c>
      <c r="S1377" s="158">
        <f t="shared" si="480"/>
        <v>51086</v>
      </c>
    </row>
    <row r="1378" spans="2:19" x14ac:dyDescent="0.2">
      <c r="B1378" s="83">
        <f t="shared" si="476"/>
        <v>17</v>
      </c>
      <c r="C1378" s="4"/>
      <c r="D1378" s="4"/>
      <c r="E1378" s="4"/>
      <c r="F1378" s="27"/>
      <c r="G1378" s="4"/>
      <c r="H1378" s="34" t="s">
        <v>344</v>
      </c>
      <c r="I1378" s="22">
        <v>5000</v>
      </c>
      <c r="J1378" s="22"/>
      <c r="K1378" s="22">
        <f t="shared" si="482"/>
        <v>5000</v>
      </c>
      <c r="M1378" s="21"/>
      <c r="N1378" s="21"/>
      <c r="O1378" s="88">
        <f t="shared" si="483"/>
        <v>0</v>
      </c>
      <c r="Q1378" s="308">
        <f t="shared" si="479"/>
        <v>5000</v>
      </c>
      <c r="R1378" s="21">
        <f t="shared" ref="R1378:S1393" si="487">J1378+N1378</f>
        <v>0</v>
      </c>
      <c r="S1378" s="88">
        <f t="shared" si="487"/>
        <v>5000</v>
      </c>
    </row>
    <row r="1379" spans="2:19" x14ac:dyDescent="0.2">
      <c r="B1379" s="83">
        <f t="shared" si="476"/>
        <v>18</v>
      </c>
      <c r="C1379" s="4"/>
      <c r="D1379" s="4"/>
      <c r="E1379" s="4"/>
      <c r="F1379" s="27"/>
      <c r="G1379" s="4"/>
      <c r="H1379" s="34" t="s">
        <v>345</v>
      </c>
      <c r="I1379" s="22">
        <v>5000</v>
      </c>
      <c r="J1379" s="22"/>
      <c r="K1379" s="22">
        <f t="shared" si="482"/>
        <v>5000</v>
      </c>
      <c r="M1379" s="21"/>
      <c r="N1379" s="21"/>
      <c r="O1379" s="88">
        <f t="shared" si="483"/>
        <v>0</v>
      </c>
      <c r="Q1379" s="308">
        <f t="shared" si="479"/>
        <v>5000</v>
      </c>
      <c r="R1379" s="21">
        <f t="shared" si="487"/>
        <v>0</v>
      </c>
      <c r="S1379" s="88">
        <f t="shared" si="487"/>
        <v>5000</v>
      </c>
    </row>
    <row r="1380" spans="2:19" x14ac:dyDescent="0.2">
      <c r="B1380" s="83">
        <f t="shared" si="476"/>
        <v>19</v>
      </c>
      <c r="C1380" s="4"/>
      <c r="D1380" s="4"/>
      <c r="E1380" s="4"/>
      <c r="F1380" s="27"/>
      <c r="G1380" s="4"/>
      <c r="H1380" s="34" t="s">
        <v>346</v>
      </c>
      <c r="I1380" s="22">
        <v>3000</v>
      </c>
      <c r="J1380" s="22"/>
      <c r="K1380" s="22">
        <f t="shared" si="482"/>
        <v>3000</v>
      </c>
      <c r="M1380" s="21"/>
      <c r="N1380" s="21"/>
      <c r="O1380" s="88">
        <f t="shared" si="483"/>
        <v>0</v>
      </c>
      <c r="Q1380" s="308">
        <f t="shared" si="479"/>
        <v>3000</v>
      </c>
      <c r="R1380" s="21">
        <f t="shared" si="487"/>
        <v>0</v>
      </c>
      <c r="S1380" s="88">
        <f t="shared" si="487"/>
        <v>3000</v>
      </c>
    </row>
    <row r="1381" spans="2:19" ht="15" x14ac:dyDescent="0.2">
      <c r="B1381" s="83">
        <f t="shared" si="476"/>
        <v>20</v>
      </c>
      <c r="C1381" s="268">
        <v>3</v>
      </c>
      <c r="D1381" s="360" t="s">
        <v>214</v>
      </c>
      <c r="E1381" s="361"/>
      <c r="F1381" s="361"/>
      <c r="G1381" s="361"/>
      <c r="H1381" s="362"/>
      <c r="I1381" s="36">
        <f>I1431+I1412+I1396+I1386+I1382</f>
        <v>1480000</v>
      </c>
      <c r="J1381" s="36">
        <f t="shared" ref="J1381" si="488">J1431+J1412+J1396+J1386+J1382</f>
        <v>0</v>
      </c>
      <c r="K1381" s="36">
        <f t="shared" si="482"/>
        <v>1480000</v>
      </c>
      <c r="M1381" s="36">
        <f>M1382+M1386+M1396+M1412+M1431</f>
        <v>749255</v>
      </c>
      <c r="N1381" s="36">
        <f t="shared" ref="N1381" si="489">N1382+N1386+N1396+N1412+N1431</f>
        <v>0</v>
      </c>
      <c r="O1381" s="84">
        <f t="shared" si="483"/>
        <v>749255</v>
      </c>
      <c r="Q1381" s="291">
        <f t="shared" si="479"/>
        <v>2229255</v>
      </c>
      <c r="R1381" s="36">
        <f t="shared" si="487"/>
        <v>0</v>
      </c>
      <c r="S1381" s="84">
        <f t="shared" si="487"/>
        <v>2229255</v>
      </c>
    </row>
    <row r="1382" spans="2:19" ht="15" x14ac:dyDescent="0.25">
      <c r="B1382" s="83">
        <f t="shared" si="476"/>
        <v>21</v>
      </c>
      <c r="C1382" s="267"/>
      <c r="D1382" s="267">
        <v>1</v>
      </c>
      <c r="E1382" s="368" t="s">
        <v>213</v>
      </c>
      <c r="F1382" s="361"/>
      <c r="G1382" s="361"/>
      <c r="H1382" s="362"/>
      <c r="I1382" s="37">
        <f>I1383</f>
        <v>160950</v>
      </c>
      <c r="J1382" s="37">
        <f t="shared" ref="J1382" si="490">J1383</f>
        <v>0</v>
      </c>
      <c r="K1382" s="37">
        <f t="shared" si="482"/>
        <v>160950</v>
      </c>
      <c r="M1382" s="37">
        <v>0</v>
      </c>
      <c r="N1382" s="37">
        <v>0</v>
      </c>
      <c r="O1382" s="85">
        <f t="shared" si="483"/>
        <v>0</v>
      </c>
      <c r="Q1382" s="292">
        <f t="shared" si="479"/>
        <v>160950</v>
      </c>
      <c r="R1382" s="37">
        <f t="shared" si="487"/>
        <v>0</v>
      </c>
      <c r="S1382" s="85">
        <f t="shared" si="487"/>
        <v>160950</v>
      </c>
    </row>
    <row r="1383" spans="2:19" x14ac:dyDescent="0.2">
      <c r="B1383" s="83">
        <f t="shared" si="476"/>
        <v>22</v>
      </c>
      <c r="C1383" s="7"/>
      <c r="D1383" s="7"/>
      <c r="E1383" s="7"/>
      <c r="F1383" s="25" t="s">
        <v>193</v>
      </c>
      <c r="G1383" s="7">
        <v>630</v>
      </c>
      <c r="H1383" s="7" t="s">
        <v>133</v>
      </c>
      <c r="I1383" s="23">
        <f>SUM(I1384:I1385)</f>
        <v>160950</v>
      </c>
      <c r="J1383" s="23">
        <f t="shared" ref="J1383" si="491">SUM(J1384:J1385)</f>
        <v>0</v>
      </c>
      <c r="K1383" s="23">
        <f t="shared" si="482"/>
        <v>160950</v>
      </c>
      <c r="M1383" s="23"/>
      <c r="N1383" s="23"/>
      <c r="O1383" s="86">
        <f t="shared" si="483"/>
        <v>0</v>
      </c>
      <c r="Q1383" s="293">
        <f t="shared" si="479"/>
        <v>160950</v>
      </c>
      <c r="R1383" s="23">
        <f t="shared" si="487"/>
        <v>0</v>
      </c>
      <c r="S1383" s="86">
        <f t="shared" si="487"/>
        <v>160950</v>
      </c>
    </row>
    <row r="1384" spans="2:19" x14ac:dyDescent="0.2">
      <c r="B1384" s="83">
        <f t="shared" si="476"/>
        <v>23</v>
      </c>
      <c r="C1384" s="3"/>
      <c r="D1384" s="3"/>
      <c r="E1384" s="3"/>
      <c r="F1384" s="26" t="s">
        <v>193</v>
      </c>
      <c r="G1384" s="3">
        <v>636</v>
      </c>
      <c r="H1384" s="3" t="s">
        <v>138</v>
      </c>
      <c r="I1384" s="19">
        <v>159950</v>
      </c>
      <c r="J1384" s="19"/>
      <c r="K1384" s="19">
        <f t="shared" si="482"/>
        <v>159950</v>
      </c>
      <c r="M1384" s="19"/>
      <c r="N1384" s="19"/>
      <c r="O1384" s="87">
        <f t="shared" si="483"/>
        <v>0</v>
      </c>
      <c r="Q1384" s="294">
        <f t="shared" si="479"/>
        <v>159950</v>
      </c>
      <c r="R1384" s="19">
        <f t="shared" si="487"/>
        <v>0</v>
      </c>
      <c r="S1384" s="87">
        <f t="shared" si="487"/>
        <v>159950</v>
      </c>
    </row>
    <row r="1385" spans="2:19" x14ac:dyDescent="0.2">
      <c r="B1385" s="83">
        <f t="shared" si="476"/>
        <v>24</v>
      </c>
      <c r="C1385" s="3"/>
      <c r="D1385" s="3"/>
      <c r="E1385" s="3"/>
      <c r="F1385" s="26" t="s">
        <v>193</v>
      </c>
      <c r="G1385" s="3">
        <v>637</v>
      </c>
      <c r="H1385" s="3" t="s">
        <v>134</v>
      </c>
      <c r="I1385" s="19">
        <v>1000</v>
      </c>
      <c r="J1385" s="19"/>
      <c r="K1385" s="19">
        <f t="shared" si="482"/>
        <v>1000</v>
      </c>
      <c r="M1385" s="19"/>
      <c r="N1385" s="19"/>
      <c r="O1385" s="87">
        <f t="shared" si="483"/>
        <v>0</v>
      </c>
      <c r="Q1385" s="294">
        <f t="shared" si="479"/>
        <v>1000</v>
      </c>
      <c r="R1385" s="19">
        <f t="shared" si="487"/>
        <v>0</v>
      </c>
      <c r="S1385" s="87">
        <f t="shared" si="487"/>
        <v>1000</v>
      </c>
    </row>
    <row r="1386" spans="2:19" ht="15" x14ac:dyDescent="0.25">
      <c r="B1386" s="83">
        <f t="shared" si="476"/>
        <v>25</v>
      </c>
      <c r="C1386" s="267"/>
      <c r="D1386" s="267">
        <v>2</v>
      </c>
      <c r="E1386" s="368" t="s">
        <v>215</v>
      </c>
      <c r="F1386" s="361"/>
      <c r="G1386" s="361"/>
      <c r="H1386" s="362"/>
      <c r="I1386" s="37">
        <f>I1387+I1391</f>
        <v>204850</v>
      </c>
      <c r="J1386" s="37">
        <f t="shared" ref="J1386" si="492">J1387+J1391</f>
        <v>0</v>
      </c>
      <c r="K1386" s="37">
        <f t="shared" si="482"/>
        <v>204850</v>
      </c>
      <c r="M1386" s="37">
        <f>M1391</f>
        <v>64000</v>
      </c>
      <c r="N1386" s="37">
        <f t="shared" ref="N1386" si="493">N1391</f>
        <v>0</v>
      </c>
      <c r="O1386" s="85">
        <f t="shared" si="483"/>
        <v>64000</v>
      </c>
      <c r="Q1386" s="292">
        <f t="shared" si="479"/>
        <v>268850</v>
      </c>
      <c r="R1386" s="37">
        <f t="shared" si="487"/>
        <v>0</v>
      </c>
      <c r="S1386" s="85">
        <f t="shared" si="487"/>
        <v>268850</v>
      </c>
    </row>
    <row r="1387" spans="2:19" x14ac:dyDescent="0.2">
      <c r="B1387" s="83">
        <f t="shared" si="476"/>
        <v>26</v>
      </c>
      <c r="C1387" s="7"/>
      <c r="D1387" s="7"/>
      <c r="E1387" s="7"/>
      <c r="F1387" s="25" t="s">
        <v>193</v>
      </c>
      <c r="G1387" s="7">
        <v>630</v>
      </c>
      <c r="H1387" s="7" t="s">
        <v>133</v>
      </c>
      <c r="I1387" s="23">
        <f>SUM(I1388:I1390)</f>
        <v>204850</v>
      </c>
      <c r="J1387" s="23">
        <f t="shared" ref="J1387" si="494">SUM(J1388:J1390)</f>
        <v>0</v>
      </c>
      <c r="K1387" s="23">
        <f t="shared" si="482"/>
        <v>204850</v>
      </c>
      <c r="M1387" s="23"/>
      <c r="N1387" s="23"/>
      <c r="O1387" s="86">
        <f t="shared" si="483"/>
        <v>0</v>
      </c>
      <c r="Q1387" s="293">
        <f t="shared" si="479"/>
        <v>204850</v>
      </c>
      <c r="R1387" s="23">
        <f t="shared" si="487"/>
        <v>0</v>
      </c>
      <c r="S1387" s="86">
        <f t="shared" si="487"/>
        <v>204850</v>
      </c>
    </row>
    <row r="1388" spans="2:19" x14ac:dyDescent="0.2">
      <c r="B1388" s="83">
        <f t="shared" si="476"/>
        <v>27</v>
      </c>
      <c r="C1388" s="3"/>
      <c r="D1388" s="3"/>
      <c r="E1388" s="3"/>
      <c r="F1388" s="26" t="s">
        <v>193</v>
      </c>
      <c r="G1388" s="3">
        <v>632</v>
      </c>
      <c r="H1388" s="3" t="s">
        <v>146</v>
      </c>
      <c r="I1388" s="19">
        <v>3500</v>
      </c>
      <c r="J1388" s="19"/>
      <c r="K1388" s="19">
        <f t="shared" si="482"/>
        <v>3500</v>
      </c>
      <c r="M1388" s="19"/>
      <c r="N1388" s="19"/>
      <c r="O1388" s="87">
        <f t="shared" si="483"/>
        <v>0</v>
      </c>
      <c r="Q1388" s="294">
        <f t="shared" si="479"/>
        <v>3500</v>
      </c>
      <c r="R1388" s="19">
        <f t="shared" si="487"/>
        <v>0</v>
      </c>
      <c r="S1388" s="87">
        <f t="shared" si="487"/>
        <v>3500</v>
      </c>
    </row>
    <row r="1389" spans="2:19" x14ac:dyDescent="0.2">
      <c r="B1389" s="83">
        <f t="shared" si="476"/>
        <v>28</v>
      </c>
      <c r="C1389" s="3"/>
      <c r="D1389" s="3"/>
      <c r="E1389" s="3"/>
      <c r="F1389" s="26" t="s">
        <v>193</v>
      </c>
      <c r="G1389" s="3">
        <v>636</v>
      </c>
      <c r="H1389" s="3" t="s">
        <v>138</v>
      </c>
      <c r="I1389" s="19">
        <v>200000</v>
      </c>
      <c r="J1389" s="19"/>
      <c r="K1389" s="19">
        <f t="shared" si="482"/>
        <v>200000</v>
      </c>
      <c r="M1389" s="19"/>
      <c r="N1389" s="19"/>
      <c r="O1389" s="87">
        <f t="shared" si="483"/>
        <v>0</v>
      </c>
      <c r="Q1389" s="294">
        <f t="shared" si="479"/>
        <v>200000</v>
      </c>
      <c r="R1389" s="19">
        <f t="shared" si="487"/>
        <v>0</v>
      </c>
      <c r="S1389" s="87">
        <f t="shared" si="487"/>
        <v>200000</v>
      </c>
    </row>
    <row r="1390" spans="2:19" x14ac:dyDescent="0.2">
      <c r="B1390" s="83">
        <f t="shared" si="476"/>
        <v>29</v>
      </c>
      <c r="C1390" s="3"/>
      <c r="D1390" s="3"/>
      <c r="E1390" s="3"/>
      <c r="F1390" s="26" t="s">
        <v>193</v>
      </c>
      <c r="G1390" s="3">
        <v>637</v>
      </c>
      <c r="H1390" s="3" t="s">
        <v>134</v>
      </c>
      <c r="I1390" s="19">
        <v>1350</v>
      </c>
      <c r="J1390" s="19"/>
      <c r="K1390" s="19">
        <f t="shared" si="482"/>
        <v>1350</v>
      </c>
      <c r="M1390" s="19"/>
      <c r="N1390" s="19"/>
      <c r="O1390" s="87">
        <f t="shared" si="483"/>
        <v>0</v>
      </c>
      <c r="Q1390" s="294">
        <f t="shared" si="479"/>
        <v>1350</v>
      </c>
      <c r="R1390" s="19">
        <f t="shared" si="487"/>
        <v>0</v>
      </c>
      <c r="S1390" s="87">
        <f t="shared" si="487"/>
        <v>1350</v>
      </c>
    </row>
    <row r="1391" spans="2:19" x14ac:dyDescent="0.2">
      <c r="B1391" s="83">
        <f t="shared" si="476"/>
        <v>30</v>
      </c>
      <c r="C1391" s="7"/>
      <c r="D1391" s="7"/>
      <c r="E1391" s="7"/>
      <c r="F1391" s="25" t="s">
        <v>193</v>
      </c>
      <c r="G1391" s="7">
        <v>710</v>
      </c>
      <c r="H1391" s="7" t="s">
        <v>188</v>
      </c>
      <c r="I1391" s="23"/>
      <c r="J1391" s="23"/>
      <c r="K1391" s="23">
        <f t="shared" si="482"/>
        <v>0</v>
      </c>
      <c r="M1391" s="23">
        <f>M1394+M1392+M1393</f>
        <v>64000</v>
      </c>
      <c r="N1391" s="23">
        <f t="shared" ref="N1391" si="495">N1394+N1392+N1393</f>
        <v>0</v>
      </c>
      <c r="O1391" s="86">
        <f t="shared" si="483"/>
        <v>64000</v>
      </c>
      <c r="Q1391" s="293">
        <f t="shared" si="479"/>
        <v>64000</v>
      </c>
      <c r="R1391" s="23">
        <f t="shared" si="487"/>
        <v>0</v>
      </c>
      <c r="S1391" s="86">
        <f t="shared" si="487"/>
        <v>64000</v>
      </c>
    </row>
    <row r="1392" spans="2:19" x14ac:dyDescent="0.2">
      <c r="B1392" s="83">
        <f t="shared" si="476"/>
        <v>31</v>
      </c>
      <c r="C1392" s="52"/>
      <c r="D1392" s="52"/>
      <c r="E1392" s="52"/>
      <c r="F1392" s="185"/>
      <c r="G1392" s="52">
        <v>712</v>
      </c>
      <c r="H1392" s="52" t="s">
        <v>521</v>
      </c>
      <c r="I1392" s="20"/>
      <c r="J1392" s="20"/>
      <c r="K1392" s="20">
        <f t="shared" si="482"/>
        <v>0</v>
      </c>
      <c r="M1392" s="20">
        <v>19850</v>
      </c>
      <c r="N1392" s="20"/>
      <c r="O1392" s="124">
        <f t="shared" si="483"/>
        <v>19850</v>
      </c>
      <c r="Q1392" s="310">
        <f t="shared" si="479"/>
        <v>19850</v>
      </c>
      <c r="R1392" s="20">
        <f t="shared" si="487"/>
        <v>0</v>
      </c>
      <c r="S1392" s="124">
        <f t="shared" si="487"/>
        <v>19850</v>
      </c>
    </row>
    <row r="1393" spans="2:19" x14ac:dyDescent="0.2">
      <c r="B1393" s="83">
        <f t="shared" si="476"/>
        <v>32</v>
      </c>
      <c r="C1393" s="52"/>
      <c r="D1393" s="52"/>
      <c r="E1393" s="52"/>
      <c r="F1393" s="185"/>
      <c r="G1393" s="52">
        <v>716</v>
      </c>
      <c r="H1393" s="4" t="s">
        <v>463</v>
      </c>
      <c r="I1393" s="20"/>
      <c r="J1393" s="20"/>
      <c r="K1393" s="20">
        <f t="shared" si="482"/>
        <v>0</v>
      </c>
      <c r="M1393" s="20">
        <v>4000</v>
      </c>
      <c r="N1393" s="20"/>
      <c r="O1393" s="124">
        <f t="shared" si="483"/>
        <v>4000</v>
      </c>
      <c r="Q1393" s="310">
        <f t="shared" si="479"/>
        <v>4000</v>
      </c>
      <c r="R1393" s="20">
        <f t="shared" si="487"/>
        <v>0</v>
      </c>
      <c r="S1393" s="124">
        <f t="shared" si="487"/>
        <v>4000</v>
      </c>
    </row>
    <row r="1394" spans="2:19" x14ac:dyDescent="0.2">
      <c r="B1394" s="83">
        <f t="shared" si="476"/>
        <v>33</v>
      </c>
      <c r="C1394" s="3"/>
      <c r="D1394" s="3"/>
      <c r="E1394" s="3"/>
      <c r="F1394" s="26" t="s">
        <v>193</v>
      </c>
      <c r="G1394" s="3">
        <v>717</v>
      </c>
      <c r="H1394" s="3" t="s">
        <v>198</v>
      </c>
      <c r="I1394" s="19"/>
      <c r="J1394" s="19"/>
      <c r="K1394" s="19">
        <f t="shared" si="482"/>
        <v>0</v>
      </c>
      <c r="M1394" s="19">
        <f>M1395</f>
        <v>40150</v>
      </c>
      <c r="N1394" s="19">
        <f t="shared" ref="N1394" si="496">N1395</f>
        <v>0</v>
      </c>
      <c r="O1394" s="87">
        <f t="shared" si="483"/>
        <v>40150</v>
      </c>
      <c r="Q1394" s="294">
        <f t="shared" ref="Q1394:Q1425" si="497">I1394+M1394</f>
        <v>40150</v>
      </c>
      <c r="R1394" s="19">
        <f t="shared" ref="R1394:S1409" si="498">J1394+N1394</f>
        <v>0</v>
      </c>
      <c r="S1394" s="87">
        <f t="shared" si="498"/>
        <v>40150</v>
      </c>
    </row>
    <row r="1395" spans="2:19" x14ac:dyDescent="0.2">
      <c r="B1395" s="83">
        <f t="shared" si="476"/>
        <v>34</v>
      </c>
      <c r="C1395" s="4"/>
      <c r="D1395" s="4"/>
      <c r="E1395" s="4"/>
      <c r="F1395" s="27"/>
      <c r="G1395" s="4"/>
      <c r="H1395" s="4" t="s">
        <v>463</v>
      </c>
      <c r="I1395" s="21"/>
      <c r="J1395" s="21"/>
      <c r="K1395" s="21">
        <f t="shared" si="482"/>
        <v>0</v>
      </c>
      <c r="M1395" s="21">
        <f>44000+20000-19850-4000</f>
        <v>40150</v>
      </c>
      <c r="N1395" s="21"/>
      <c r="O1395" s="88">
        <f t="shared" si="483"/>
        <v>40150</v>
      </c>
      <c r="Q1395" s="308">
        <f t="shared" si="497"/>
        <v>40150</v>
      </c>
      <c r="R1395" s="21">
        <f t="shared" si="498"/>
        <v>0</v>
      </c>
      <c r="S1395" s="88">
        <f t="shared" si="498"/>
        <v>40150</v>
      </c>
    </row>
    <row r="1396" spans="2:19" ht="15" x14ac:dyDescent="0.25">
      <c r="B1396" s="83">
        <f t="shared" si="476"/>
        <v>35</v>
      </c>
      <c r="C1396" s="267"/>
      <c r="D1396" s="267">
        <v>3</v>
      </c>
      <c r="E1396" s="368" t="s">
        <v>216</v>
      </c>
      <c r="F1396" s="361"/>
      <c r="G1396" s="361"/>
      <c r="H1396" s="362"/>
      <c r="I1396" s="37">
        <f>I1397+I1399+I1402</f>
        <v>454500</v>
      </c>
      <c r="J1396" s="37">
        <f t="shared" ref="J1396" si="499">J1397+J1399+J1402</f>
        <v>0</v>
      </c>
      <c r="K1396" s="37">
        <f t="shared" si="482"/>
        <v>454500</v>
      </c>
      <c r="M1396" s="37">
        <f>M1399</f>
        <v>25000</v>
      </c>
      <c r="N1396" s="37">
        <f t="shared" ref="N1396" si="500">N1399</f>
        <v>0</v>
      </c>
      <c r="O1396" s="85">
        <f t="shared" si="483"/>
        <v>25000</v>
      </c>
      <c r="Q1396" s="292">
        <f t="shared" si="497"/>
        <v>479500</v>
      </c>
      <c r="R1396" s="37">
        <f t="shared" si="498"/>
        <v>0</v>
      </c>
      <c r="S1396" s="85">
        <f t="shared" si="498"/>
        <v>479500</v>
      </c>
    </row>
    <row r="1397" spans="2:19" x14ac:dyDescent="0.2">
      <c r="B1397" s="83">
        <f t="shared" si="476"/>
        <v>36</v>
      </c>
      <c r="C1397" s="7"/>
      <c r="D1397" s="7"/>
      <c r="E1397" s="7"/>
      <c r="F1397" s="25" t="s">
        <v>193</v>
      </c>
      <c r="G1397" s="7">
        <v>630</v>
      </c>
      <c r="H1397" s="7" t="s">
        <v>133</v>
      </c>
      <c r="I1397" s="23">
        <f>I1398</f>
        <v>3340</v>
      </c>
      <c r="J1397" s="23">
        <f t="shared" ref="J1397" si="501">J1398</f>
        <v>0</v>
      </c>
      <c r="K1397" s="23">
        <f t="shared" si="482"/>
        <v>3340</v>
      </c>
      <c r="M1397" s="23"/>
      <c r="N1397" s="23"/>
      <c r="O1397" s="86">
        <f t="shared" si="483"/>
        <v>0</v>
      </c>
      <c r="Q1397" s="293">
        <f t="shared" si="497"/>
        <v>3340</v>
      </c>
      <c r="R1397" s="23">
        <f t="shared" si="498"/>
        <v>0</v>
      </c>
      <c r="S1397" s="86">
        <f t="shared" si="498"/>
        <v>3340</v>
      </c>
    </row>
    <row r="1398" spans="2:19" x14ac:dyDescent="0.2">
      <c r="B1398" s="83">
        <f t="shared" si="476"/>
        <v>37</v>
      </c>
      <c r="C1398" s="3"/>
      <c r="D1398" s="3"/>
      <c r="E1398" s="3"/>
      <c r="F1398" s="26" t="s">
        <v>193</v>
      </c>
      <c r="G1398" s="3">
        <v>637</v>
      </c>
      <c r="H1398" s="3" t="s">
        <v>134</v>
      </c>
      <c r="I1398" s="19">
        <v>3340</v>
      </c>
      <c r="J1398" s="19"/>
      <c r="K1398" s="19">
        <f t="shared" si="482"/>
        <v>3340</v>
      </c>
      <c r="M1398" s="19"/>
      <c r="N1398" s="19"/>
      <c r="O1398" s="87">
        <f t="shared" si="483"/>
        <v>0</v>
      </c>
      <c r="Q1398" s="294">
        <f t="shared" si="497"/>
        <v>3340</v>
      </c>
      <c r="R1398" s="19">
        <f t="shared" si="498"/>
        <v>0</v>
      </c>
      <c r="S1398" s="87">
        <f t="shared" si="498"/>
        <v>3340</v>
      </c>
    </row>
    <row r="1399" spans="2:19" x14ac:dyDescent="0.2">
      <c r="B1399" s="83">
        <f t="shared" si="476"/>
        <v>38</v>
      </c>
      <c r="C1399" s="7"/>
      <c r="D1399" s="7"/>
      <c r="E1399" s="7"/>
      <c r="F1399" s="25" t="s">
        <v>193</v>
      </c>
      <c r="G1399" s="7">
        <v>710</v>
      </c>
      <c r="H1399" s="7" t="s">
        <v>188</v>
      </c>
      <c r="I1399" s="23"/>
      <c r="J1399" s="23"/>
      <c r="K1399" s="23">
        <f t="shared" si="482"/>
        <v>0</v>
      </c>
      <c r="M1399" s="23">
        <f>M1400</f>
        <v>25000</v>
      </c>
      <c r="N1399" s="23">
        <f t="shared" ref="N1399" si="502">N1400</f>
        <v>0</v>
      </c>
      <c r="O1399" s="86">
        <f t="shared" si="483"/>
        <v>25000</v>
      </c>
      <c r="Q1399" s="293">
        <f t="shared" si="497"/>
        <v>25000</v>
      </c>
      <c r="R1399" s="23">
        <f t="shared" si="498"/>
        <v>0</v>
      </c>
      <c r="S1399" s="86">
        <f t="shared" si="498"/>
        <v>25000</v>
      </c>
    </row>
    <row r="1400" spans="2:19" x14ac:dyDescent="0.2">
      <c r="B1400" s="83">
        <f t="shared" si="476"/>
        <v>39</v>
      </c>
      <c r="C1400" s="3"/>
      <c r="D1400" s="3"/>
      <c r="E1400" s="3"/>
      <c r="F1400" s="26" t="s">
        <v>193</v>
      </c>
      <c r="G1400" s="3">
        <v>716</v>
      </c>
      <c r="H1400" s="3" t="s">
        <v>232</v>
      </c>
      <c r="I1400" s="19"/>
      <c r="J1400" s="19"/>
      <c r="K1400" s="19">
        <f t="shared" si="482"/>
        <v>0</v>
      </c>
      <c r="M1400" s="19">
        <f>SUM(M1401:M1401)</f>
        <v>25000</v>
      </c>
      <c r="N1400" s="19">
        <f t="shared" ref="N1400" si="503">SUM(N1401:N1401)</f>
        <v>0</v>
      </c>
      <c r="O1400" s="87">
        <f t="shared" si="483"/>
        <v>25000</v>
      </c>
      <c r="Q1400" s="294">
        <f t="shared" si="497"/>
        <v>25000</v>
      </c>
      <c r="R1400" s="19">
        <f t="shared" si="498"/>
        <v>0</v>
      </c>
      <c r="S1400" s="87">
        <f t="shared" si="498"/>
        <v>25000</v>
      </c>
    </row>
    <row r="1401" spans="2:19" x14ac:dyDescent="0.2">
      <c r="B1401" s="83">
        <f t="shared" si="476"/>
        <v>40</v>
      </c>
      <c r="C1401" s="4"/>
      <c r="D1401" s="4"/>
      <c r="E1401" s="4"/>
      <c r="F1401" s="27"/>
      <c r="G1401" s="4"/>
      <c r="H1401" s="4" t="s">
        <v>348</v>
      </c>
      <c r="I1401" s="21"/>
      <c r="J1401" s="21"/>
      <c r="K1401" s="21">
        <f t="shared" si="482"/>
        <v>0</v>
      </c>
      <c r="M1401" s="21">
        <v>25000</v>
      </c>
      <c r="N1401" s="21"/>
      <c r="O1401" s="88">
        <f t="shared" si="483"/>
        <v>25000</v>
      </c>
      <c r="Q1401" s="308">
        <f t="shared" si="497"/>
        <v>25000</v>
      </c>
      <c r="R1401" s="21">
        <f t="shared" si="498"/>
        <v>0</v>
      </c>
      <c r="S1401" s="88">
        <f t="shared" si="498"/>
        <v>25000</v>
      </c>
    </row>
    <row r="1402" spans="2:19" ht="15" x14ac:dyDescent="0.25">
      <c r="B1402" s="83">
        <f t="shared" si="476"/>
        <v>41</v>
      </c>
      <c r="C1402" s="10"/>
      <c r="D1402" s="10"/>
      <c r="E1402" s="10">
        <v>2</v>
      </c>
      <c r="F1402" s="28"/>
      <c r="G1402" s="10"/>
      <c r="H1402" s="10" t="s">
        <v>18</v>
      </c>
      <c r="I1402" s="38">
        <f>I1403+I1404+I1405+I1411</f>
        <v>451160</v>
      </c>
      <c r="J1402" s="38">
        <f t="shared" ref="J1402" si="504">J1403+J1404+J1405+J1411</f>
        <v>0</v>
      </c>
      <c r="K1402" s="38">
        <f t="shared" si="482"/>
        <v>451160</v>
      </c>
      <c r="M1402" s="38"/>
      <c r="N1402" s="38"/>
      <c r="O1402" s="94">
        <f t="shared" si="483"/>
        <v>0</v>
      </c>
      <c r="Q1402" s="307">
        <f t="shared" si="497"/>
        <v>451160</v>
      </c>
      <c r="R1402" s="38">
        <f t="shared" si="498"/>
        <v>0</v>
      </c>
      <c r="S1402" s="94">
        <f t="shared" si="498"/>
        <v>451160</v>
      </c>
    </row>
    <row r="1403" spans="2:19" x14ac:dyDescent="0.2">
      <c r="B1403" s="83">
        <f t="shared" si="476"/>
        <v>42</v>
      </c>
      <c r="C1403" s="7"/>
      <c r="D1403" s="7"/>
      <c r="E1403" s="7"/>
      <c r="F1403" s="25" t="s">
        <v>193</v>
      </c>
      <c r="G1403" s="7">
        <v>610</v>
      </c>
      <c r="H1403" s="7" t="s">
        <v>143</v>
      </c>
      <c r="I1403" s="23">
        <v>123010</v>
      </c>
      <c r="J1403" s="23"/>
      <c r="K1403" s="23">
        <f t="shared" si="482"/>
        <v>123010</v>
      </c>
      <c r="M1403" s="23"/>
      <c r="N1403" s="23"/>
      <c r="O1403" s="86">
        <f t="shared" si="483"/>
        <v>0</v>
      </c>
      <c r="Q1403" s="293">
        <f t="shared" si="497"/>
        <v>123010</v>
      </c>
      <c r="R1403" s="23">
        <f t="shared" si="498"/>
        <v>0</v>
      </c>
      <c r="S1403" s="86">
        <f t="shared" si="498"/>
        <v>123010</v>
      </c>
    </row>
    <row r="1404" spans="2:19" x14ac:dyDescent="0.2">
      <c r="B1404" s="83">
        <f t="shared" si="476"/>
        <v>43</v>
      </c>
      <c r="C1404" s="7"/>
      <c r="D1404" s="7"/>
      <c r="E1404" s="7"/>
      <c r="F1404" s="25" t="s">
        <v>193</v>
      </c>
      <c r="G1404" s="7">
        <v>620</v>
      </c>
      <c r="H1404" s="7" t="s">
        <v>136</v>
      </c>
      <c r="I1404" s="23">
        <v>43900</v>
      </c>
      <c r="J1404" s="23"/>
      <c r="K1404" s="23">
        <f t="shared" si="482"/>
        <v>43900</v>
      </c>
      <c r="M1404" s="23"/>
      <c r="N1404" s="23"/>
      <c r="O1404" s="86">
        <f t="shared" si="483"/>
        <v>0</v>
      </c>
      <c r="Q1404" s="293">
        <f t="shared" si="497"/>
        <v>43900</v>
      </c>
      <c r="R1404" s="23">
        <f t="shared" si="498"/>
        <v>0</v>
      </c>
      <c r="S1404" s="86">
        <f t="shared" si="498"/>
        <v>43900</v>
      </c>
    </row>
    <row r="1405" spans="2:19" x14ac:dyDescent="0.2">
      <c r="B1405" s="83">
        <f t="shared" si="476"/>
        <v>44</v>
      </c>
      <c r="C1405" s="7"/>
      <c r="D1405" s="7"/>
      <c r="E1405" s="7"/>
      <c r="F1405" s="25" t="s">
        <v>193</v>
      </c>
      <c r="G1405" s="7">
        <v>630</v>
      </c>
      <c r="H1405" s="7" t="s">
        <v>133</v>
      </c>
      <c r="I1405" s="23">
        <f>SUM(I1406:I1410)</f>
        <v>282700</v>
      </c>
      <c r="J1405" s="23">
        <f t="shared" ref="J1405" si="505">SUM(J1406:J1410)</f>
        <v>0</v>
      </c>
      <c r="K1405" s="23">
        <f t="shared" si="482"/>
        <v>282700</v>
      </c>
      <c r="M1405" s="23"/>
      <c r="N1405" s="23"/>
      <c r="O1405" s="86">
        <f t="shared" si="483"/>
        <v>0</v>
      </c>
      <c r="Q1405" s="293">
        <f t="shared" si="497"/>
        <v>282700</v>
      </c>
      <c r="R1405" s="23">
        <f t="shared" si="498"/>
        <v>0</v>
      </c>
      <c r="S1405" s="86">
        <f t="shared" si="498"/>
        <v>282700</v>
      </c>
    </row>
    <row r="1406" spans="2:19" x14ac:dyDescent="0.2">
      <c r="B1406" s="83">
        <f t="shared" si="476"/>
        <v>45</v>
      </c>
      <c r="C1406" s="3"/>
      <c r="D1406" s="3"/>
      <c r="E1406" s="3"/>
      <c r="F1406" s="26" t="s">
        <v>193</v>
      </c>
      <c r="G1406" s="3">
        <v>632</v>
      </c>
      <c r="H1406" s="3" t="s">
        <v>146</v>
      </c>
      <c r="I1406" s="19">
        <v>213000</v>
      </c>
      <c r="J1406" s="19"/>
      <c r="K1406" s="19">
        <f t="shared" si="482"/>
        <v>213000</v>
      </c>
      <c r="M1406" s="19"/>
      <c r="N1406" s="19"/>
      <c r="O1406" s="87">
        <f t="shared" si="483"/>
        <v>0</v>
      </c>
      <c r="Q1406" s="294">
        <f t="shared" si="497"/>
        <v>213000</v>
      </c>
      <c r="R1406" s="19">
        <f t="shared" si="498"/>
        <v>0</v>
      </c>
      <c r="S1406" s="87">
        <f t="shared" si="498"/>
        <v>213000</v>
      </c>
    </row>
    <row r="1407" spans="2:19" x14ac:dyDescent="0.2">
      <c r="B1407" s="83">
        <f t="shared" si="476"/>
        <v>46</v>
      </c>
      <c r="C1407" s="3"/>
      <c r="D1407" s="3"/>
      <c r="E1407" s="3"/>
      <c r="F1407" s="26" t="s">
        <v>193</v>
      </c>
      <c r="G1407" s="3">
        <v>633</v>
      </c>
      <c r="H1407" s="3" t="s">
        <v>137</v>
      </c>
      <c r="I1407" s="19">
        <v>15700</v>
      </c>
      <c r="J1407" s="19"/>
      <c r="K1407" s="19">
        <f t="shared" si="482"/>
        <v>15700</v>
      </c>
      <c r="M1407" s="19"/>
      <c r="N1407" s="19"/>
      <c r="O1407" s="87">
        <f t="shared" si="483"/>
        <v>0</v>
      </c>
      <c r="Q1407" s="294">
        <f t="shared" si="497"/>
        <v>15700</v>
      </c>
      <c r="R1407" s="19">
        <f t="shared" si="498"/>
        <v>0</v>
      </c>
      <c r="S1407" s="87">
        <f t="shared" si="498"/>
        <v>15700</v>
      </c>
    </row>
    <row r="1408" spans="2:19" x14ac:dyDescent="0.2">
      <c r="B1408" s="83">
        <f t="shared" si="476"/>
        <v>47</v>
      </c>
      <c r="C1408" s="3"/>
      <c r="D1408" s="3"/>
      <c r="E1408" s="3"/>
      <c r="F1408" s="26" t="s">
        <v>193</v>
      </c>
      <c r="G1408" s="3">
        <v>635</v>
      </c>
      <c r="H1408" s="3" t="s">
        <v>145</v>
      </c>
      <c r="I1408" s="19">
        <v>11000</v>
      </c>
      <c r="J1408" s="19"/>
      <c r="K1408" s="19">
        <f t="shared" si="482"/>
        <v>11000</v>
      </c>
      <c r="M1408" s="19"/>
      <c r="N1408" s="19"/>
      <c r="O1408" s="87">
        <f t="shared" si="483"/>
        <v>0</v>
      </c>
      <c r="Q1408" s="294">
        <f t="shared" si="497"/>
        <v>11000</v>
      </c>
      <c r="R1408" s="19">
        <f t="shared" si="498"/>
        <v>0</v>
      </c>
      <c r="S1408" s="87">
        <f t="shared" si="498"/>
        <v>11000</v>
      </c>
    </row>
    <row r="1409" spans="2:19" x14ac:dyDescent="0.2">
      <c r="B1409" s="83">
        <f t="shared" si="476"/>
        <v>48</v>
      </c>
      <c r="C1409" s="3"/>
      <c r="D1409" s="3"/>
      <c r="E1409" s="3"/>
      <c r="F1409" s="26" t="s">
        <v>193</v>
      </c>
      <c r="G1409" s="3">
        <v>636</v>
      </c>
      <c r="H1409" s="3" t="s">
        <v>138</v>
      </c>
      <c r="I1409" s="19">
        <v>200</v>
      </c>
      <c r="J1409" s="19"/>
      <c r="K1409" s="19">
        <f t="shared" si="482"/>
        <v>200</v>
      </c>
      <c r="M1409" s="19"/>
      <c r="N1409" s="19"/>
      <c r="O1409" s="87">
        <f t="shared" si="483"/>
        <v>0</v>
      </c>
      <c r="Q1409" s="294">
        <f t="shared" si="497"/>
        <v>200</v>
      </c>
      <c r="R1409" s="19">
        <f t="shared" si="498"/>
        <v>0</v>
      </c>
      <c r="S1409" s="87">
        <f t="shared" si="498"/>
        <v>200</v>
      </c>
    </row>
    <row r="1410" spans="2:19" x14ac:dyDescent="0.2">
      <c r="B1410" s="83">
        <f t="shared" si="476"/>
        <v>49</v>
      </c>
      <c r="C1410" s="3"/>
      <c r="D1410" s="3"/>
      <c r="E1410" s="3"/>
      <c r="F1410" s="26" t="s">
        <v>193</v>
      </c>
      <c r="G1410" s="3">
        <v>637</v>
      </c>
      <c r="H1410" s="3" t="s">
        <v>134</v>
      </c>
      <c r="I1410" s="19">
        <v>42800</v>
      </c>
      <c r="J1410" s="19"/>
      <c r="K1410" s="19">
        <f t="shared" si="482"/>
        <v>42800</v>
      </c>
      <c r="M1410" s="19"/>
      <c r="N1410" s="19"/>
      <c r="O1410" s="87">
        <f t="shared" si="483"/>
        <v>0</v>
      </c>
      <c r="Q1410" s="294">
        <f t="shared" si="497"/>
        <v>42800</v>
      </c>
      <c r="R1410" s="19">
        <f t="shared" ref="R1410:S1425" si="506">J1410+N1410</f>
        <v>0</v>
      </c>
      <c r="S1410" s="87">
        <f t="shared" si="506"/>
        <v>42800</v>
      </c>
    </row>
    <row r="1411" spans="2:19" x14ac:dyDescent="0.2">
      <c r="B1411" s="83">
        <f t="shared" si="476"/>
        <v>50</v>
      </c>
      <c r="C1411" s="7"/>
      <c r="D1411" s="7"/>
      <c r="E1411" s="7"/>
      <c r="F1411" s="25" t="s">
        <v>193</v>
      </c>
      <c r="G1411" s="7">
        <v>640</v>
      </c>
      <c r="H1411" s="7" t="s">
        <v>141</v>
      </c>
      <c r="I1411" s="23">
        <v>1550</v>
      </c>
      <c r="J1411" s="23"/>
      <c r="K1411" s="23">
        <f t="shared" si="482"/>
        <v>1550</v>
      </c>
      <c r="M1411" s="23"/>
      <c r="N1411" s="23"/>
      <c r="O1411" s="86">
        <f t="shared" si="483"/>
        <v>0</v>
      </c>
      <c r="Q1411" s="293">
        <f t="shared" si="497"/>
        <v>1550</v>
      </c>
      <c r="R1411" s="23">
        <f t="shared" si="506"/>
        <v>0</v>
      </c>
      <c r="S1411" s="86">
        <f t="shared" si="506"/>
        <v>1550</v>
      </c>
    </row>
    <row r="1412" spans="2:19" ht="15" x14ac:dyDescent="0.25">
      <c r="B1412" s="83">
        <f t="shared" si="476"/>
        <v>51</v>
      </c>
      <c r="C1412" s="267"/>
      <c r="D1412" s="267">
        <v>4</v>
      </c>
      <c r="E1412" s="368" t="s">
        <v>217</v>
      </c>
      <c r="F1412" s="361"/>
      <c r="G1412" s="361"/>
      <c r="H1412" s="362"/>
      <c r="I1412" s="37">
        <f>I1413+I1419</f>
        <v>625100</v>
      </c>
      <c r="J1412" s="37">
        <f t="shared" ref="J1412" si="507">J1413+J1419</f>
        <v>0</v>
      </c>
      <c r="K1412" s="37">
        <f t="shared" si="482"/>
        <v>625100</v>
      </c>
      <c r="M1412" s="37">
        <f>M1413+M1419</f>
        <v>660255</v>
      </c>
      <c r="N1412" s="37">
        <f t="shared" ref="N1412" si="508">N1413+N1419</f>
        <v>0</v>
      </c>
      <c r="O1412" s="85">
        <f t="shared" si="483"/>
        <v>660255</v>
      </c>
      <c r="Q1412" s="292">
        <f t="shared" si="497"/>
        <v>1285355</v>
      </c>
      <c r="R1412" s="37">
        <f t="shared" si="506"/>
        <v>0</v>
      </c>
      <c r="S1412" s="85">
        <f t="shared" si="506"/>
        <v>1285355</v>
      </c>
    </row>
    <row r="1413" spans="2:19" x14ac:dyDescent="0.2">
      <c r="B1413" s="83">
        <f t="shared" si="476"/>
        <v>52</v>
      </c>
      <c r="C1413" s="7"/>
      <c r="D1413" s="7"/>
      <c r="E1413" s="7"/>
      <c r="F1413" s="25" t="s">
        <v>193</v>
      </c>
      <c r="G1413" s="7">
        <v>710</v>
      </c>
      <c r="H1413" s="7" t="s">
        <v>188</v>
      </c>
      <c r="I1413" s="23"/>
      <c r="J1413" s="23"/>
      <c r="K1413" s="23">
        <f t="shared" si="482"/>
        <v>0</v>
      </c>
      <c r="M1413" s="23">
        <f>M1414+M1416</f>
        <v>657255</v>
      </c>
      <c r="N1413" s="23">
        <f t="shared" ref="N1413" si="509">N1414+N1416</f>
        <v>0</v>
      </c>
      <c r="O1413" s="86">
        <f t="shared" si="483"/>
        <v>657255</v>
      </c>
      <c r="Q1413" s="293">
        <f t="shared" si="497"/>
        <v>657255</v>
      </c>
      <c r="R1413" s="23">
        <f t="shared" si="506"/>
        <v>0</v>
      </c>
      <c r="S1413" s="86">
        <f t="shared" si="506"/>
        <v>657255</v>
      </c>
    </row>
    <row r="1414" spans="2:19" x14ac:dyDescent="0.2">
      <c r="B1414" s="83">
        <f t="shared" si="476"/>
        <v>53</v>
      </c>
      <c r="C1414" s="7"/>
      <c r="D1414" s="7"/>
      <c r="E1414" s="7"/>
      <c r="F1414" s="26" t="s">
        <v>193</v>
      </c>
      <c r="G1414" s="3">
        <v>716</v>
      </c>
      <c r="H1414" s="3" t="s">
        <v>232</v>
      </c>
      <c r="I1414" s="19"/>
      <c r="J1414" s="19"/>
      <c r="K1414" s="19">
        <f t="shared" si="482"/>
        <v>0</v>
      </c>
      <c r="M1414" s="19">
        <f>M1415</f>
        <v>17000</v>
      </c>
      <c r="N1414" s="19">
        <f t="shared" ref="N1414" si="510">N1415</f>
        <v>0</v>
      </c>
      <c r="O1414" s="87">
        <f t="shared" si="483"/>
        <v>17000</v>
      </c>
      <c r="Q1414" s="294">
        <f t="shared" si="497"/>
        <v>17000</v>
      </c>
      <c r="R1414" s="19">
        <f t="shared" si="506"/>
        <v>0</v>
      </c>
      <c r="S1414" s="87">
        <f t="shared" si="506"/>
        <v>17000</v>
      </c>
    </row>
    <row r="1415" spans="2:19" x14ac:dyDescent="0.2">
      <c r="B1415" s="83">
        <f t="shared" si="476"/>
        <v>54</v>
      </c>
      <c r="C1415" s="7"/>
      <c r="D1415" s="7"/>
      <c r="E1415" s="7"/>
      <c r="F1415" s="27"/>
      <c r="G1415" s="4"/>
      <c r="H1415" s="4" t="s">
        <v>528</v>
      </c>
      <c r="I1415" s="21"/>
      <c r="J1415" s="21"/>
      <c r="K1415" s="21">
        <f t="shared" si="482"/>
        <v>0</v>
      </c>
      <c r="M1415" s="40">
        <v>17000</v>
      </c>
      <c r="N1415" s="40"/>
      <c r="O1415" s="312">
        <f t="shared" si="483"/>
        <v>17000</v>
      </c>
      <c r="Q1415" s="308">
        <f t="shared" si="497"/>
        <v>17000</v>
      </c>
      <c r="R1415" s="21">
        <f t="shared" si="506"/>
        <v>0</v>
      </c>
      <c r="S1415" s="88">
        <f t="shared" si="506"/>
        <v>17000</v>
      </c>
    </row>
    <row r="1416" spans="2:19" x14ac:dyDescent="0.2">
      <c r="B1416" s="83">
        <f t="shared" si="476"/>
        <v>55</v>
      </c>
      <c r="C1416" s="3"/>
      <c r="D1416" s="3"/>
      <c r="E1416" s="3"/>
      <c r="F1416" s="26" t="s">
        <v>193</v>
      </c>
      <c r="G1416" s="3">
        <v>717</v>
      </c>
      <c r="H1416" s="3" t="s">
        <v>198</v>
      </c>
      <c r="I1416" s="19"/>
      <c r="J1416" s="19"/>
      <c r="K1416" s="19">
        <f t="shared" si="482"/>
        <v>0</v>
      </c>
      <c r="M1416" s="19">
        <f>SUM(M1417:M1418)</f>
        <v>640255</v>
      </c>
      <c r="N1416" s="19">
        <f t="shared" ref="N1416" si="511">SUM(N1417:N1418)</f>
        <v>0</v>
      </c>
      <c r="O1416" s="87">
        <f t="shared" si="483"/>
        <v>640255</v>
      </c>
      <c r="Q1416" s="294">
        <f t="shared" si="497"/>
        <v>640255</v>
      </c>
      <c r="R1416" s="19">
        <f t="shared" si="506"/>
        <v>0</v>
      </c>
      <c r="S1416" s="87">
        <f t="shared" si="506"/>
        <v>640255</v>
      </c>
    </row>
    <row r="1417" spans="2:19" x14ac:dyDescent="0.2">
      <c r="B1417" s="83">
        <f t="shared" si="476"/>
        <v>56</v>
      </c>
      <c r="C1417" s="4"/>
      <c r="D1417" s="4"/>
      <c r="E1417" s="4"/>
      <c r="F1417" s="27"/>
      <c r="G1417" s="4"/>
      <c r="H1417" s="4" t="s">
        <v>4</v>
      </c>
      <c r="I1417" s="21"/>
      <c r="J1417" s="21"/>
      <c r="K1417" s="21">
        <f t="shared" si="482"/>
        <v>0</v>
      </c>
      <c r="M1417" s="40">
        <v>540255</v>
      </c>
      <c r="N1417" s="40"/>
      <c r="O1417" s="312">
        <f t="shared" si="483"/>
        <v>540255</v>
      </c>
      <c r="Q1417" s="308">
        <f t="shared" si="497"/>
        <v>540255</v>
      </c>
      <c r="R1417" s="21">
        <f t="shared" si="506"/>
        <v>0</v>
      </c>
      <c r="S1417" s="88">
        <f t="shared" si="506"/>
        <v>540255</v>
      </c>
    </row>
    <row r="1418" spans="2:19" x14ac:dyDescent="0.2">
      <c r="B1418" s="83">
        <f t="shared" si="476"/>
        <v>57</v>
      </c>
      <c r="C1418" s="4"/>
      <c r="D1418" s="4"/>
      <c r="E1418" s="4"/>
      <c r="F1418" s="27"/>
      <c r="G1418" s="4"/>
      <c r="H1418" s="4" t="s">
        <v>440</v>
      </c>
      <c r="I1418" s="21"/>
      <c r="J1418" s="21"/>
      <c r="K1418" s="21">
        <f t="shared" si="482"/>
        <v>0</v>
      </c>
      <c r="M1418" s="40">
        <v>100000</v>
      </c>
      <c r="N1418" s="40"/>
      <c r="O1418" s="312">
        <f t="shared" si="483"/>
        <v>100000</v>
      </c>
      <c r="Q1418" s="308">
        <f t="shared" si="497"/>
        <v>100000</v>
      </c>
      <c r="R1418" s="21">
        <f t="shared" si="506"/>
        <v>0</v>
      </c>
      <c r="S1418" s="88">
        <f t="shared" si="506"/>
        <v>100000</v>
      </c>
    </row>
    <row r="1419" spans="2:19" ht="15" x14ac:dyDescent="0.25">
      <c r="B1419" s="83">
        <f t="shared" si="476"/>
        <v>58</v>
      </c>
      <c r="C1419" s="10"/>
      <c r="D1419" s="10"/>
      <c r="E1419" s="10">
        <v>2</v>
      </c>
      <c r="F1419" s="28"/>
      <c r="G1419" s="10"/>
      <c r="H1419" s="10" t="s">
        <v>415</v>
      </c>
      <c r="I1419" s="38">
        <f>I1420+I1421+I1422+I1427+I1428</f>
        <v>625100</v>
      </c>
      <c r="J1419" s="38">
        <f t="shared" ref="J1419" si="512">J1420+J1421+J1422+J1427+J1428</f>
        <v>0</v>
      </c>
      <c r="K1419" s="38">
        <f t="shared" si="482"/>
        <v>625100</v>
      </c>
      <c r="M1419" s="38">
        <f>M1428</f>
        <v>3000</v>
      </c>
      <c r="N1419" s="38">
        <f t="shared" ref="N1419" si="513">N1428</f>
        <v>0</v>
      </c>
      <c r="O1419" s="94">
        <f t="shared" si="483"/>
        <v>3000</v>
      </c>
      <c r="Q1419" s="307">
        <f t="shared" si="497"/>
        <v>628100</v>
      </c>
      <c r="R1419" s="38">
        <f t="shared" si="506"/>
        <v>0</v>
      </c>
      <c r="S1419" s="94">
        <f t="shared" si="506"/>
        <v>628100</v>
      </c>
    </row>
    <row r="1420" spans="2:19" x14ac:dyDescent="0.2">
      <c r="B1420" s="83">
        <f t="shared" si="476"/>
        <v>59</v>
      </c>
      <c r="C1420" s="7"/>
      <c r="D1420" s="7"/>
      <c r="E1420" s="7"/>
      <c r="F1420" s="25" t="s">
        <v>193</v>
      </c>
      <c r="G1420" s="7">
        <v>610</v>
      </c>
      <c r="H1420" s="7" t="s">
        <v>143</v>
      </c>
      <c r="I1420" s="23">
        <v>142300</v>
      </c>
      <c r="J1420" s="23"/>
      <c r="K1420" s="23">
        <f t="shared" si="482"/>
        <v>142300</v>
      </c>
      <c r="M1420" s="23"/>
      <c r="N1420" s="23"/>
      <c r="O1420" s="86">
        <f t="shared" si="483"/>
        <v>0</v>
      </c>
      <c r="Q1420" s="293">
        <f t="shared" si="497"/>
        <v>142300</v>
      </c>
      <c r="R1420" s="23">
        <f t="shared" si="506"/>
        <v>0</v>
      </c>
      <c r="S1420" s="86">
        <f t="shared" si="506"/>
        <v>142300</v>
      </c>
    </row>
    <row r="1421" spans="2:19" x14ac:dyDescent="0.2">
      <c r="B1421" s="83">
        <f t="shared" si="476"/>
        <v>60</v>
      </c>
      <c r="C1421" s="7"/>
      <c r="D1421" s="7"/>
      <c r="E1421" s="7"/>
      <c r="F1421" s="25" t="s">
        <v>193</v>
      </c>
      <c r="G1421" s="7">
        <v>620</v>
      </c>
      <c r="H1421" s="7" t="s">
        <v>136</v>
      </c>
      <c r="I1421" s="23">
        <v>68690</v>
      </c>
      <c r="J1421" s="23"/>
      <c r="K1421" s="23">
        <f t="shared" si="482"/>
        <v>68690</v>
      </c>
      <c r="M1421" s="23"/>
      <c r="N1421" s="23"/>
      <c r="O1421" s="86">
        <f t="shared" si="483"/>
        <v>0</v>
      </c>
      <c r="Q1421" s="293">
        <f t="shared" si="497"/>
        <v>68690</v>
      </c>
      <c r="R1421" s="23">
        <f t="shared" si="506"/>
        <v>0</v>
      </c>
      <c r="S1421" s="86">
        <f t="shared" si="506"/>
        <v>68690</v>
      </c>
    </row>
    <row r="1422" spans="2:19" x14ac:dyDescent="0.2">
      <c r="B1422" s="83">
        <f t="shared" si="476"/>
        <v>61</v>
      </c>
      <c r="C1422" s="7"/>
      <c r="D1422" s="7"/>
      <c r="E1422" s="7"/>
      <c r="F1422" s="25" t="s">
        <v>193</v>
      </c>
      <c r="G1422" s="7">
        <v>630</v>
      </c>
      <c r="H1422" s="7" t="s">
        <v>133</v>
      </c>
      <c r="I1422" s="23">
        <f>SUM(I1423:I1426)</f>
        <v>413760</v>
      </c>
      <c r="J1422" s="23">
        <f t="shared" ref="J1422" si="514">SUM(J1423:J1426)</f>
        <v>0</v>
      </c>
      <c r="K1422" s="23">
        <f t="shared" si="482"/>
        <v>413760</v>
      </c>
      <c r="M1422" s="23"/>
      <c r="N1422" s="23"/>
      <c r="O1422" s="86">
        <f t="shared" si="483"/>
        <v>0</v>
      </c>
      <c r="Q1422" s="293">
        <f t="shared" si="497"/>
        <v>413760</v>
      </c>
      <c r="R1422" s="23">
        <f t="shared" si="506"/>
        <v>0</v>
      </c>
      <c r="S1422" s="86">
        <f t="shared" si="506"/>
        <v>413760</v>
      </c>
    </row>
    <row r="1423" spans="2:19" x14ac:dyDescent="0.2">
      <c r="B1423" s="83">
        <f t="shared" si="476"/>
        <v>62</v>
      </c>
      <c r="C1423" s="3"/>
      <c r="D1423" s="3"/>
      <c r="E1423" s="3"/>
      <c r="F1423" s="26" t="s">
        <v>193</v>
      </c>
      <c r="G1423" s="3">
        <v>632</v>
      </c>
      <c r="H1423" s="3" t="s">
        <v>146</v>
      </c>
      <c r="I1423" s="19">
        <v>243000</v>
      </c>
      <c r="J1423" s="19"/>
      <c r="K1423" s="19">
        <f t="shared" si="482"/>
        <v>243000</v>
      </c>
      <c r="M1423" s="19"/>
      <c r="N1423" s="19"/>
      <c r="O1423" s="87">
        <f t="shared" si="483"/>
        <v>0</v>
      </c>
      <c r="Q1423" s="294">
        <f t="shared" si="497"/>
        <v>243000</v>
      </c>
      <c r="R1423" s="19">
        <f t="shared" si="506"/>
        <v>0</v>
      </c>
      <c r="S1423" s="87">
        <f t="shared" si="506"/>
        <v>243000</v>
      </c>
    </row>
    <row r="1424" spans="2:19" x14ac:dyDescent="0.2">
      <c r="B1424" s="83">
        <f t="shared" si="476"/>
        <v>63</v>
      </c>
      <c r="C1424" s="3"/>
      <c r="D1424" s="3"/>
      <c r="E1424" s="3"/>
      <c r="F1424" s="26" t="s">
        <v>193</v>
      </c>
      <c r="G1424" s="3">
        <v>633</v>
      </c>
      <c r="H1424" s="3" t="s">
        <v>137</v>
      </c>
      <c r="I1424" s="19">
        <v>54750</v>
      </c>
      <c r="J1424" s="19"/>
      <c r="K1424" s="19">
        <f t="shared" si="482"/>
        <v>54750</v>
      </c>
      <c r="M1424" s="19"/>
      <c r="N1424" s="19"/>
      <c r="O1424" s="87">
        <f t="shared" si="483"/>
        <v>0</v>
      </c>
      <c r="Q1424" s="294">
        <f t="shared" si="497"/>
        <v>54750</v>
      </c>
      <c r="R1424" s="19">
        <f t="shared" si="506"/>
        <v>0</v>
      </c>
      <c r="S1424" s="87">
        <f t="shared" si="506"/>
        <v>54750</v>
      </c>
    </row>
    <row r="1425" spans="2:19" x14ac:dyDescent="0.2">
      <c r="B1425" s="83">
        <f t="shared" si="476"/>
        <v>64</v>
      </c>
      <c r="C1425" s="3"/>
      <c r="D1425" s="3"/>
      <c r="E1425" s="3"/>
      <c r="F1425" s="26" t="s">
        <v>193</v>
      </c>
      <c r="G1425" s="3">
        <v>635</v>
      </c>
      <c r="H1425" s="3" t="s">
        <v>145</v>
      </c>
      <c r="I1425" s="19">
        <f>28000+5100</f>
        <v>33100</v>
      </c>
      <c r="J1425" s="19"/>
      <c r="K1425" s="19">
        <f t="shared" si="482"/>
        <v>33100</v>
      </c>
      <c r="M1425" s="19"/>
      <c r="N1425" s="19"/>
      <c r="O1425" s="87">
        <f t="shared" si="483"/>
        <v>0</v>
      </c>
      <c r="Q1425" s="294">
        <f t="shared" si="497"/>
        <v>33100</v>
      </c>
      <c r="R1425" s="19">
        <f t="shared" si="506"/>
        <v>0</v>
      </c>
      <c r="S1425" s="87">
        <f t="shared" si="506"/>
        <v>33100</v>
      </c>
    </row>
    <row r="1426" spans="2:19" x14ac:dyDescent="0.2">
      <c r="B1426" s="83">
        <f t="shared" ref="B1426:B1468" si="515">B1425+1</f>
        <v>65</v>
      </c>
      <c r="C1426" s="3"/>
      <c r="D1426" s="3"/>
      <c r="E1426" s="3"/>
      <c r="F1426" s="26" t="s">
        <v>193</v>
      </c>
      <c r="G1426" s="3">
        <v>637</v>
      </c>
      <c r="H1426" s="3" t="s">
        <v>134</v>
      </c>
      <c r="I1426" s="19">
        <v>82910</v>
      </c>
      <c r="J1426" s="19"/>
      <c r="K1426" s="19">
        <f t="shared" si="482"/>
        <v>82910</v>
      </c>
      <c r="M1426" s="19"/>
      <c r="N1426" s="19"/>
      <c r="O1426" s="87">
        <f t="shared" si="483"/>
        <v>0</v>
      </c>
      <c r="Q1426" s="294">
        <f t="shared" ref="Q1426:Q1456" si="516">I1426+M1426</f>
        <v>82910</v>
      </c>
      <c r="R1426" s="19">
        <f t="shared" ref="R1426:S1441" si="517">J1426+N1426</f>
        <v>0</v>
      </c>
      <c r="S1426" s="87">
        <f t="shared" si="517"/>
        <v>82910</v>
      </c>
    </row>
    <row r="1427" spans="2:19" x14ac:dyDescent="0.2">
      <c r="B1427" s="83">
        <f t="shared" si="515"/>
        <v>66</v>
      </c>
      <c r="C1427" s="7"/>
      <c r="D1427" s="7"/>
      <c r="E1427" s="7"/>
      <c r="F1427" s="25" t="s">
        <v>193</v>
      </c>
      <c r="G1427" s="7">
        <v>640</v>
      </c>
      <c r="H1427" s="7" t="s">
        <v>141</v>
      </c>
      <c r="I1427" s="23">
        <v>350</v>
      </c>
      <c r="J1427" s="23"/>
      <c r="K1427" s="23">
        <f t="shared" ref="K1427:K1468" si="518">I1427+J1427</f>
        <v>350</v>
      </c>
      <c r="M1427" s="23"/>
      <c r="N1427" s="23"/>
      <c r="O1427" s="86">
        <f t="shared" ref="O1427:O1468" si="519">M1427+N1427</f>
        <v>0</v>
      </c>
      <c r="Q1427" s="293">
        <f t="shared" si="516"/>
        <v>350</v>
      </c>
      <c r="R1427" s="23">
        <f t="shared" si="517"/>
        <v>0</v>
      </c>
      <c r="S1427" s="86">
        <f t="shared" si="517"/>
        <v>350</v>
      </c>
    </row>
    <row r="1428" spans="2:19" x14ac:dyDescent="0.2">
      <c r="B1428" s="83">
        <f t="shared" si="515"/>
        <v>67</v>
      </c>
      <c r="C1428" s="7"/>
      <c r="D1428" s="7"/>
      <c r="E1428" s="7"/>
      <c r="F1428" s="25" t="s">
        <v>193</v>
      </c>
      <c r="G1428" s="7">
        <v>710</v>
      </c>
      <c r="H1428" s="7" t="s">
        <v>188</v>
      </c>
      <c r="I1428" s="23"/>
      <c r="J1428" s="23"/>
      <c r="K1428" s="23">
        <f t="shared" si="518"/>
        <v>0</v>
      </c>
      <c r="M1428" s="23">
        <f>M1429</f>
        <v>3000</v>
      </c>
      <c r="N1428" s="23">
        <f t="shared" ref="N1428:N1429" si="520">N1429</f>
        <v>0</v>
      </c>
      <c r="O1428" s="86">
        <f t="shared" si="519"/>
        <v>3000</v>
      </c>
      <c r="Q1428" s="293">
        <f t="shared" si="516"/>
        <v>3000</v>
      </c>
      <c r="R1428" s="23">
        <f t="shared" si="517"/>
        <v>0</v>
      </c>
      <c r="S1428" s="86">
        <f t="shared" si="517"/>
        <v>3000</v>
      </c>
    </row>
    <row r="1429" spans="2:19" x14ac:dyDescent="0.2">
      <c r="B1429" s="83">
        <f t="shared" si="515"/>
        <v>68</v>
      </c>
      <c r="C1429" s="3"/>
      <c r="D1429" s="3"/>
      <c r="E1429" s="3"/>
      <c r="F1429" s="26" t="s">
        <v>193</v>
      </c>
      <c r="G1429" s="3">
        <v>713</v>
      </c>
      <c r="H1429" s="3" t="s">
        <v>235</v>
      </c>
      <c r="I1429" s="19"/>
      <c r="J1429" s="19"/>
      <c r="K1429" s="19">
        <f t="shared" si="518"/>
        <v>0</v>
      </c>
      <c r="M1429" s="19">
        <f>M1430</f>
        <v>3000</v>
      </c>
      <c r="N1429" s="19">
        <f t="shared" si="520"/>
        <v>0</v>
      </c>
      <c r="O1429" s="87">
        <f t="shared" si="519"/>
        <v>3000</v>
      </c>
      <c r="Q1429" s="294">
        <f t="shared" si="516"/>
        <v>3000</v>
      </c>
      <c r="R1429" s="19">
        <f t="shared" si="517"/>
        <v>0</v>
      </c>
      <c r="S1429" s="87">
        <f t="shared" si="517"/>
        <v>3000</v>
      </c>
    </row>
    <row r="1430" spans="2:19" x14ac:dyDescent="0.2">
      <c r="B1430" s="83">
        <f t="shared" si="515"/>
        <v>69</v>
      </c>
      <c r="C1430" s="4"/>
      <c r="D1430" s="4"/>
      <c r="E1430" s="4"/>
      <c r="F1430" s="31"/>
      <c r="G1430" s="4"/>
      <c r="H1430" s="4" t="s">
        <v>464</v>
      </c>
      <c r="I1430" s="21"/>
      <c r="J1430" s="21"/>
      <c r="K1430" s="21">
        <f t="shared" si="518"/>
        <v>0</v>
      </c>
      <c r="M1430" s="21">
        <v>3000</v>
      </c>
      <c r="N1430" s="21"/>
      <c r="O1430" s="88">
        <f t="shared" si="519"/>
        <v>3000</v>
      </c>
      <c r="Q1430" s="308">
        <f t="shared" si="516"/>
        <v>3000</v>
      </c>
      <c r="R1430" s="21">
        <f t="shared" si="517"/>
        <v>0</v>
      </c>
      <c r="S1430" s="88">
        <f t="shared" si="517"/>
        <v>3000</v>
      </c>
    </row>
    <row r="1431" spans="2:19" ht="15" x14ac:dyDescent="0.25">
      <c r="B1431" s="83">
        <f t="shared" si="515"/>
        <v>70</v>
      </c>
      <c r="C1431" s="267"/>
      <c r="D1431" s="267">
        <v>5</v>
      </c>
      <c r="E1431" s="368" t="s">
        <v>266</v>
      </c>
      <c r="F1431" s="361"/>
      <c r="G1431" s="361"/>
      <c r="H1431" s="362"/>
      <c r="I1431" s="37">
        <f>I1432</f>
        <v>34600</v>
      </c>
      <c r="J1431" s="37">
        <f t="shared" ref="J1431" si="521">J1432</f>
        <v>0</v>
      </c>
      <c r="K1431" s="37">
        <f t="shared" si="518"/>
        <v>34600</v>
      </c>
      <c r="M1431" s="37">
        <v>0</v>
      </c>
      <c r="N1431" s="37">
        <v>0</v>
      </c>
      <c r="O1431" s="85">
        <f t="shared" si="519"/>
        <v>0</v>
      </c>
      <c r="Q1431" s="292">
        <f t="shared" si="516"/>
        <v>34600</v>
      </c>
      <c r="R1431" s="37">
        <f t="shared" si="517"/>
        <v>0</v>
      </c>
      <c r="S1431" s="85">
        <f t="shared" si="517"/>
        <v>34600</v>
      </c>
    </row>
    <row r="1432" spans="2:19" ht="15" x14ac:dyDescent="0.25">
      <c r="B1432" s="83">
        <f t="shared" si="515"/>
        <v>71</v>
      </c>
      <c r="C1432" s="10"/>
      <c r="D1432" s="10"/>
      <c r="E1432" s="10">
        <v>2</v>
      </c>
      <c r="F1432" s="28"/>
      <c r="G1432" s="10"/>
      <c r="H1432" s="10" t="s">
        <v>18</v>
      </c>
      <c r="I1432" s="38">
        <f>I1433+I1434+I1435</f>
        <v>34600</v>
      </c>
      <c r="J1432" s="38">
        <f t="shared" ref="J1432" si="522">J1433+J1434+J1435</f>
        <v>0</v>
      </c>
      <c r="K1432" s="38">
        <f t="shared" si="518"/>
        <v>34600</v>
      </c>
      <c r="M1432" s="38"/>
      <c r="N1432" s="38"/>
      <c r="O1432" s="94">
        <f t="shared" si="519"/>
        <v>0</v>
      </c>
      <c r="Q1432" s="307">
        <f t="shared" si="516"/>
        <v>34600</v>
      </c>
      <c r="R1432" s="38">
        <f t="shared" si="517"/>
        <v>0</v>
      </c>
      <c r="S1432" s="94">
        <f t="shared" si="517"/>
        <v>34600</v>
      </c>
    </row>
    <row r="1433" spans="2:19" x14ac:dyDescent="0.2">
      <c r="B1433" s="83">
        <f t="shared" si="515"/>
        <v>72</v>
      </c>
      <c r="C1433" s="7"/>
      <c r="D1433" s="7"/>
      <c r="E1433" s="7"/>
      <c r="F1433" s="25" t="s">
        <v>193</v>
      </c>
      <c r="G1433" s="7">
        <v>610</v>
      </c>
      <c r="H1433" s="7" t="s">
        <v>143</v>
      </c>
      <c r="I1433" s="23">
        <v>9500</v>
      </c>
      <c r="J1433" s="23"/>
      <c r="K1433" s="23">
        <f t="shared" si="518"/>
        <v>9500</v>
      </c>
      <c r="M1433" s="23"/>
      <c r="N1433" s="23"/>
      <c r="O1433" s="86">
        <f t="shared" si="519"/>
        <v>0</v>
      </c>
      <c r="Q1433" s="293">
        <f t="shared" si="516"/>
        <v>9500</v>
      </c>
      <c r="R1433" s="23">
        <f t="shared" si="517"/>
        <v>0</v>
      </c>
      <c r="S1433" s="86">
        <f t="shared" si="517"/>
        <v>9500</v>
      </c>
    </row>
    <row r="1434" spans="2:19" x14ac:dyDescent="0.2">
      <c r="B1434" s="83">
        <f t="shared" si="515"/>
        <v>73</v>
      </c>
      <c r="C1434" s="7"/>
      <c r="D1434" s="7"/>
      <c r="E1434" s="7"/>
      <c r="F1434" s="25" t="s">
        <v>193</v>
      </c>
      <c r="G1434" s="7">
        <v>620</v>
      </c>
      <c r="H1434" s="7" t="s">
        <v>136</v>
      </c>
      <c r="I1434" s="23">
        <v>3400</v>
      </c>
      <c r="J1434" s="23"/>
      <c r="K1434" s="23">
        <f t="shared" si="518"/>
        <v>3400</v>
      </c>
      <c r="M1434" s="23"/>
      <c r="N1434" s="23"/>
      <c r="O1434" s="86">
        <f t="shared" si="519"/>
        <v>0</v>
      </c>
      <c r="Q1434" s="293">
        <f t="shared" si="516"/>
        <v>3400</v>
      </c>
      <c r="R1434" s="23">
        <f t="shared" si="517"/>
        <v>0</v>
      </c>
      <c r="S1434" s="86">
        <f t="shared" si="517"/>
        <v>3400</v>
      </c>
    </row>
    <row r="1435" spans="2:19" x14ac:dyDescent="0.2">
      <c r="B1435" s="83">
        <f t="shared" si="515"/>
        <v>74</v>
      </c>
      <c r="C1435" s="7"/>
      <c r="D1435" s="7"/>
      <c r="E1435" s="7"/>
      <c r="F1435" s="25" t="s">
        <v>193</v>
      </c>
      <c r="G1435" s="7">
        <v>630</v>
      </c>
      <c r="H1435" s="7" t="s">
        <v>133</v>
      </c>
      <c r="I1435" s="23">
        <f>I1440+I1439+I1438+I1437+I1436</f>
        <v>21700</v>
      </c>
      <c r="J1435" s="23">
        <f t="shared" ref="J1435" si="523">J1440+J1439+J1438+J1437+J1436</f>
        <v>0</v>
      </c>
      <c r="K1435" s="23">
        <f t="shared" si="518"/>
        <v>21700</v>
      </c>
      <c r="M1435" s="23"/>
      <c r="N1435" s="23"/>
      <c r="O1435" s="86">
        <f t="shared" si="519"/>
        <v>0</v>
      </c>
      <c r="Q1435" s="293">
        <f t="shared" si="516"/>
        <v>21700</v>
      </c>
      <c r="R1435" s="23">
        <f t="shared" si="517"/>
        <v>0</v>
      </c>
      <c r="S1435" s="86">
        <f t="shared" si="517"/>
        <v>21700</v>
      </c>
    </row>
    <row r="1436" spans="2:19" x14ac:dyDescent="0.2">
      <c r="B1436" s="83">
        <f t="shared" si="515"/>
        <v>75</v>
      </c>
      <c r="C1436" s="3"/>
      <c r="D1436" s="3"/>
      <c r="E1436" s="3"/>
      <c r="F1436" s="26" t="s">
        <v>193</v>
      </c>
      <c r="G1436" s="3">
        <v>632</v>
      </c>
      <c r="H1436" s="3" t="s">
        <v>146</v>
      </c>
      <c r="I1436" s="19">
        <v>10500</v>
      </c>
      <c r="J1436" s="19"/>
      <c r="K1436" s="19">
        <f t="shared" si="518"/>
        <v>10500</v>
      </c>
      <c r="M1436" s="19"/>
      <c r="N1436" s="19"/>
      <c r="O1436" s="87">
        <f t="shared" si="519"/>
        <v>0</v>
      </c>
      <c r="Q1436" s="294">
        <f t="shared" si="516"/>
        <v>10500</v>
      </c>
      <c r="R1436" s="19">
        <f t="shared" si="517"/>
        <v>0</v>
      </c>
      <c r="S1436" s="87">
        <f t="shared" si="517"/>
        <v>10500</v>
      </c>
    </row>
    <row r="1437" spans="2:19" x14ac:dyDescent="0.2">
      <c r="B1437" s="83">
        <f t="shared" si="515"/>
        <v>76</v>
      </c>
      <c r="C1437" s="3"/>
      <c r="D1437" s="3"/>
      <c r="E1437" s="3"/>
      <c r="F1437" s="26" t="s">
        <v>193</v>
      </c>
      <c r="G1437" s="3">
        <v>633</v>
      </c>
      <c r="H1437" s="3" t="s">
        <v>137</v>
      </c>
      <c r="I1437" s="19">
        <v>4000</v>
      </c>
      <c r="J1437" s="19"/>
      <c r="K1437" s="19">
        <f t="shared" si="518"/>
        <v>4000</v>
      </c>
      <c r="M1437" s="19"/>
      <c r="N1437" s="19"/>
      <c r="O1437" s="87">
        <f t="shared" si="519"/>
        <v>0</v>
      </c>
      <c r="Q1437" s="294">
        <f t="shared" si="516"/>
        <v>4000</v>
      </c>
      <c r="R1437" s="19">
        <f t="shared" si="517"/>
        <v>0</v>
      </c>
      <c r="S1437" s="87">
        <f t="shared" si="517"/>
        <v>4000</v>
      </c>
    </row>
    <row r="1438" spans="2:19" x14ac:dyDescent="0.2">
      <c r="B1438" s="83">
        <f t="shared" si="515"/>
        <v>77</v>
      </c>
      <c r="C1438" s="3"/>
      <c r="D1438" s="3"/>
      <c r="E1438" s="3"/>
      <c r="F1438" s="26" t="s">
        <v>193</v>
      </c>
      <c r="G1438" s="3">
        <v>634</v>
      </c>
      <c r="H1438" s="3" t="s">
        <v>144</v>
      </c>
      <c r="I1438" s="19">
        <v>200</v>
      </c>
      <c r="J1438" s="19"/>
      <c r="K1438" s="19">
        <f t="shared" si="518"/>
        <v>200</v>
      </c>
      <c r="M1438" s="19"/>
      <c r="N1438" s="19"/>
      <c r="O1438" s="87">
        <f t="shared" si="519"/>
        <v>0</v>
      </c>
      <c r="Q1438" s="294">
        <f t="shared" si="516"/>
        <v>200</v>
      </c>
      <c r="R1438" s="19">
        <f t="shared" si="517"/>
        <v>0</v>
      </c>
      <c r="S1438" s="87">
        <f t="shared" si="517"/>
        <v>200</v>
      </c>
    </row>
    <row r="1439" spans="2:19" x14ac:dyDescent="0.2">
      <c r="B1439" s="83">
        <f t="shared" si="515"/>
        <v>78</v>
      </c>
      <c r="C1439" s="3"/>
      <c r="D1439" s="3"/>
      <c r="E1439" s="3"/>
      <c r="F1439" s="26" t="s">
        <v>193</v>
      </c>
      <c r="G1439" s="3">
        <v>635</v>
      </c>
      <c r="H1439" s="3" t="s">
        <v>145</v>
      </c>
      <c r="I1439" s="19">
        <f>4000+1500</f>
        <v>5500</v>
      </c>
      <c r="J1439" s="19"/>
      <c r="K1439" s="19">
        <f t="shared" si="518"/>
        <v>5500</v>
      </c>
      <c r="M1439" s="19"/>
      <c r="N1439" s="19"/>
      <c r="O1439" s="87">
        <f t="shared" si="519"/>
        <v>0</v>
      </c>
      <c r="Q1439" s="294">
        <f t="shared" si="516"/>
        <v>5500</v>
      </c>
      <c r="R1439" s="19">
        <f t="shared" si="517"/>
        <v>0</v>
      </c>
      <c r="S1439" s="87">
        <f t="shared" si="517"/>
        <v>5500</v>
      </c>
    </row>
    <row r="1440" spans="2:19" x14ac:dyDescent="0.2">
      <c r="B1440" s="83">
        <f t="shared" si="515"/>
        <v>79</v>
      </c>
      <c r="C1440" s="3"/>
      <c r="D1440" s="3"/>
      <c r="E1440" s="3"/>
      <c r="F1440" s="26" t="s">
        <v>193</v>
      </c>
      <c r="G1440" s="3">
        <v>637</v>
      </c>
      <c r="H1440" s="3" t="s">
        <v>134</v>
      </c>
      <c r="I1440" s="19">
        <v>1500</v>
      </c>
      <c r="J1440" s="19"/>
      <c r="K1440" s="19">
        <f t="shared" si="518"/>
        <v>1500</v>
      </c>
      <c r="M1440" s="19"/>
      <c r="N1440" s="19"/>
      <c r="O1440" s="87">
        <f t="shared" si="519"/>
        <v>0</v>
      </c>
      <c r="Q1440" s="294">
        <f t="shared" si="516"/>
        <v>1500</v>
      </c>
      <c r="R1440" s="19">
        <f t="shared" si="517"/>
        <v>0</v>
      </c>
      <c r="S1440" s="87">
        <f t="shared" si="517"/>
        <v>1500</v>
      </c>
    </row>
    <row r="1441" spans="2:19" ht="15" x14ac:dyDescent="0.2">
      <c r="B1441" s="83">
        <f t="shared" si="515"/>
        <v>80</v>
      </c>
      <c r="C1441" s="268">
        <v>4</v>
      </c>
      <c r="D1441" s="360" t="s">
        <v>402</v>
      </c>
      <c r="E1441" s="361"/>
      <c r="F1441" s="361"/>
      <c r="G1441" s="361"/>
      <c r="H1441" s="362"/>
      <c r="I1441" s="148">
        <f>I1442+I1454</f>
        <v>67290</v>
      </c>
      <c r="J1441" s="148">
        <f>J1442+J1454</f>
        <v>0</v>
      </c>
      <c r="K1441" s="148">
        <f t="shared" si="518"/>
        <v>67290</v>
      </c>
      <c r="M1441" s="36">
        <f>M1442+M1454</f>
        <v>468240</v>
      </c>
      <c r="N1441" s="36">
        <f>N1442+N1454</f>
        <v>0</v>
      </c>
      <c r="O1441" s="84">
        <f t="shared" si="519"/>
        <v>468240</v>
      </c>
      <c r="Q1441" s="291">
        <f t="shared" si="516"/>
        <v>535530</v>
      </c>
      <c r="R1441" s="36">
        <f t="shared" si="517"/>
        <v>0</v>
      </c>
      <c r="S1441" s="84">
        <f t="shared" si="517"/>
        <v>535530</v>
      </c>
    </row>
    <row r="1442" spans="2:19" x14ac:dyDescent="0.2">
      <c r="B1442" s="83">
        <f t="shared" si="515"/>
        <v>81</v>
      </c>
      <c r="C1442" s="7"/>
      <c r="D1442" s="7"/>
      <c r="E1442" s="7"/>
      <c r="F1442" s="25" t="s">
        <v>193</v>
      </c>
      <c r="G1442" s="7">
        <v>710</v>
      </c>
      <c r="H1442" s="7" t="s">
        <v>188</v>
      </c>
      <c r="I1442" s="23"/>
      <c r="J1442" s="23"/>
      <c r="K1442" s="23">
        <f t="shared" si="518"/>
        <v>0</v>
      </c>
      <c r="M1442" s="23">
        <f>M1443+M1449</f>
        <v>440640</v>
      </c>
      <c r="N1442" s="23">
        <f t="shared" ref="N1442" si="524">N1443+N1449</f>
        <v>0</v>
      </c>
      <c r="O1442" s="86">
        <f t="shared" si="519"/>
        <v>440640</v>
      </c>
      <c r="Q1442" s="293">
        <f t="shared" si="516"/>
        <v>440640</v>
      </c>
      <c r="R1442" s="23">
        <f t="shared" ref="R1442:S1456" si="525">J1442+N1442</f>
        <v>0</v>
      </c>
      <c r="S1442" s="86">
        <f t="shared" si="525"/>
        <v>440640</v>
      </c>
    </row>
    <row r="1443" spans="2:19" x14ac:dyDescent="0.2">
      <c r="B1443" s="83">
        <f t="shared" si="515"/>
        <v>82</v>
      </c>
      <c r="C1443" s="3"/>
      <c r="D1443" s="3"/>
      <c r="E1443" s="3"/>
      <c r="F1443" s="26" t="s">
        <v>193</v>
      </c>
      <c r="G1443" s="3">
        <v>716</v>
      </c>
      <c r="H1443" s="3" t="s">
        <v>232</v>
      </c>
      <c r="I1443" s="19"/>
      <c r="J1443" s="19"/>
      <c r="K1443" s="19">
        <f t="shared" si="518"/>
        <v>0</v>
      </c>
      <c r="M1443" s="19">
        <f>SUM(M1444:M1448)</f>
        <v>53000</v>
      </c>
      <c r="N1443" s="19">
        <f t="shared" ref="N1443" si="526">SUM(N1444:N1448)</f>
        <v>0</v>
      </c>
      <c r="O1443" s="87">
        <f t="shared" si="519"/>
        <v>53000</v>
      </c>
      <c r="Q1443" s="294">
        <f t="shared" si="516"/>
        <v>53000</v>
      </c>
      <c r="R1443" s="19">
        <f t="shared" si="525"/>
        <v>0</v>
      </c>
      <c r="S1443" s="87">
        <f t="shared" si="525"/>
        <v>53000</v>
      </c>
    </row>
    <row r="1444" spans="2:19" x14ac:dyDescent="0.2">
      <c r="B1444" s="83">
        <f t="shared" si="515"/>
        <v>83</v>
      </c>
      <c r="C1444" s="4"/>
      <c r="D1444" s="4"/>
      <c r="E1444" s="4"/>
      <c r="F1444" s="27"/>
      <c r="G1444" s="4"/>
      <c r="H1444" s="4" t="s">
        <v>489</v>
      </c>
      <c r="I1444" s="21"/>
      <c r="J1444" s="21"/>
      <c r="K1444" s="21">
        <f t="shared" si="518"/>
        <v>0</v>
      </c>
      <c r="M1444" s="21">
        <v>23000</v>
      </c>
      <c r="N1444" s="21"/>
      <c r="O1444" s="88">
        <f t="shared" si="519"/>
        <v>23000</v>
      </c>
      <c r="Q1444" s="308">
        <f t="shared" si="516"/>
        <v>23000</v>
      </c>
      <c r="R1444" s="21">
        <f t="shared" si="525"/>
        <v>0</v>
      </c>
      <c r="S1444" s="88">
        <f t="shared" si="525"/>
        <v>23000</v>
      </c>
    </row>
    <row r="1445" spans="2:19" x14ac:dyDescent="0.2">
      <c r="B1445" s="83">
        <f t="shared" si="515"/>
        <v>84</v>
      </c>
      <c r="C1445" s="4"/>
      <c r="D1445" s="4"/>
      <c r="E1445" s="4"/>
      <c r="F1445" s="27"/>
      <c r="G1445" s="4"/>
      <c r="H1445" s="4" t="s">
        <v>379</v>
      </c>
      <c r="I1445" s="21"/>
      <c r="J1445" s="21"/>
      <c r="K1445" s="21">
        <f t="shared" si="518"/>
        <v>0</v>
      </c>
      <c r="M1445" s="21">
        <v>2000</v>
      </c>
      <c r="N1445" s="21"/>
      <c r="O1445" s="88">
        <f t="shared" si="519"/>
        <v>2000</v>
      </c>
      <c r="Q1445" s="308">
        <f t="shared" si="516"/>
        <v>2000</v>
      </c>
      <c r="R1445" s="21">
        <f t="shared" si="525"/>
        <v>0</v>
      </c>
      <c r="S1445" s="88">
        <f t="shared" si="525"/>
        <v>2000</v>
      </c>
    </row>
    <row r="1446" spans="2:19" x14ac:dyDescent="0.2">
      <c r="B1446" s="83">
        <f t="shared" si="515"/>
        <v>85</v>
      </c>
      <c r="C1446" s="4"/>
      <c r="D1446" s="4"/>
      <c r="E1446" s="4"/>
      <c r="F1446" s="27"/>
      <c r="G1446" s="4"/>
      <c r="H1446" s="4" t="s">
        <v>487</v>
      </c>
      <c r="I1446" s="21"/>
      <c r="J1446" s="21"/>
      <c r="K1446" s="21">
        <f t="shared" si="518"/>
        <v>0</v>
      </c>
      <c r="M1446" s="21">
        <v>3000</v>
      </c>
      <c r="N1446" s="21"/>
      <c r="O1446" s="88">
        <f t="shared" si="519"/>
        <v>3000</v>
      </c>
      <c r="Q1446" s="308">
        <f t="shared" si="516"/>
        <v>3000</v>
      </c>
      <c r="R1446" s="21">
        <f t="shared" si="525"/>
        <v>0</v>
      </c>
      <c r="S1446" s="88">
        <f t="shared" si="525"/>
        <v>3000</v>
      </c>
    </row>
    <row r="1447" spans="2:19" x14ac:dyDescent="0.2">
      <c r="B1447" s="83">
        <f t="shared" si="515"/>
        <v>86</v>
      </c>
      <c r="C1447" s="4"/>
      <c r="D1447" s="4"/>
      <c r="E1447" s="4"/>
      <c r="F1447" s="27"/>
      <c r="G1447" s="4"/>
      <c r="H1447" s="4" t="s">
        <v>529</v>
      </c>
      <c r="I1447" s="21"/>
      <c r="J1447" s="21"/>
      <c r="K1447" s="21">
        <f t="shared" si="518"/>
        <v>0</v>
      </c>
      <c r="M1447" s="21">
        <v>15000</v>
      </c>
      <c r="N1447" s="21"/>
      <c r="O1447" s="88">
        <f t="shared" si="519"/>
        <v>15000</v>
      </c>
      <c r="Q1447" s="308">
        <f t="shared" si="516"/>
        <v>15000</v>
      </c>
      <c r="R1447" s="21">
        <f t="shared" si="525"/>
        <v>0</v>
      </c>
      <c r="S1447" s="88">
        <f t="shared" si="525"/>
        <v>15000</v>
      </c>
    </row>
    <row r="1448" spans="2:19" x14ac:dyDescent="0.2">
      <c r="B1448" s="83">
        <f t="shared" si="515"/>
        <v>87</v>
      </c>
      <c r="C1448" s="4"/>
      <c r="D1448" s="4"/>
      <c r="E1448" s="4"/>
      <c r="F1448" s="27"/>
      <c r="G1448" s="4"/>
      <c r="H1448" s="4" t="s">
        <v>535</v>
      </c>
      <c r="I1448" s="21"/>
      <c r="J1448" s="21"/>
      <c r="K1448" s="21">
        <f t="shared" si="518"/>
        <v>0</v>
      </c>
      <c r="M1448" s="21">
        <v>10000</v>
      </c>
      <c r="N1448" s="21"/>
      <c r="O1448" s="88">
        <f t="shared" si="519"/>
        <v>10000</v>
      </c>
      <c r="Q1448" s="308">
        <f t="shared" si="516"/>
        <v>10000</v>
      </c>
      <c r="R1448" s="21">
        <f t="shared" si="525"/>
        <v>0</v>
      </c>
      <c r="S1448" s="88">
        <f t="shared" si="525"/>
        <v>10000</v>
      </c>
    </row>
    <row r="1449" spans="2:19" x14ac:dyDescent="0.2">
      <c r="B1449" s="83">
        <f t="shared" si="515"/>
        <v>88</v>
      </c>
      <c r="C1449" s="3"/>
      <c r="D1449" s="3"/>
      <c r="E1449" s="3"/>
      <c r="F1449" s="26" t="s">
        <v>193</v>
      </c>
      <c r="G1449" s="3">
        <v>717</v>
      </c>
      <c r="H1449" s="3" t="s">
        <v>198</v>
      </c>
      <c r="I1449" s="19"/>
      <c r="J1449" s="19"/>
      <c r="K1449" s="19">
        <f t="shared" si="518"/>
        <v>0</v>
      </c>
      <c r="M1449" s="19">
        <f>SUM(M1450:M1453)</f>
        <v>387640</v>
      </c>
      <c r="N1449" s="19">
        <f>SUM(N1450:N1453)</f>
        <v>0</v>
      </c>
      <c r="O1449" s="87">
        <f t="shared" si="519"/>
        <v>387640</v>
      </c>
      <c r="Q1449" s="294">
        <f t="shared" si="516"/>
        <v>387640</v>
      </c>
      <c r="R1449" s="19">
        <f t="shared" si="525"/>
        <v>0</v>
      </c>
      <c r="S1449" s="87">
        <f t="shared" si="525"/>
        <v>387640</v>
      </c>
    </row>
    <row r="1450" spans="2:19" x14ac:dyDescent="0.2">
      <c r="B1450" s="83">
        <f t="shared" si="515"/>
        <v>89</v>
      </c>
      <c r="C1450" s="4"/>
      <c r="D1450" s="4"/>
      <c r="E1450" s="4"/>
      <c r="F1450" s="27"/>
      <c r="G1450" s="4"/>
      <c r="H1450" s="4" t="s">
        <v>306</v>
      </c>
      <c r="I1450" s="21"/>
      <c r="J1450" s="21"/>
      <c r="K1450" s="21">
        <f t="shared" si="518"/>
        <v>0</v>
      </c>
      <c r="M1450" s="21">
        <f>35760-120</f>
        <v>35640</v>
      </c>
      <c r="N1450" s="21"/>
      <c r="O1450" s="88">
        <f t="shared" si="519"/>
        <v>35640</v>
      </c>
      <c r="Q1450" s="308">
        <f t="shared" si="516"/>
        <v>35640</v>
      </c>
      <c r="R1450" s="21">
        <f t="shared" si="525"/>
        <v>0</v>
      </c>
      <c r="S1450" s="88">
        <f t="shared" si="525"/>
        <v>35640</v>
      </c>
    </row>
    <row r="1451" spans="2:19" x14ac:dyDescent="0.2">
      <c r="B1451" s="83">
        <f t="shared" si="515"/>
        <v>90</v>
      </c>
      <c r="C1451" s="4"/>
      <c r="D1451" s="4"/>
      <c r="E1451" s="4"/>
      <c r="F1451" s="27"/>
      <c r="G1451" s="4"/>
      <c r="H1451" s="4" t="s">
        <v>487</v>
      </c>
      <c r="I1451" s="21"/>
      <c r="J1451" s="21"/>
      <c r="K1451" s="21">
        <f t="shared" si="518"/>
        <v>0</v>
      </c>
      <c r="M1451" s="21">
        <v>77000</v>
      </c>
      <c r="N1451" s="21"/>
      <c r="O1451" s="88">
        <f t="shared" si="519"/>
        <v>77000</v>
      </c>
      <c r="Q1451" s="308">
        <f t="shared" si="516"/>
        <v>77000</v>
      </c>
      <c r="R1451" s="21">
        <f t="shared" si="525"/>
        <v>0</v>
      </c>
      <c r="S1451" s="88">
        <f t="shared" si="525"/>
        <v>77000</v>
      </c>
    </row>
    <row r="1452" spans="2:19" x14ac:dyDescent="0.2">
      <c r="B1452" s="83">
        <f t="shared" si="515"/>
        <v>91</v>
      </c>
      <c r="C1452" s="4"/>
      <c r="D1452" s="4"/>
      <c r="E1452" s="4"/>
      <c r="F1452" s="27"/>
      <c r="G1452" s="4"/>
      <c r="H1452" s="4" t="s">
        <v>456</v>
      </c>
      <c r="I1452" s="21"/>
      <c r="J1452" s="21"/>
      <c r="K1452" s="21">
        <f t="shared" si="518"/>
        <v>0</v>
      </c>
      <c r="M1452" s="21">
        <v>60000</v>
      </c>
      <c r="N1452" s="21"/>
      <c r="O1452" s="88">
        <f t="shared" si="519"/>
        <v>60000</v>
      </c>
      <c r="Q1452" s="308">
        <f t="shared" si="516"/>
        <v>60000</v>
      </c>
      <c r="R1452" s="21">
        <f t="shared" si="525"/>
        <v>0</v>
      </c>
      <c r="S1452" s="88">
        <f t="shared" si="525"/>
        <v>60000</v>
      </c>
    </row>
    <row r="1453" spans="2:19" x14ac:dyDescent="0.2">
      <c r="B1453" s="83">
        <f t="shared" si="515"/>
        <v>92</v>
      </c>
      <c r="C1453" s="4"/>
      <c r="D1453" s="4"/>
      <c r="E1453" s="4"/>
      <c r="F1453" s="27"/>
      <c r="G1453" s="4"/>
      <c r="H1453" s="4" t="s">
        <v>530</v>
      </c>
      <c r="I1453" s="21"/>
      <c r="J1453" s="21"/>
      <c r="K1453" s="21">
        <f t="shared" si="518"/>
        <v>0</v>
      </c>
      <c r="M1453" s="21">
        <v>215000</v>
      </c>
      <c r="N1453" s="21"/>
      <c r="O1453" s="88">
        <f t="shared" si="519"/>
        <v>215000</v>
      </c>
      <c r="Q1453" s="308">
        <f t="shared" si="516"/>
        <v>215000</v>
      </c>
      <c r="R1453" s="21">
        <f t="shared" si="525"/>
        <v>0</v>
      </c>
      <c r="S1453" s="88">
        <f t="shared" si="525"/>
        <v>215000</v>
      </c>
    </row>
    <row r="1454" spans="2:19" ht="15" x14ac:dyDescent="0.25">
      <c r="B1454" s="83">
        <f t="shared" si="515"/>
        <v>93</v>
      </c>
      <c r="C1454" s="10"/>
      <c r="D1454" s="10"/>
      <c r="E1454" s="10">
        <v>2</v>
      </c>
      <c r="F1454" s="28"/>
      <c r="G1454" s="10"/>
      <c r="H1454" s="10" t="s">
        <v>415</v>
      </c>
      <c r="I1454" s="38">
        <f>I1455+I1456+I1457+I1465+I1466</f>
        <v>67290</v>
      </c>
      <c r="J1454" s="38">
        <f t="shared" ref="J1454" si="527">J1455+J1456+J1457+J1465+J1466</f>
        <v>0</v>
      </c>
      <c r="K1454" s="38">
        <f t="shared" si="518"/>
        <v>67290</v>
      </c>
      <c r="M1454" s="38">
        <f>M1466</f>
        <v>27600</v>
      </c>
      <c r="N1454" s="38">
        <f t="shared" ref="N1454" si="528">N1466</f>
        <v>0</v>
      </c>
      <c r="O1454" s="94">
        <f t="shared" si="519"/>
        <v>27600</v>
      </c>
      <c r="Q1454" s="307">
        <f t="shared" si="516"/>
        <v>94890</v>
      </c>
      <c r="R1454" s="38">
        <f t="shared" si="525"/>
        <v>0</v>
      </c>
      <c r="S1454" s="94">
        <f t="shared" si="525"/>
        <v>94890</v>
      </c>
    </row>
    <row r="1455" spans="2:19" x14ac:dyDescent="0.2">
      <c r="B1455" s="83">
        <f t="shared" si="515"/>
        <v>94</v>
      </c>
      <c r="C1455" s="7"/>
      <c r="D1455" s="7"/>
      <c r="E1455" s="7"/>
      <c r="F1455" s="25" t="s">
        <v>193</v>
      </c>
      <c r="G1455" s="7">
        <v>610</v>
      </c>
      <c r="H1455" s="7" t="s">
        <v>143</v>
      </c>
      <c r="I1455" s="23">
        <v>24500</v>
      </c>
      <c r="J1455" s="23"/>
      <c r="K1455" s="23">
        <f t="shared" si="518"/>
        <v>24500</v>
      </c>
      <c r="M1455" s="23"/>
      <c r="N1455" s="23"/>
      <c r="O1455" s="86">
        <f t="shared" si="519"/>
        <v>0</v>
      </c>
      <c r="Q1455" s="293">
        <f t="shared" si="516"/>
        <v>24500</v>
      </c>
      <c r="R1455" s="23">
        <f t="shared" si="525"/>
        <v>0</v>
      </c>
      <c r="S1455" s="86">
        <f t="shared" si="525"/>
        <v>24500</v>
      </c>
    </row>
    <row r="1456" spans="2:19" x14ac:dyDescent="0.2">
      <c r="B1456" s="83">
        <f t="shared" si="515"/>
        <v>95</v>
      </c>
      <c r="C1456" s="7"/>
      <c r="D1456" s="7"/>
      <c r="E1456" s="7"/>
      <c r="F1456" s="25" t="s">
        <v>193</v>
      </c>
      <c r="G1456" s="7">
        <v>620</v>
      </c>
      <c r="H1456" s="7" t="s">
        <v>136</v>
      </c>
      <c r="I1456" s="23">
        <v>10720</v>
      </c>
      <c r="J1456" s="23"/>
      <c r="K1456" s="23">
        <f t="shared" si="518"/>
        <v>10720</v>
      </c>
      <c r="M1456" s="23"/>
      <c r="N1456" s="23"/>
      <c r="O1456" s="86">
        <f t="shared" si="519"/>
        <v>0</v>
      </c>
      <c r="Q1456" s="293">
        <f t="shared" si="516"/>
        <v>10720</v>
      </c>
      <c r="R1456" s="23">
        <f t="shared" si="525"/>
        <v>0</v>
      </c>
      <c r="S1456" s="86">
        <f t="shared" si="525"/>
        <v>10720</v>
      </c>
    </row>
    <row r="1457" spans="2:19" x14ac:dyDescent="0.2">
      <c r="B1457" s="83">
        <f t="shared" si="515"/>
        <v>96</v>
      </c>
      <c r="C1457" s="7"/>
      <c r="D1457" s="7"/>
      <c r="E1457" s="7"/>
      <c r="F1457" s="25" t="s">
        <v>193</v>
      </c>
      <c r="G1457" s="7">
        <v>630</v>
      </c>
      <c r="H1457" s="7" t="s">
        <v>133</v>
      </c>
      <c r="I1457" s="23">
        <f>SUM(I1458:I1464)</f>
        <v>31720</v>
      </c>
      <c r="J1457" s="23">
        <f t="shared" ref="J1457" si="529">SUM(J1458:J1464)</f>
        <v>0</v>
      </c>
      <c r="K1457" s="23">
        <f t="shared" si="518"/>
        <v>31720</v>
      </c>
      <c r="M1457" s="23"/>
      <c r="N1457" s="23"/>
      <c r="O1457" s="86">
        <f t="shared" si="519"/>
        <v>0</v>
      </c>
      <c r="Q1457" s="293">
        <f t="shared" ref="Q1457:Q1468" si="530">I1457+M1457</f>
        <v>31720</v>
      </c>
      <c r="R1457" s="23">
        <f t="shared" ref="R1457:S1468" si="531">J1457+N1457</f>
        <v>0</v>
      </c>
      <c r="S1457" s="86">
        <f t="shared" si="531"/>
        <v>31720</v>
      </c>
    </row>
    <row r="1458" spans="2:19" x14ac:dyDescent="0.2">
      <c r="B1458" s="83">
        <f t="shared" si="515"/>
        <v>97</v>
      </c>
      <c r="C1458" s="3"/>
      <c r="D1458" s="3"/>
      <c r="E1458" s="3"/>
      <c r="F1458" s="26" t="s">
        <v>193</v>
      </c>
      <c r="G1458" s="3">
        <v>633</v>
      </c>
      <c r="H1458" s="3" t="s">
        <v>137</v>
      </c>
      <c r="I1458" s="19">
        <v>13500</v>
      </c>
      <c r="J1458" s="19"/>
      <c r="K1458" s="19">
        <f t="shared" si="518"/>
        <v>13500</v>
      </c>
      <c r="M1458" s="19"/>
      <c r="N1458" s="19"/>
      <c r="O1458" s="87">
        <f t="shared" si="519"/>
        <v>0</v>
      </c>
      <c r="Q1458" s="294">
        <f t="shared" si="530"/>
        <v>13500</v>
      </c>
      <c r="R1458" s="19">
        <f t="shared" si="531"/>
        <v>0</v>
      </c>
      <c r="S1458" s="87">
        <f t="shared" si="531"/>
        <v>13500</v>
      </c>
    </row>
    <row r="1459" spans="2:19" x14ac:dyDescent="0.2">
      <c r="B1459" s="83">
        <f t="shared" si="515"/>
        <v>98</v>
      </c>
      <c r="C1459" s="3"/>
      <c r="D1459" s="3"/>
      <c r="E1459" s="3"/>
      <c r="F1459" s="26" t="s">
        <v>193</v>
      </c>
      <c r="G1459" s="3">
        <v>634</v>
      </c>
      <c r="H1459" s="3" t="s">
        <v>144</v>
      </c>
      <c r="I1459" s="19">
        <v>1100</v>
      </c>
      <c r="J1459" s="19"/>
      <c r="K1459" s="19">
        <f t="shared" si="518"/>
        <v>1100</v>
      </c>
      <c r="M1459" s="19"/>
      <c r="N1459" s="19"/>
      <c r="O1459" s="87">
        <f t="shared" si="519"/>
        <v>0</v>
      </c>
      <c r="Q1459" s="294">
        <f t="shared" si="530"/>
        <v>1100</v>
      </c>
      <c r="R1459" s="19">
        <f t="shared" si="531"/>
        <v>0</v>
      </c>
      <c r="S1459" s="87">
        <f t="shared" si="531"/>
        <v>1100</v>
      </c>
    </row>
    <row r="1460" spans="2:19" x14ac:dyDescent="0.2">
      <c r="B1460" s="83">
        <f t="shared" si="515"/>
        <v>99</v>
      </c>
      <c r="C1460" s="3"/>
      <c r="D1460" s="3"/>
      <c r="E1460" s="3"/>
      <c r="F1460" s="26" t="s">
        <v>193</v>
      </c>
      <c r="G1460" s="3">
        <v>635</v>
      </c>
      <c r="H1460" s="3" t="s">
        <v>145</v>
      </c>
      <c r="I1460" s="19">
        <v>1700</v>
      </c>
      <c r="J1460" s="19"/>
      <c r="K1460" s="19">
        <f t="shared" si="518"/>
        <v>1700</v>
      </c>
      <c r="M1460" s="19"/>
      <c r="N1460" s="19"/>
      <c r="O1460" s="87">
        <f t="shared" si="519"/>
        <v>0</v>
      </c>
      <c r="Q1460" s="294">
        <f t="shared" si="530"/>
        <v>1700</v>
      </c>
      <c r="R1460" s="19">
        <f t="shared" si="531"/>
        <v>0</v>
      </c>
      <c r="S1460" s="87">
        <f t="shared" si="531"/>
        <v>1700</v>
      </c>
    </row>
    <row r="1461" spans="2:19" x14ac:dyDescent="0.2">
      <c r="B1461" s="83">
        <f t="shared" si="515"/>
        <v>100</v>
      </c>
      <c r="C1461" s="3"/>
      <c r="D1461" s="3"/>
      <c r="E1461" s="3"/>
      <c r="F1461" s="26" t="s">
        <v>193</v>
      </c>
      <c r="G1461" s="3">
        <v>635</v>
      </c>
      <c r="H1461" s="3" t="s">
        <v>449</v>
      </c>
      <c r="I1461" s="19">
        <v>6000</v>
      </c>
      <c r="J1461" s="19"/>
      <c r="K1461" s="19">
        <f t="shared" si="518"/>
        <v>6000</v>
      </c>
      <c r="M1461" s="19"/>
      <c r="N1461" s="19"/>
      <c r="O1461" s="87">
        <f t="shared" si="519"/>
        <v>0</v>
      </c>
      <c r="Q1461" s="294">
        <f t="shared" si="530"/>
        <v>6000</v>
      </c>
      <c r="R1461" s="19">
        <f t="shared" si="531"/>
        <v>0</v>
      </c>
      <c r="S1461" s="87">
        <f t="shared" si="531"/>
        <v>6000</v>
      </c>
    </row>
    <row r="1462" spans="2:19" ht="24" x14ac:dyDescent="0.2">
      <c r="B1462" s="111">
        <f t="shared" si="515"/>
        <v>101</v>
      </c>
      <c r="C1462" s="48"/>
      <c r="D1462" s="48"/>
      <c r="E1462" s="48"/>
      <c r="F1462" s="174" t="s">
        <v>193</v>
      </c>
      <c r="G1462" s="48">
        <v>635</v>
      </c>
      <c r="H1462" s="175" t="s">
        <v>518</v>
      </c>
      <c r="I1462" s="51">
        <v>1500</v>
      </c>
      <c r="J1462" s="51"/>
      <c r="K1462" s="51">
        <f t="shared" si="518"/>
        <v>1500</v>
      </c>
      <c r="M1462" s="51"/>
      <c r="N1462" s="51"/>
      <c r="O1462" s="112">
        <f t="shared" si="519"/>
        <v>0</v>
      </c>
      <c r="Q1462" s="313">
        <f t="shared" si="530"/>
        <v>1500</v>
      </c>
      <c r="R1462" s="51">
        <f t="shared" si="531"/>
        <v>0</v>
      </c>
      <c r="S1462" s="112">
        <f t="shared" si="531"/>
        <v>1500</v>
      </c>
    </row>
    <row r="1463" spans="2:19" x14ac:dyDescent="0.2">
      <c r="B1463" s="83">
        <f t="shared" si="515"/>
        <v>102</v>
      </c>
      <c r="C1463" s="3"/>
      <c r="D1463" s="3"/>
      <c r="E1463" s="3"/>
      <c r="F1463" s="26" t="s">
        <v>193</v>
      </c>
      <c r="G1463" s="3">
        <v>636</v>
      </c>
      <c r="H1463" s="3" t="s">
        <v>138</v>
      </c>
      <c r="I1463" s="19">
        <v>300</v>
      </c>
      <c r="J1463" s="19"/>
      <c r="K1463" s="19">
        <f t="shared" si="518"/>
        <v>300</v>
      </c>
      <c r="M1463" s="19"/>
      <c r="N1463" s="19"/>
      <c r="O1463" s="87">
        <f t="shared" si="519"/>
        <v>0</v>
      </c>
      <c r="Q1463" s="294">
        <f t="shared" si="530"/>
        <v>300</v>
      </c>
      <c r="R1463" s="19">
        <f t="shared" si="531"/>
        <v>0</v>
      </c>
      <c r="S1463" s="87">
        <f t="shared" si="531"/>
        <v>300</v>
      </c>
    </row>
    <row r="1464" spans="2:19" x14ac:dyDescent="0.2">
      <c r="B1464" s="83">
        <f t="shared" si="515"/>
        <v>103</v>
      </c>
      <c r="C1464" s="3"/>
      <c r="D1464" s="3"/>
      <c r="E1464" s="3"/>
      <c r="F1464" s="26" t="s">
        <v>193</v>
      </c>
      <c r="G1464" s="3">
        <v>637</v>
      </c>
      <c r="H1464" s="3" t="s">
        <v>134</v>
      </c>
      <c r="I1464" s="19">
        <v>7620</v>
      </c>
      <c r="J1464" s="19"/>
      <c r="K1464" s="19">
        <f t="shared" si="518"/>
        <v>7620</v>
      </c>
      <c r="M1464" s="19"/>
      <c r="N1464" s="19"/>
      <c r="O1464" s="87">
        <f t="shared" si="519"/>
        <v>0</v>
      </c>
      <c r="Q1464" s="294">
        <f t="shared" si="530"/>
        <v>7620</v>
      </c>
      <c r="R1464" s="19">
        <f t="shared" si="531"/>
        <v>0</v>
      </c>
      <c r="S1464" s="87">
        <f t="shared" si="531"/>
        <v>7620</v>
      </c>
    </row>
    <row r="1465" spans="2:19" x14ac:dyDescent="0.2">
      <c r="B1465" s="83">
        <f t="shared" si="515"/>
        <v>104</v>
      </c>
      <c r="C1465" s="7"/>
      <c r="D1465" s="7"/>
      <c r="E1465" s="7"/>
      <c r="F1465" s="25" t="s">
        <v>193</v>
      </c>
      <c r="G1465" s="7">
        <v>640</v>
      </c>
      <c r="H1465" s="7" t="s">
        <v>141</v>
      </c>
      <c r="I1465" s="23">
        <v>350</v>
      </c>
      <c r="J1465" s="23"/>
      <c r="K1465" s="23">
        <f t="shared" si="518"/>
        <v>350</v>
      </c>
      <c r="M1465" s="23"/>
      <c r="N1465" s="23"/>
      <c r="O1465" s="86">
        <f t="shared" si="519"/>
        <v>0</v>
      </c>
      <c r="Q1465" s="293">
        <f t="shared" si="530"/>
        <v>350</v>
      </c>
      <c r="R1465" s="23">
        <f t="shared" si="531"/>
        <v>0</v>
      </c>
      <c r="S1465" s="86">
        <f t="shared" si="531"/>
        <v>350</v>
      </c>
    </row>
    <row r="1466" spans="2:19" x14ac:dyDescent="0.2">
      <c r="B1466" s="83">
        <f t="shared" si="515"/>
        <v>105</v>
      </c>
      <c r="C1466" s="7"/>
      <c r="D1466" s="7"/>
      <c r="E1466" s="7"/>
      <c r="F1466" s="25" t="s">
        <v>193</v>
      </c>
      <c r="G1466" s="7">
        <v>710</v>
      </c>
      <c r="H1466" s="7" t="s">
        <v>188</v>
      </c>
      <c r="I1466" s="23"/>
      <c r="J1466" s="23"/>
      <c r="K1466" s="23">
        <f t="shared" si="518"/>
        <v>0</v>
      </c>
      <c r="M1466" s="23">
        <f>M1467</f>
        <v>27600</v>
      </c>
      <c r="N1466" s="23">
        <f t="shared" ref="N1466:N1467" si="532">N1467</f>
        <v>0</v>
      </c>
      <c r="O1466" s="86">
        <f t="shared" si="519"/>
        <v>27600</v>
      </c>
      <c r="Q1466" s="293">
        <f t="shared" si="530"/>
        <v>27600</v>
      </c>
      <c r="R1466" s="23">
        <f t="shared" si="531"/>
        <v>0</v>
      </c>
      <c r="S1466" s="86">
        <f t="shared" si="531"/>
        <v>27600</v>
      </c>
    </row>
    <row r="1467" spans="2:19" x14ac:dyDescent="0.2">
      <c r="B1467" s="83">
        <f t="shared" si="515"/>
        <v>106</v>
      </c>
      <c r="C1467" s="3"/>
      <c r="D1467" s="3"/>
      <c r="E1467" s="3"/>
      <c r="F1467" s="26" t="s">
        <v>193</v>
      </c>
      <c r="G1467" s="3">
        <v>717</v>
      </c>
      <c r="H1467" s="3" t="s">
        <v>198</v>
      </c>
      <c r="I1467" s="19"/>
      <c r="J1467" s="19"/>
      <c r="K1467" s="19">
        <f t="shared" si="518"/>
        <v>0</v>
      </c>
      <c r="M1467" s="19">
        <f>M1468</f>
        <v>27600</v>
      </c>
      <c r="N1467" s="19">
        <f t="shared" si="532"/>
        <v>0</v>
      </c>
      <c r="O1467" s="87">
        <f t="shared" si="519"/>
        <v>27600</v>
      </c>
      <c r="Q1467" s="294">
        <f t="shared" si="530"/>
        <v>27600</v>
      </c>
      <c r="R1467" s="19">
        <f t="shared" si="531"/>
        <v>0</v>
      </c>
      <c r="S1467" s="87">
        <f t="shared" si="531"/>
        <v>27600</v>
      </c>
    </row>
    <row r="1468" spans="2:19" ht="13.5" thickBot="1" x14ac:dyDescent="0.25">
      <c r="B1468" s="89">
        <f t="shared" si="515"/>
        <v>107</v>
      </c>
      <c r="C1468" s="95"/>
      <c r="D1468" s="95"/>
      <c r="E1468" s="95"/>
      <c r="F1468" s="101"/>
      <c r="G1468" s="95"/>
      <c r="H1468" s="95" t="s">
        <v>380</v>
      </c>
      <c r="I1468" s="98"/>
      <c r="J1468" s="98"/>
      <c r="K1468" s="98">
        <f t="shared" si="518"/>
        <v>0</v>
      </c>
      <c r="L1468" s="270"/>
      <c r="M1468" s="98">
        <v>27600</v>
      </c>
      <c r="N1468" s="98"/>
      <c r="O1468" s="99">
        <f t="shared" si="519"/>
        <v>27600</v>
      </c>
      <c r="Q1468" s="296">
        <f t="shared" si="530"/>
        <v>27600</v>
      </c>
      <c r="R1468" s="98">
        <f t="shared" si="531"/>
        <v>0</v>
      </c>
      <c r="S1468" s="99">
        <f t="shared" si="531"/>
        <v>27600</v>
      </c>
    </row>
    <row r="1513" spans="2:19" ht="27.75" thickBot="1" x14ac:dyDescent="0.4">
      <c r="B1513" s="352" t="s">
        <v>29</v>
      </c>
      <c r="C1513" s="353"/>
      <c r="D1513" s="353"/>
      <c r="E1513" s="353"/>
      <c r="F1513" s="353"/>
      <c r="G1513" s="353"/>
      <c r="H1513" s="353"/>
      <c r="I1513" s="353"/>
      <c r="J1513" s="353"/>
      <c r="K1513" s="353"/>
      <c r="L1513" s="353"/>
      <c r="M1513" s="353"/>
      <c r="N1513" s="353"/>
      <c r="O1513" s="353"/>
      <c r="P1513" s="353"/>
      <c r="Q1513" s="353"/>
    </row>
    <row r="1514" spans="2:19" ht="13.5" customHeight="1" thickBot="1" x14ac:dyDescent="0.25">
      <c r="B1514" s="378" t="s">
        <v>364</v>
      </c>
      <c r="C1514" s="379"/>
      <c r="D1514" s="379"/>
      <c r="E1514" s="379"/>
      <c r="F1514" s="379"/>
      <c r="G1514" s="379"/>
      <c r="H1514" s="379"/>
      <c r="I1514" s="379"/>
      <c r="J1514" s="379"/>
      <c r="K1514" s="379"/>
      <c r="L1514" s="379"/>
      <c r="M1514" s="379"/>
      <c r="N1514" s="379"/>
      <c r="O1514" s="380"/>
      <c r="P1514" s="271"/>
      <c r="Q1514" s="354" t="s">
        <v>571</v>
      </c>
      <c r="R1514" s="392" t="s">
        <v>565</v>
      </c>
      <c r="S1514" s="395" t="s">
        <v>569</v>
      </c>
    </row>
    <row r="1515" spans="2:19" ht="13.5" customHeight="1" thickBot="1" x14ac:dyDescent="0.25">
      <c r="B1515" s="366"/>
      <c r="C1515" s="357" t="s">
        <v>126</v>
      </c>
      <c r="D1515" s="357" t="s">
        <v>127</v>
      </c>
      <c r="E1515" s="357"/>
      <c r="F1515" s="357" t="s">
        <v>128</v>
      </c>
      <c r="G1515" s="371" t="s">
        <v>129</v>
      </c>
      <c r="H1515" s="374" t="s">
        <v>130</v>
      </c>
      <c r="I1515" s="363" t="s">
        <v>566</v>
      </c>
      <c r="J1515" s="377" t="s">
        <v>565</v>
      </c>
      <c r="K1515" s="376" t="s">
        <v>567</v>
      </c>
      <c r="M1515" s="363" t="s">
        <v>568</v>
      </c>
      <c r="N1515" s="377" t="s">
        <v>565</v>
      </c>
      <c r="O1515" s="376" t="s">
        <v>570</v>
      </c>
      <c r="Q1515" s="355"/>
      <c r="R1515" s="393"/>
      <c r="S1515" s="396"/>
    </row>
    <row r="1516" spans="2:19" ht="13.5" thickBot="1" x14ac:dyDescent="0.25">
      <c r="B1516" s="367"/>
      <c r="C1516" s="358"/>
      <c r="D1516" s="358"/>
      <c r="E1516" s="358"/>
      <c r="F1516" s="358"/>
      <c r="G1516" s="372"/>
      <c r="H1516" s="375"/>
      <c r="I1516" s="363"/>
      <c r="J1516" s="377"/>
      <c r="K1516" s="376"/>
      <c r="M1516" s="363"/>
      <c r="N1516" s="377"/>
      <c r="O1516" s="376"/>
      <c r="Q1516" s="355"/>
      <c r="R1516" s="393"/>
      <c r="S1516" s="396"/>
    </row>
    <row r="1517" spans="2:19" ht="13.5" thickBot="1" x14ac:dyDescent="0.25">
      <c r="B1517" s="367"/>
      <c r="C1517" s="358"/>
      <c r="D1517" s="358"/>
      <c r="E1517" s="358"/>
      <c r="F1517" s="358"/>
      <c r="G1517" s="372"/>
      <c r="H1517" s="375"/>
      <c r="I1517" s="363"/>
      <c r="J1517" s="377"/>
      <c r="K1517" s="376"/>
      <c r="M1517" s="363"/>
      <c r="N1517" s="377"/>
      <c r="O1517" s="376"/>
      <c r="Q1517" s="355"/>
      <c r="R1517" s="393"/>
      <c r="S1517" s="396"/>
    </row>
    <row r="1518" spans="2:19" ht="13.5" thickBot="1" x14ac:dyDescent="0.25">
      <c r="B1518" s="367"/>
      <c r="C1518" s="359"/>
      <c r="D1518" s="359"/>
      <c r="E1518" s="359"/>
      <c r="F1518" s="359"/>
      <c r="G1518" s="373"/>
      <c r="H1518" s="375"/>
      <c r="I1518" s="363"/>
      <c r="J1518" s="377"/>
      <c r="K1518" s="376"/>
      <c r="M1518" s="363"/>
      <c r="N1518" s="377"/>
      <c r="O1518" s="376"/>
      <c r="Q1518" s="356"/>
      <c r="R1518" s="394"/>
      <c r="S1518" s="397"/>
    </row>
    <row r="1519" spans="2:19" ht="16.5" thickTop="1" x14ac:dyDescent="0.2">
      <c r="B1519" s="83">
        <f t="shared" ref="B1519:B1557" si="533">B1518+1</f>
        <v>1</v>
      </c>
      <c r="C1519" s="385" t="s">
        <v>29</v>
      </c>
      <c r="D1519" s="390"/>
      <c r="E1519" s="390"/>
      <c r="F1519" s="390"/>
      <c r="G1519" s="390"/>
      <c r="H1519" s="391"/>
      <c r="I1519" s="35">
        <f>I1555+I1541+I1536+I1520</f>
        <v>502920</v>
      </c>
      <c r="J1519" s="35">
        <f>J1555+J1541+J1536+J1520</f>
        <v>0</v>
      </c>
      <c r="K1519" s="35">
        <f>I1519+J1519</f>
        <v>502920</v>
      </c>
      <c r="M1519" s="35">
        <f>M1520+M1536+M1541+M1555</f>
        <v>52320</v>
      </c>
      <c r="N1519" s="35">
        <f>N1520+N1536+N1541+N1555</f>
        <v>0</v>
      </c>
      <c r="O1519" s="93">
        <f>M1519+N1519</f>
        <v>52320</v>
      </c>
      <c r="Q1519" s="290">
        <f t="shared" ref="Q1519:Q1557" si="534">I1519+M1519</f>
        <v>555240</v>
      </c>
      <c r="R1519" s="35">
        <f t="shared" ref="R1519:S1537" si="535">J1519+N1519</f>
        <v>0</v>
      </c>
      <c r="S1519" s="93">
        <f t="shared" si="535"/>
        <v>555240</v>
      </c>
    </row>
    <row r="1520" spans="2:19" ht="15" x14ac:dyDescent="0.2">
      <c r="B1520" s="83">
        <f t="shared" si="533"/>
        <v>2</v>
      </c>
      <c r="C1520" s="268">
        <v>1</v>
      </c>
      <c r="D1520" s="360" t="s">
        <v>243</v>
      </c>
      <c r="E1520" s="361"/>
      <c r="F1520" s="361"/>
      <c r="G1520" s="361"/>
      <c r="H1520" s="362"/>
      <c r="I1520" s="36">
        <f>I1521</f>
        <v>172500</v>
      </c>
      <c r="J1520" s="36">
        <f t="shared" ref="J1520" si="536">J1521</f>
        <v>0</v>
      </c>
      <c r="K1520" s="36">
        <f t="shared" ref="K1520:K1557" si="537">I1520+J1520</f>
        <v>172500</v>
      </c>
      <c r="M1520" s="36">
        <v>0</v>
      </c>
      <c r="N1520" s="36">
        <v>0</v>
      </c>
      <c r="O1520" s="84">
        <f t="shared" ref="O1520:O1557" si="538">M1520+N1520</f>
        <v>0</v>
      </c>
      <c r="Q1520" s="291">
        <f t="shared" si="534"/>
        <v>172500</v>
      </c>
      <c r="R1520" s="36">
        <f t="shared" si="535"/>
        <v>0</v>
      </c>
      <c r="S1520" s="84">
        <f t="shared" si="535"/>
        <v>172500</v>
      </c>
    </row>
    <row r="1521" spans="2:43" x14ac:dyDescent="0.2">
      <c r="B1521" s="83">
        <f t="shared" si="533"/>
        <v>3</v>
      </c>
      <c r="C1521" s="7"/>
      <c r="D1521" s="7"/>
      <c r="E1521" s="7"/>
      <c r="F1521" s="25" t="s">
        <v>82</v>
      </c>
      <c r="G1521" s="7">
        <v>640</v>
      </c>
      <c r="H1521" s="7" t="s">
        <v>141</v>
      </c>
      <c r="I1521" s="23">
        <f>SUM(I1522:I1531)</f>
        <v>172500</v>
      </c>
      <c r="J1521" s="23">
        <f>SUM(J1522:J1535)</f>
        <v>0</v>
      </c>
      <c r="K1521" s="23">
        <f t="shared" si="537"/>
        <v>172500</v>
      </c>
      <c r="M1521" s="23"/>
      <c r="N1521" s="23"/>
      <c r="O1521" s="86">
        <f t="shared" si="538"/>
        <v>0</v>
      </c>
      <c r="Q1521" s="293">
        <f t="shared" si="534"/>
        <v>172500</v>
      </c>
      <c r="R1521" s="23">
        <f t="shared" si="535"/>
        <v>0</v>
      </c>
      <c r="S1521" s="86">
        <f t="shared" si="535"/>
        <v>172500</v>
      </c>
    </row>
    <row r="1522" spans="2:43" x14ac:dyDescent="0.2">
      <c r="B1522" s="83">
        <f t="shared" si="533"/>
        <v>4</v>
      </c>
      <c r="C1522" s="4"/>
      <c r="D1522" s="4"/>
      <c r="E1522" s="4"/>
      <c r="F1522" s="27"/>
      <c r="G1522" s="4"/>
      <c r="H1522" s="4" t="s">
        <v>351</v>
      </c>
      <c r="I1522" s="21">
        <v>5000</v>
      </c>
      <c r="J1522" s="21"/>
      <c r="K1522" s="21">
        <f t="shared" si="537"/>
        <v>5000</v>
      </c>
      <c r="M1522" s="21"/>
      <c r="N1522" s="21"/>
      <c r="O1522" s="88">
        <f t="shared" si="538"/>
        <v>0</v>
      </c>
      <c r="Q1522" s="308">
        <f t="shared" si="534"/>
        <v>5000</v>
      </c>
      <c r="R1522" s="21">
        <f t="shared" si="535"/>
        <v>0</v>
      </c>
      <c r="S1522" s="88">
        <f t="shared" si="535"/>
        <v>5000</v>
      </c>
    </row>
    <row r="1523" spans="2:43" x14ac:dyDescent="0.2">
      <c r="B1523" s="83">
        <f t="shared" si="533"/>
        <v>5</v>
      </c>
      <c r="C1523" s="4"/>
      <c r="D1523" s="4"/>
      <c r="E1523" s="4"/>
      <c r="F1523" s="27"/>
      <c r="G1523" s="4"/>
      <c r="H1523" s="4" t="s">
        <v>352</v>
      </c>
      <c r="I1523" s="21">
        <v>5000</v>
      </c>
      <c r="J1523" s="21"/>
      <c r="K1523" s="21">
        <f t="shared" si="537"/>
        <v>5000</v>
      </c>
      <c r="M1523" s="21"/>
      <c r="N1523" s="21"/>
      <c r="O1523" s="88">
        <f t="shared" si="538"/>
        <v>0</v>
      </c>
      <c r="Q1523" s="308">
        <f t="shared" si="534"/>
        <v>5000</v>
      </c>
      <c r="R1523" s="21">
        <f t="shared" si="535"/>
        <v>0</v>
      </c>
      <c r="S1523" s="88">
        <f t="shared" si="535"/>
        <v>5000</v>
      </c>
    </row>
    <row r="1524" spans="2:43" ht="33.75" x14ac:dyDescent="0.2">
      <c r="B1524" s="83">
        <f t="shared" si="533"/>
        <v>6</v>
      </c>
      <c r="C1524" s="155"/>
      <c r="D1524" s="155"/>
      <c r="E1524" s="155"/>
      <c r="F1524" s="156"/>
      <c r="G1524" s="155"/>
      <c r="H1524" s="183" t="s">
        <v>503</v>
      </c>
      <c r="I1524" s="157">
        <v>6000</v>
      </c>
      <c r="J1524" s="157"/>
      <c r="K1524" s="157">
        <f t="shared" si="537"/>
        <v>6000</v>
      </c>
      <c r="M1524" s="157"/>
      <c r="N1524" s="157"/>
      <c r="O1524" s="158">
        <f t="shared" si="538"/>
        <v>0</v>
      </c>
      <c r="Q1524" s="309">
        <f t="shared" si="534"/>
        <v>6000</v>
      </c>
      <c r="R1524" s="157">
        <f t="shared" si="535"/>
        <v>0</v>
      </c>
      <c r="S1524" s="158">
        <f t="shared" si="535"/>
        <v>6000</v>
      </c>
    </row>
    <row r="1525" spans="2:43" x14ac:dyDescent="0.2">
      <c r="B1525" s="83">
        <f t="shared" si="533"/>
        <v>7</v>
      </c>
      <c r="C1525" s="4"/>
      <c r="D1525" s="4"/>
      <c r="E1525" s="4"/>
      <c r="F1525" s="27"/>
      <c r="G1525" s="4"/>
      <c r="H1525" s="4" t="s">
        <v>353</v>
      </c>
      <c r="I1525" s="21">
        <v>4000</v>
      </c>
      <c r="J1525" s="21"/>
      <c r="K1525" s="21">
        <f t="shared" si="537"/>
        <v>4000</v>
      </c>
      <c r="M1525" s="21"/>
      <c r="N1525" s="21"/>
      <c r="O1525" s="88">
        <f t="shared" si="538"/>
        <v>0</v>
      </c>
      <c r="Q1525" s="308">
        <f t="shared" si="534"/>
        <v>4000</v>
      </c>
      <c r="R1525" s="21">
        <f t="shared" si="535"/>
        <v>0</v>
      </c>
      <c r="S1525" s="88">
        <f t="shared" si="535"/>
        <v>4000</v>
      </c>
    </row>
    <row r="1526" spans="2:43" x14ac:dyDescent="0.2">
      <c r="B1526" s="83">
        <f t="shared" si="533"/>
        <v>8</v>
      </c>
      <c r="C1526" s="4"/>
      <c r="D1526" s="4"/>
      <c r="E1526" s="4"/>
      <c r="F1526" s="27"/>
      <c r="G1526" s="4"/>
      <c r="H1526" s="4" t="s">
        <v>443</v>
      </c>
      <c r="I1526" s="21">
        <v>4000</v>
      </c>
      <c r="J1526" s="21"/>
      <c r="K1526" s="21">
        <f t="shared" si="537"/>
        <v>4000</v>
      </c>
      <c r="M1526" s="21"/>
      <c r="N1526" s="21"/>
      <c r="O1526" s="88">
        <f t="shared" si="538"/>
        <v>0</v>
      </c>
      <c r="Q1526" s="308">
        <f t="shared" si="534"/>
        <v>4000</v>
      </c>
      <c r="R1526" s="21">
        <f t="shared" si="535"/>
        <v>0</v>
      </c>
      <c r="S1526" s="88">
        <f t="shared" si="535"/>
        <v>4000</v>
      </c>
    </row>
    <row r="1527" spans="2:43" x14ac:dyDescent="0.2">
      <c r="B1527" s="83">
        <f t="shared" si="533"/>
        <v>9</v>
      </c>
      <c r="C1527" s="4"/>
      <c r="D1527" s="4"/>
      <c r="E1527" s="4"/>
      <c r="F1527" s="27"/>
      <c r="G1527" s="4"/>
      <c r="H1527" s="4" t="s">
        <v>303</v>
      </c>
      <c r="I1527" s="21">
        <f>45000-2000</f>
        <v>43000</v>
      </c>
      <c r="J1527" s="21">
        <v>-16400</v>
      </c>
      <c r="K1527" s="21">
        <f t="shared" si="537"/>
        <v>26600</v>
      </c>
      <c r="M1527" s="21"/>
      <c r="N1527" s="21"/>
      <c r="O1527" s="88">
        <f t="shared" si="538"/>
        <v>0</v>
      </c>
      <c r="Q1527" s="308">
        <f t="shared" si="534"/>
        <v>43000</v>
      </c>
      <c r="R1527" s="21">
        <f t="shared" si="535"/>
        <v>-16400</v>
      </c>
      <c r="S1527" s="88">
        <f t="shared" si="535"/>
        <v>26600</v>
      </c>
    </row>
    <row r="1528" spans="2:43" x14ac:dyDescent="0.2">
      <c r="B1528" s="83">
        <f t="shared" si="533"/>
        <v>10</v>
      </c>
      <c r="C1528" s="4"/>
      <c r="D1528" s="4"/>
      <c r="E1528" s="4"/>
      <c r="F1528" s="27"/>
      <c r="G1528" s="4"/>
      <c r="H1528" s="4" t="s">
        <v>403</v>
      </c>
      <c r="I1528" s="21">
        <v>15000</v>
      </c>
      <c r="J1528" s="21"/>
      <c r="K1528" s="21">
        <f t="shared" si="537"/>
        <v>15000</v>
      </c>
      <c r="M1528" s="21"/>
      <c r="N1528" s="21"/>
      <c r="O1528" s="88">
        <f t="shared" si="538"/>
        <v>0</v>
      </c>
      <c r="Q1528" s="308">
        <f t="shared" si="534"/>
        <v>15000</v>
      </c>
      <c r="R1528" s="21">
        <f t="shared" si="535"/>
        <v>0</v>
      </c>
      <c r="S1528" s="88">
        <f t="shared" si="535"/>
        <v>15000</v>
      </c>
    </row>
    <row r="1529" spans="2:43" x14ac:dyDescent="0.2">
      <c r="B1529" s="83">
        <f t="shared" si="533"/>
        <v>11</v>
      </c>
      <c r="C1529" s="4"/>
      <c r="D1529" s="4"/>
      <c r="E1529" s="4"/>
      <c r="F1529" s="27"/>
      <c r="G1529" s="4"/>
      <c r="H1529" s="4" t="s">
        <v>297</v>
      </c>
      <c r="I1529" s="21">
        <f>50000-1500+2000</f>
        <v>50500</v>
      </c>
      <c r="J1529" s="21"/>
      <c r="K1529" s="21">
        <f t="shared" si="537"/>
        <v>50500</v>
      </c>
      <c r="M1529" s="21"/>
      <c r="N1529" s="21"/>
      <c r="O1529" s="88">
        <f t="shared" si="538"/>
        <v>0</v>
      </c>
      <c r="Q1529" s="308">
        <f t="shared" si="534"/>
        <v>50500</v>
      </c>
      <c r="R1529" s="21">
        <f t="shared" si="535"/>
        <v>0</v>
      </c>
      <c r="S1529" s="88">
        <f t="shared" si="535"/>
        <v>50500</v>
      </c>
    </row>
    <row r="1530" spans="2:43" x14ac:dyDescent="0.2">
      <c r="B1530" s="83">
        <f t="shared" si="533"/>
        <v>12</v>
      </c>
      <c r="C1530" s="4"/>
      <c r="D1530" s="4"/>
      <c r="E1530" s="4"/>
      <c r="F1530" s="27"/>
      <c r="G1530" s="4"/>
      <c r="H1530" s="4" t="s">
        <v>349</v>
      </c>
      <c r="I1530" s="21">
        <v>20000</v>
      </c>
      <c r="J1530" s="21"/>
      <c r="K1530" s="21">
        <f t="shared" si="537"/>
        <v>20000</v>
      </c>
      <c r="M1530" s="21"/>
      <c r="N1530" s="21"/>
      <c r="O1530" s="88">
        <f t="shared" si="538"/>
        <v>0</v>
      </c>
      <c r="Q1530" s="308">
        <f t="shared" si="534"/>
        <v>20000</v>
      </c>
      <c r="R1530" s="21">
        <f t="shared" si="535"/>
        <v>0</v>
      </c>
      <c r="S1530" s="88">
        <f t="shared" si="535"/>
        <v>20000</v>
      </c>
    </row>
    <row r="1531" spans="2:43" x14ac:dyDescent="0.2">
      <c r="B1531" s="83">
        <f t="shared" si="533"/>
        <v>13</v>
      </c>
      <c r="C1531" s="4"/>
      <c r="D1531" s="4"/>
      <c r="E1531" s="4"/>
      <c r="F1531" s="27"/>
      <c r="G1531" s="4"/>
      <c r="H1531" s="4" t="s">
        <v>497</v>
      </c>
      <c r="I1531" s="21">
        <v>20000</v>
      </c>
      <c r="J1531" s="21"/>
      <c r="K1531" s="21">
        <f t="shared" si="537"/>
        <v>20000</v>
      </c>
      <c r="M1531" s="21"/>
      <c r="N1531" s="21"/>
      <c r="O1531" s="88">
        <f t="shared" si="538"/>
        <v>0</v>
      </c>
      <c r="Q1531" s="308">
        <f t="shared" si="534"/>
        <v>20000</v>
      </c>
      <c r="R1531" s="21">
        <f t="shared" si="535"/>
        <v>0</v>
      </c>
      <c r="S1531" s="88">
        <f t="shared" si="535"/>
        <v>20000</v>
      </c>
    </row>
    <row r="1532" spans="2:43" s="43" customFormat="1" x14ac:dyDescent="0.2">
      <c r="B1532" s="111">
        <f t="shared" si="533"/>
        <v>14</v>
      </c>
      <c r="C1532" s="155"/>
      <c r="D1532" s="155"/>
      <c r="E1532" s="155"/>
      <c r="F1532" s="156"/>
      <c r="G1532" s="155"/>
      <c r="H1532" s="269" t="s">
        <v>576</v>
      </c>
      <c r="I1532" s="157">
        <v>0</v>
      </c>
      <c r="J1532" s="157">
        <v>4500</v>
      </c>
      <c r="K1532" s="157">
        <f t="shared" si="537"/>
        <v>4500</v>
      </c>
      <c r="L1532" s="266"/>
      <c r="M1532" s="157"/>
      <c r="N1532" s="157"/>
      <c r="O1532" s="158"/>
      <c r="P1532" s="299"/>
      <c r="Q1532" s="309">
        <f t="shared" si="534"/>
        <v>0</v>
      </c>
      <c r="R1532" s="157">
        <f t="shared" ref="R1532:R1535" si="539">J1532+N1532</f>
        <v>4500</v>
      </c>
      <c r="S1532" s="158">
        <f t="shared" ref="S1532:S1535" si="540">K1532+O1532</f>
        <v>4500</v>
      </c>
      <c r="T1532" s="266"/>
      <c r="U1532" s="266"/>
      <c r="V1532" s="266"/>
      <c r="W1532" s="266"/>
      <c r="X1532" s="266"/>
      <c r="Y1532" s="266"/>
      <c r="Z1532" s="266"/>
      <c r="AA1532" s="266"/>
      <c r="AB1532" s="266"/>
      <c r="AC1532" s="266"/>
      <c r="AD1532" s="266"/>
      <c r="AE1532" s="266"/>
      <c r="AF1532" s="266"/>
      <c r="AG1532" s="266"/>
      <c r="AH1532" s="266"/>
      <c r="AI1532" s="266"/>
      <c r="AJ1532" s="266"/>
      <c r="AK1532" s="266"/>
      <c r="AL1532" s="266"/>
      <c r="AM1532" s="266"/>
      <c r="AN1532" s="266"/>
      <c r="AO1532" s="266"/>
      <c r="AP1532" s="266"/>
      <c r="AQ1532" s="266"/>
    </row>
    <row r="1533" spans="2:43" s="43" customFormat="1" ht="22.5" x14ac:dyDescent="0.2">
      <c r="B1533" s="111">
        <f t="shared" si="533"/>
        <v>15</v>
      </c>
      <c r="C1533" s="155"/>
      <c r="D1533" s="155"/>
      <c r="E1533" s="155"/>
      <c r="F1533" s="156"/>
      <c r="G1533" s="155"/>
      <c r="H1533" s="160" t="s">
        <v>577</v>
      </c>
      <c r="I1533" s="157">
        <v>0</v>
      </c>
      <c r="J1533" s="157">
        <v>4000</v>
      </c>
      <c r="K1533" s="157">
        <f t="shared" si="537"/>
        <v>4000</v>
      </c>
      <c r="L1533" s="266"/>
      <c r="M1533" s="157"/>
      <c r="N1533" s="157"/>
      <c r="O1533" s="158"/>
      <c r="P1533" s="299"/>
      <c r="Q1533" s="309">
        <f t="shared" si="534"/>
        <v>0</v>
      </c>
      <c r="R1533" s="157">
        <f t="shared" si="539"/>
        <v>4000</v>
      </c>
      <c r="S1533" s="158">
        <f t="shared" si="540"/>
        <v>4000</v>
      </c>
      <c r="T1533" s="266"/>
      <c r="U1533" s="266"/>
      <c r="V1533" s="266"/>
      <c r="W1533" s="266"/>
      <c r="X1533" s="266"/>
      <c r="Y1533" s="266"/>
      <c r="Z1533" s="266"/>
      <c r="AA1533" s="266"/>
      <c r="AB1533" s="266"/>
      <c r="AC1533" s="266"/>
      <c r="AD1533" s="266"/>
      <c r="AE1533" s="266"/>
      <c r="AF1533" s="266"/>
      <c r="AG1533" s="266"/>
      <c r="AH1533" s="266"/>
      <c r="AI1533" s="266"/>
      <c r="AJ1533" s="266"/>
      <c r="AK1533" s="266"/>
      <c r="AL1533" s="266"/>
      <c r="AM1533" s="266"/>
      <c r="AN1533" s="266"/>
      <c r="AO1533" s="266"/>
      <c r="AP1533" s="266"/>
      <c r="AQ1533" s="266"/>
    </row>
    <row r="1534" spans="2:43" s="43" customFormat="1" x14ac:dyDescent="0.2">
      <c r="B1534" s="111">
        <f t="shared" si="533"/>
        <v>16</v>
      </c>
      <c r="C1534" s="155"/>
      <c r="D1534" s="155"/>
      <c r="E1534" s="155"/>
      <c r="F1534" s="156"/>
      <c r="G1534" s="155"/>
      <c r="H1534" s="269" t="s">
        <v>578</v>
      </c>
      <c r="I1534" s="157">
        <v>0</v>
      </c>
      <c r="J1534" s="157">
        <v>3900</v>
      </c>
      <c r="K1534" s="157">
        <f t="shared" si="537"/>
        <v>3900</v>
      </c>
      <c r="L1534" s="266"/>
      <c r="M1534" s="157"/>
      <c r="N1534" s="157"/>
      <c r="O1534" s="158"/>
      <c r="P1534" s="299"/>
      <c r="Q1534" s="309">
        <f t="shared" si="534"/>
        <v>0</v>
      </c>
      <c r="R1534" s="157">
        <f t="shared" si="539"/>
        <v>3900</v>
      </c>
      <c r="S1534" s="158">
        <f t="shared" si="540"/>
        <v>3900</v>
      </c>
      <c r="T1534" s="266"/>
      <c r="U1534" s="266"/>
      <c r="V1534" s="266"/>
      <c r="W1534" s="266"/>
      <c r="X1534" s="266"/>
      <c r="Y1534" s="266"/>
      <c r="Z1534" s="266"/>
      <c r="AA1534" s="266"/>
      <c r="AB1534" s="266"/>
      <c r="AC1534" s="266"/>
      <c r="AD1534" s="266"/>
      <c r="AE1534" s="266"/>
      <c r="AF1534" s="266"/>
      <c r="AG1534" s="266"/>
      <c r="AH1534" s="266"/>
      <c r="AI1534" s="266"/>
      <c r="AJ1534" s="266"/>
      <c r="AK1534" s="266"/>
      <c r="AL1534" s="266"/>
      <c r="AM1534" s="266"/>
      <c r="AN1534" s="266"/>
      <c r="AO1534" s="266"/>
      <c r="AP1534" s="266"/>
      <c r="AQ1534" s="266"/>
    </row>
    <row r="1535" spans="2:43" s="43" customFormat="1" ht="22.5" x14ac:dyDescent="0.2">
      <c r="B1535" s="111">
        <f t="shared" si="533"/>
        <v>17</v>
      </c>
      <c r="C1535" s="155"/>
      <c r="D1535" s="155"/>
      <c r="E1535" s="155"/>
      <c r="F1535" s="156"/>
      <c r="G1535" s="155"/>
      <c r="H1535" s="160" t="s">
        <v>579</v>
      </c>
      <c r="I1535" s="157">
        <v>0</v>
      </c>
      <c r="J1535" s="157">
        <v>4000</v>
      </c>
      <c r="K1535" s="157">
        <f t="shared" si="537"/>
        <v>4000</v>
      </c>
      <c r="L1535" s="266"/>
      <c r="M1535" s="157"/>
      <c r="N1535" s="157"/>
      <c r="O1535" s="158"/>
      <c r="P1535" s="299"/>
      <c r="Q1535" s="309">
        <f t="shared" si="534"/>
        <v>0</v>
      </c>
      <c r="R1535" s="157">
        <f t="shared" si="539"/>
        <v>4000</v>
      </c>
      <c r="S1535" s="158">
        <f t="shared" si="540"/>
        <v>4000</v>
      </c>
      <c r="T1535" s="266"/>
      <c r="U1535" s="266"/>
      <c r="V1535" s="266"/>
      <c r="W1535" s="266"/>
      <c r="X1535" s="266"/>
      <c r="Y1535" s="266"/>
      <c r="Z1535" s="266"/>
      <c r="AA1535" s="266"/>
      <c r="AB1535" s="266"/>
      <c r="AC1535" s="266"/>
      <c r="AD1535" s="266"/>
      <c r="AE1535" s="266"/>
      <c r="AF1535" s="266"/>
      <c r="AG1535" s="266"/>
      <c r="AH1535" s="266"/>
      <c r="AI1535" s="266"/>
      <c r="AJ1535" s="266"/>
      <c r="AK1535" s="266"/>
      <c r="AL1535" s="266"/>
      <c r="AM1535" s="266"/>
      <c r="AN1535" s="266"/>
      <c r="AO1535" s="266"/>
      <c r="AP1535" s="266"/>
      <c r="AQ1535" s="266"/>
    </row>
    <row r="1536" spans="2:43" ht="15" x14ac:dyDescent="0.2">
      <c r="B1536" s="83">
        <f t="shared" si="533"/>
        <v>18</v>
      </c>
      <c r="C1536" s="268">
        <v>2</v>
      </c>
      <c r="D1536" s="360" t="s">
        <v>185</v>
      </c>
      <c r="E1536" s="361"/>
      <c r="F1536" s="361"/>
      <c r="G1536" s="361"/>
      <c r="H1536" s="362"/>
      <c r="I1536" s="36">
        <f>I1537</f>
        <v>151600</v>
      </c>
      <c r="J1536" s="36">
        <f t="shared" ref="J1536" si="541">J1537</f>
        <v>0</v>
      </c>
      <c r="K1536" s="36">
        <f t="shared" si="537"/>
        <v>151600</v>
      </c>
      <c r="M1536" s="36">
        <v>0</v>
      </c>
      <c r="N1536" s="36">
        <v>0</v>
      </c>
      <c r="O1536" s="84">
        <f t="shared" si="538"/>
        <v>0</v>
      </c>
      <c r="Q1536" s="291">
        <f t="shared" si="534"/>
        <v>151600</v>
      </c>
      <c r="R1536" s="36">
        <f t="shared" si="535"/>
        <v>0</v>
      </c>
      <c r="S1536" s="84">
        <f t="shared" si="535"/>
        <v>151600</v>
      </c>
    </row>
    <row r="1537" spans="2:19" x14ac:dyDescent="0.2">
      <c r="B1537" s="83">
        <f t="shared" si="533"/>
        <v>19</v>
      </c>
      <c r="C1537" s="7"/>
      <c r="D1537" s="7"/>
      <c r="E1537" s="7"/>
      <c r="F1537" s="25" t="s">
        <v>82</v>
      </c>
      <c r="G1537" s="7">
        <v>630</v>
      </c>
      <c r="H1537" s="7" t="s">
        <v>133</v>
      </c>
      <c r="I1537" s="23">
        <f>I1540+I1539+I1538</f>
        <v>151600</v>
      </c>
      <c r="J1537" s="23">
        <f t="shared" ref="J1537" si="542">J1540+J1539+J1538</f>
        <v>0</v>
      </c>
      <c r="K1537" s="23">
        <f t="shared" si="537"/>
        <v>151600</v>
      </c>
      <c r="M1537" s="23"/>
      <c r="N1537" s="23"/>
      <c r="O1537" s="86">
        <f t="shared" si="538"/>
        <v>0</v>
      </c>
      <c r="Q1537" s="293">
        <f t="shared" si="534"/>
        <v>151600</v>
      </c>
      <c r="R1537" s="23">
        <f t="shared" si="535"/>
        <v>0</v>
      </c>
      <c r="S1537" s="86">
        <f t="shared" si="535"/>
        <v>151600</v>
      </c>
    </row>
    <row r="1538" spans="2:19" x14ac:dyDescent="0.2">
      <c r="B1538" s="83">
        <f t="shared" si="533"/>
        <v>20</v>
      </c>
      <c r="C1538" s="3"/>
      <c r="D1538" s="3"/>
      <c r="E1538" s="3"/>
      <c r="F1538" s="26" t="s">
        <v>82</v>
      </c>
      <c r="G1538" s="3">
        <v>633</v>
      </c>
      <c r="H1538" s="3" t="s">
        <v>137</v>
      </c>
      <c r="I1538" s="19">
        <v>3600</v>
      </c>
      <c r="J1538" s="19"/>
      <c r="K1538" s="19">
        <f t="shared" si="537"/>
        <v>3600</v>
      </c>
      <c r="M1538" s="19"/>
      <c r="N1538" s="19"/>
      <c r="O1538" s="87">
        <f t="shared" si="538"/>
        <v>0</v>
      </c>
      <c r="Q1538" s="294">
        <f t="shared" si="534"/>
        <v>3600</v>
      </c>
      <c r="R1538" s="19">
        <f t="shared" ref="R1538:S1553" si="543">J1538+N1538</f>
        <v>0</v>
      </c>
      <c r="S1538" s="87">
        <f t="shared" si="543"/>
        <v>3600</v>
      </c>
    </row>
    <row r="1539" spans="2:19" x14ac:dyDescent="0.2">
      <c r="B1539" s="83">
        <f t="shared" si="533"/>
        <v>21</v>
      </c>
      <c r="C1539" s="3"/>
      <c r="D1539" s="3"/>
      <c r="E1539" s="3"/>
      <c r="F1539" s="26" t="s">
        <v>82</v>
      </c>
      <c r="G1539" s="3">
        <v>636</v>
      </c>
      <c r="H1539" s="3" t="s">
        <v>138</v>
      </c>
      <c r="I1539" s="19">
        <f>1000+15000</f>
        <v>16000</v>
      </c>
      <c r="J1539" s="19"/>
      <c r="K1539" s="19">
        <f t="shared" si="537"/>
        <v>16000</v>
      </c>
      <c r="M1539" s="19"/>
      <c r="N1539" s="19"/>
      <c r="O1539" s="87">
        <f t="shared" si="538"/>
        <v>0</v>
      </c>
      <c r="Q1539" s="294">
        <f t="shared" si="534"/>
        <v>16000</v>
      </c>
      <c r="R1539" s="19">
        <f t="shared" si="543"/>
        <v>0</v>
      </c>
      <c r="S1539" s="87">
        <f t="shared" si="543"/>
        <v>16000</v>
      </c>
    </row>
    <row r="1540" spans="2:19" x14ac:dyDescent="0.2">
      <c r="B1540" s="83">
        <f t="shared" si="533"/>
        <v>22</v>
      </c>
      <c r="C1540" s="3"/>
      <c r="D1540" s="3"/>
      <c r="E1540" s="3"/>
      <c r="F1540" s="26" t="s">
        <v>82</v>
      </c>
      <c r="G1540" s="3">
        <v>637</v>
      </c>
      <c r="H1540" s="3" t="s">
        <v>134</v>
      </c>
      <c r="I1540" s="19">
        <f>147000-15000</f>
        <v>132000</v>
      </c>
      <c r="J1540" s="19"/>
      <c r="K1540" s="19">
        <f t="shared" si="537"/>
        <v>132000</v>
      </c>
      <c r="M1540" s="19"/>
      <c r="N1540" s="19"/>
      <c r="O1540" s="87">
        <f t="shared" si="538"/>
        <v>0</v>
      </c>
      <c r="Q1540" s="294">
        <f t="shared" si="534"/>
        <v>132000</v>
      </c>
      <c r="R1540" s="19">
        <f t="shared" si="543"/>
        <v>0</v>
      </c>
      <c r="S1540" s="87">
        <f t="shared" si="543"/>
        <v>132000</v>
      </c>
    </row>
    <row r="1541" spans="2:19" ht="15" x14ac:dyDescent="0.2">
      <c r="B1541" s="83">
        <f t="shared" si="533"/>
        <v>23</v>
      </c>
      <c r="C1541" s="268">
        <v>3</v>
      </c>
      <c r="D1541" s="360" t="s">
        <v>149</v>
      </c>
      <c r="E1541" s="361"/>
      <c r="F1541" s="361"/>
      <c r="G1541" s="361"/>
      <c r="H1541" s="362"/>
      <c r="I1541" s="36">
        <f>I1542+I1543+I1548+I1552</f>
        <v>178820</v>
      </c>
      <c r="J1541" s="36">
        <f t="shared" ref="J1541" si="544">J1542+J1543+J1548+J1552</f>
        <v>0</v>
      </c>
      <c r="K1541" s="36">
        <f t="shared" si="537"/>
        <v>178820</v>
      </c>
      <c r="M1541" s="36">
        <f>M1548</f>
        <v>34000</v>
      </c>
      <c r="N1541" s="36">
        <f t="shared" ref="N1541" si="545">N1548</f>
        <v>0</v>
      </c>
      <c r="O1541" s="84">
        <f t="shared" si="538"/>
        <v>34000</v>
      </c>
      <c r="Q1541" s="291">
        <f t="shared" si="534"/>
        <v>212820</v>
      </c>
      <c r="R1541" s="36">
        <f t="shared" si="543"/>
        <v>0</v>
      </c>
      <c r="S1541" s="84">
        <f t="shared" si="543"/>
        <v>212820</v>
      </c>
    </row>
    <row r="1542" spans="2:19" x14ac:dyDescent="0.2">
      <c r="B1542" s="83">
        <f t="shared" si="533"/>
        <v>24</v>
      </c>
      <c r="C1542" s="7"/>
      <c r="D1542" s="7"/>
      <c r="E1542" s="7"/>
      <c r="F1542" s="25" t="s">
        <v>82</v>
      </c>
      <c r="G1542" s="7">
        <v>620</v>
      </c>
      <c r="H1542" s="7" t="s">
        <v>136</v>
      </c>
      <c r="I1542" s="23">
        <v>3050</v>
      </c>
      <c r="J1542" s="23"/>
      <c r="K1542" s="23">
        <f t="shared" si="537"/>
        <v>3050</v>
      </c>
      <c r="M1542" s="23"/>
      <c r="N1542" s="23"/>
      <c r="O1542" s="86">
        <f t="shared" si="538"/>
        <v>0</v>
      </c>
      <c r="Q1542" s="293">
        <f t="shared" si="534"/>
        <v>3050</v>
      </c>
      <c r="R1542" s="23">
        <f t="shared" si="543"/>
        <v>0</v>
      </c>
      <c r="S1542" s="86">
        <f t="shared" si="543"/>
        <v>3050</v>
      </c>
    </row>
    <row r="1543" spans="2:19" x14ac:dyDescent="0.2">
      <c r="B1543" s="83">
        <f t="shared" si="533"/>
        <v>25</v>
      </c>
      <c r="C1543" s="7"/>
      <c r="D1543" s="7"/>
      <c r="E1543" s="7"/>
      <c r="F1543" s="25" t="s">
        <v>82</v>
      </c>
      <c r="G1543" s="7">
        <v>630</v>
      </c>
      <c r="H1543" s="7" t="s">
        <v>133</v>
      </c>
      <c r="I1543" s="23">
        <f>I1547+I1546+I1545+I1544</f>
        <v>161770</v>
      </c>
      <c r="J1543" s="23">
        <f t="shared" ref="J1543" si="546">J1547+J1546+J1545+J1544</f>
        <v>0</v>
      </c>
      <c r="K1543" s="23">
        <f t="shared" si="537"/>
        <v>161770</v>
      </c>
      <c r="M1543" s="23"/>
      <c r="N1543" s="23"/>
      <c r="O1543" s="86">
        <f t="shared" si="538"/>
        <v>0</v>
      </c>
      <c r="Q1543" s="293">
        <f t="shared" si="534"/>
        <v>161770</v>
      </c>
      <c r="R1543" s="23">
        <f t="shared" si="543"/>
        <v>0</v>
      </c>
      <c r="S1543" s="86">
        <f t="shared" si="543"/>
        <v>161770</v>
      </c>
    </row>
    <row r="1544" spans="2:19" x14ac:dyDescent="0.2">
      <c r="B1544" s="83">
        <f t="shared" si="533"/>
        <v>26</v>
      </c>
      <c r="C1544" s="3"/>
      <c r="D1544" s="3"/>
      <c r="E1544" s="3"/>
      <c r="F1544" s="26" t="s">
        <v>82</v>
      </c>
      <c r="G1544" s="3">
        <v>632</v>
      </c>
      <c r="H1544" s="3" t="s">
        <v>146</v>
      </c>
      <c r="I1544" s="19">
        <f>9300+121000-5000</f>
        <v>125300</v>
      </c>
      <c r="J1544" s="19"/>
      <c r="K1544" s="19">
        <f t="shared" si="537"/>
        <v>125300</v>
      </c>
      <c r="M1544" s="19"/>
      <c r="N1544" s="19"/>
      <c r="O1544" s="87">
        <f t="shared" si="538"/>
        <v>0</v>
      </c>
      <c r="Q1544" s="294">
        <f t="shared" si="534"/>
        <v>125300</v>
      </c>
      <c r="R1544" s="19">
        <f t="shared" si="543"/>
        <v>0</v>
      </c>
      <c r="S1544" s="87">
        <f t="shared" si="543"/>
        <v>125300</v>
      </c>
    </row>
    <row r="1545" spans="2:19" x14ac:dyDescent="0.2">
      <c r="B1545" s="83">
        <f t="shared" si="533"/>
        <v>27</v>
      </c>
      <c r="C1545" s="3"/>
      <c r="D1545" s="3"/>
      <c r="E1545" s="3"/>
      <c r="F1545" s="26" t="s">
        <v>82</v>
      </c>
      <c r="G1545" s="3">
        <v>633</v>
      </c>
      <c r="H1545" s="3" t="s">
        <v>137</v>
      </c>
      <c r="I1545" s="19">
        <f>5500+3500</f>
        <v>9000</v>
      </c>
      <c r="J1545" s="19"/>
      <c r="K1545" s="19">
        <f t="shared" si="537"/>
        <v>9000</v>
      </c>
      <c r="M1545" s="19"/>
      <c r="N1545" s="19"/>
      <c r="O1545" s="87">
        <f t="shared" si="538"/>
        <v>0</v>
      </c>
      <c r="Q1545" s="294">
        <f t="shared" si="534"/>
        <v>9000</v>
      </c>
      <c r="R1545" s="19">
        <f t="shared" si="543"/>
        <v>0</v>
      </c>
      <c r="S1545" s="87">
        <f t="shared" si="543"/>
        <v>9000</v>
      </c>
    </row>
    <row r="1546" spans="2:19" x14ac:dyDescent="0.2">
      <c r="B1546" s="83">
        <f t="shared" si="533"/>
        <v>28</v>
      </c>
      <c r="C1546" s="3"/>
      <c r="D1546" s="3"/>
      <c r="E1546" s="3"/>
      <c r="F1546" s="26" t="s">
        <v>82</v>
      </c>
      <c r="G1546" s="3">
        <v>635</v>
      </c>
      <c r="H1546" s="3" t="s">
        <v>145</v>
      </c>
      <c r="I1546" s="19">
        <v>8000</v>
      </c>
      <c r="J1546" s="19"/>
      <c r="K1546" s="19">
        <f t="shared" si="537"/>
        <v>8000</v>
      </c>
      <c r="M1546" s="19"/>
      <c r="N1546" s="19"/>
      <c r="O1546" s="87">
        <f t="shared" si="538"/>
        <v>0</v>
      </c>
      <c r="Q1546" s="294">
        <f t="shared" si="534"/>
        <v>8000</v>
      </c>
      <c r="R1546" s="19">
        <f t="shared" si="543"/>
        <v>0</v>
      </c>
      <c r="S1546" s="87">
        <f t="shared" si="543"/>
        <v>8000</v>
      </c>
    </row>
    <row r="1547" spans="2:19" x14ac:dyDescent="0.2">
      <c r="B1547" s="83">
        <f t="shared" si="533"/>
        <v>29</v>
      </c>
      <c r="C1547" s="3"/>
      <c r="D1547" s="3"/>
      <c r="E1547" s="3"/>
      <c r="F1547" s="26" t="s">
        <v>82</v>
      </c>
      <c r="G1547" s="3">
        <v>637</v>
      </c>
      <c r="H1547" s="3" t="s">
        <v>134</v>
      </c>
      <c r="I1547" s="19">
        <f>14470+5000</f>
        <v>19470</v>
      </c>
      <c r="J1547" s="19"/>
      <c r="K1547" s="19">
        <f t="shared" si="537"/>
        <v>19470</v>
      </c>
      <c r="M1547" s="19"/>
      <c r="N1547" s="19"/>
      <c r="O1547" s="87">
        <f t="shared" si="538"/>
        <v>0</v>
      </c>
      <c r="Q1547" s="294">
        <f t="shared" si="534"/>
        <v>19470</v>
      </c>
      <c r="R1547" s="19">
        <f t="shared" si="543"/>
        <v>0</v>
      </c>
      <c r="S1547" s="87">
        <f t="shared" si="543"/>
        <v>19470</v>
      </c>
    </row>
    <row r="1548" spans="2:19" x14ac:dyDescent="0.2">
      <c r="B1548" s="83">
        <f t="shared" si="533"/>
        <v>30</v>
      </c>
      <c r="C1548" s="7"/>
      <c r="D1548" s="7"/>
      <c r="E1548" s="7"/>
      <c r="F1548" s="25" t="s">
        <v>82</v>
      </c>
      <c r="G1548" s="7">
        <v>710</v>
      </c>
      <c r="H1548" s="7" t="s">
        <v>188</v>
      </c>
      <c r="I1548" s="23"/>
      <c r="J1548" s="23"/>
      <c r="K1548" s="23">
        <f t="shared" si="537"/>
        <v>0</v>
      </c>
      <c r="M1548" s="23">
        <f>M1549</f>
        <v>34000</v>
      </c>
      <c r="N1548" s="23">
        <f t="shared" ref="N1548" si="547">N1549</f>
        <v>0</v>
      </c>
      <c r="O1548" s="86">
        <f t="shared" si="538"/>
        <v>34000</v>
      </c>
      <c r="Q1548" s="293">
        <f t="shared" si="534"/>
        <v>34000</v>
      </c>
      <c r="R1548" s="23">
        <f t="shared" si="543"/>
        <v>0</v>
      </c>
      <c r="S1548" s="86">
        <f t="shared" si="543"/>
        <v>34000</v>
      </c>
    </row>
    <row r="1549" spans="2:19" x14ac:dyDescent="0.2">
      <c r="B1549" s="83">
        <f t="shared" si="533"/>
        <v>31</v>
      </c>
      <c r="C1549" s="3"/>
      <c r="D1549" s="3"/>
      <c r="E1549" s="3"/>
      <c r="F1549" s="26" t="s">
        <v>82</v>
      </c>
      <c r="G1549" s="3">
        <v>717</v>
      </c>
      <c r="H1549" s="3" t="s">
        <v>198</v>
      </c>
      <c r="I1549" s="19"/>
      <c r="J1549" s="19"/>
      <c r="K1549" s="19">
        <f t="shared" si="537"/>
        <v>0</v>
      </c>
      <c r="M1549" s="19">
        <f>M1550+M1551</f>
        <v>34000</v>
      </c>
      <c r="N1549" s="19">
        <f t="shared" ref="N1549" si="548">N1550+N1551</f>
        <v>0</v>
      </c>
      <c r="O1549" s="87">
        <f t="shared" si="538"/>
        <v>34000</v>
      </c>
      <c r="Q1549" s="294">
        <f t="shared" si="534"/>
        <v>34000</v>
      </c>
      <c r="R1549" s="19">
        <f t="shared" si="543"/>
        <v>0</v>
      </c>
      <c r="S1549" s="87">
        <f t="shared" si="543"/>
        <v>34000</v>
      </c>
    </row>
    <row r="1550" spans="2:19" x14ac:dyDescent="0.2">
      <c r="B1550" s="83">
        <f t="shared" si="533"/>
        <v>32</v>
      </c>
      <c r="C1550" s="4"/>
      <c r="D1550" s="4"/>
      <c r="E1550" s="4"/>
      <c r="F1550" s="27"/>
      <c r="G1550" s="4"/>
      <c r="H1550" s="4" t="s">
        <v>350</v>
      </c>
      <c r="I1550" s="21"/>
      <c r="J1550" s="21"/>
      <c r="K1550" s="21">
        <f t="shared" si="537"/>
        <v>0</v>
      </c>
      <c r="M1550" s="21">
        <v>19000</v>
      </c>
      <c r="N1550" s="21"/>
      <c r="O1550" s="88">
        <f t="shared" si="538"/>
        <v>19000</v>
      </c>
      <c r="Q1550" s="308">
        <f t="shared" si="534"/>
        <v>19000</v>
      </c>
      <c r="R1550" s="21">
        <f t="shared" si="543"/>
        <v>0</v>
      </c>
      <c r="S1550" s="88">
        <f t="shared" si="543"/>
        <v>19000</v>
      </c>
    </row>
    <row r="1551" spans="2:19" x14ac:dyDescent="0.2">
      <c r="B1551" s="83">
        <f t="shared" si="533"/>
        <v>33</v>
      </c>
      <c r="C1551" s="4"/>
      <c r="D1551" s="4"/>
      <c r="E1551" s="4"/>
      <c r="F1551" s="27"/>
      <c r="G1551" s="4"/>
      <c r="H1551" s="4" t="s">
        <v>536</v>
      </c>
      <c r="I1551" s="21"/>
      <c r="J1551" s="21"/>
      <c r="K1551" s="21">
        <f t="shared" si="537"/>
        <v>0</v>
      </c>
      <c r="M1551" s="21">
        <v>15000</v>
      </c>
      <c r="N1551" s="21"/>
      <c r="O1551" s="88">
        <f t="shared" si="538"/>
        <v>15000</v>
      </c>
      <c r="Q1551" s="308">
        <f t="shared" si="534"/>
        <v>15000</v>
      </c>
      <c r="R1551" s="21">
        <f t="shared" si="543"/>
        <v>0</v>
      </c>
      <c r="S1551" s="88">
        <f t="shared" si="543"/>
        <v>15000</v>
      </c>
    </row>
    <row r="1552" spans="2:19" ht="15" x14ac:dyDescent="0.25">
      <c r="B1552" s="83">
        <f t="shared" si="533"/>
        <v>34</v>
      </c>
      <c r="C1552" s="10"/>
      <c r="D1552" s="10"/>
      <c r="E1552" s="10">
        <v>2</v>
      </c>
      <c r="F1552" s="28"/>
      <c r="G1552" s="10"/>
      <c r="H1552" s="10" t="s">
        <v>415</v>
      </c>
      <c r="I1552" s="38">
        <f>I1553</f>
        <v>14000</v>
      </c>
      <c r="J1552" s="38">
        <f t="shared" ref="J1552:J1553" si="549">J1553</f>
        <v>0</v>
      </c>
      <c r="K1552" s="38">
        <f t="shared" si="537"/>
        <v>14000</v>
      </c>
      <c r="M1552" s="38">
        <v>0</v>
      </c>
      <c r="N1552" s="38">
        <v>0</v>
      </c>
      <c r="O1552" s="94">
        <f t="shared" si="538"/>
        <v>0</v>
      </c>
      <c r="Q1552" s="307">
        <f t="shared" si="534"/>
        <v>14000</v>
      </c>
      <c r="R1552" s="38">
        <f t="shared" si="543"/>
        <v>0</v>
      </c>
      <c r="S1552" s="94">
        <f t="shared" si="543"/>
        <v>14000</v>
      </c>
    </row>
    <row r="1553" spans="2:19" x14ac:dyDescent="0.2">
      <c r="B1553" s="83">
        <f t="shared" si="533"/>
        <v>35</v>
      </c>
      <c r="C1553" s="7"/>
      <c r="D1553" s="7"/>
      <c r="E1553" s="7"/>
      <c r="F1553" s="25" t="s">
        <v>82</v>
      </c>
      <c r="G1553" s="7">
        <v>630</v>
      </c>
      <c r="H1553" s="7" t="s">
        <v>133</v>
      </c>
      <c r="I1553" s="23">
        <f>I1554</f>
        <v>14000</v>
      </c>
      <c r="J1553" s="23">
        <f t="shared" si="549"/>
        <v>0</v>
      </c>
      <c r="K1553" s="23">
        <f t="shared" si="537"/>
        <v>14000</v>
      </c>
      <c r="M1553" s="23"/>
      <c r="N1553" s="23"/>
      <c r="O1553" s="86">
        <f t="shared" si="538"/>
        <v>0</v>
      </c>
      <c r="Q1553" s="293">
        <f t="shared" si="534"/>
        <v>14000</v>
      </c>
      <c r="R1553" s="23">
        <f t="shared" si="543"/>
        <v>0</v>
      </c>
      <c r="S1553" s="86">
        <f t="shared" si="543"/>
        <v>14000</v>
      </c>
    </row>
    <row r="1554" spans="2:19" x14ac:dyDescent="0.2">
      <c r="B1554" s="83">
        <f t="shared" si="533"/>
        <v>36</v>
      </c>
      <c r="C1554" s="3"/>
      <c r="D1554" s="3"/>
      <c r="E1554" s="3"/>
      <c r="F1554" s="26" t="s">
        <v>82</v>
      </c>
      <c r="G1554" s="3">
        <v>632</v>
      </c>
      <c r="H1554" s="3" t="s">
        <v>146</v>
      </c>
      <c r="I1554" s="19">
        <v>14000</v>
      </c>
      <c r="J1554" s="19"/>
      <c r="K1554" s="19">
        <f t="shared" si="537"/>
        <v>14000</v>
      </c>
      <c r="M1554" s="19"/>
      <c r="N1554" s="19"/>
      <c r="O1554" s="87">
        <f t="shared" si="538"/>
        <v>0</v>
      </c>
      <c r="Q1554" s="294">
        <f t="shared" si="534"/>
        <v>14000</v>
      </c>
      <c r="R1554" s="19">
        <f t="shared" ref="R1554:S1557" si="550">J1554+N1554</f>
        <v>0</v>
      </c>
      <c r="S1554" s="87">
        <f t="shared" si="550"/>
        <v>14000</v>
      </c>
    </row>
    <row r="1555" spans="2:19" ht="15" x14ac:dyDescent="0.2">
      <c r="B1555" s="83">
        <f t="shared" si="533"/>
        <v>37</v>
      </c>
      <c r="C1555" s="268">
        <v>4</v>
      </c>
      <c r="D1555" s="360" t="s">
        <v>5</v>
      </c>
      <c r="E1555" s="361"/>
      <c r="F1555" s="361"/>
      <c r="G1555" s="361"/>
      <c r="H1555" s="362"/>
      <c r="I1555" s="36">
        <v>0</v>
      </c>
      <c r="J1555" s="36">
        <v>0</v>
      </c>
      <c r="K1555" s="36">
        <f t="shared" si="537"/>
        <v>0</v>
      </c>
      <c r="M1555" s="36">
        <f>M1556</f>
        <v>18320</v>
      </c>
      <c r="N1555" s="36">
        <f t="shared" ref="N1555:N1556" si="551">N1556</f>
        <v>0</v>
      </c>
      <c r="O1555" s="84">
        <f t="shared" si="538"/>
        <v>18320</v>
      </c>
      <c r="Q1555" s="291">
        <f t="shared" si="534"/>
        <v>18320</v>
      </c>
      <c r="R1555" s="36">
        <f t="shared" si="550"/>
        <v>0</v>
      </c>
      <c r="S1555" s="84">
        <f t="shared" si="550"/>
        <v>18320</v>
      </c>
    </row>
    <row r="1556" spans="2:19" x14ac:dyDescent="0.2">
      <c r="B1556" s="83">
        <f t="shared" si="533"/>
        <v>38</v>
      </c>
      <c r="C1556" s="7"/>
      <c r="D1556" s="7"/>
      <c r="E1556" s="7"/>
      <c r="F1556" s="25" t="s">
        <v>82</v>
      </c>
      <c r="G1556" s="7">
        <v>710</v>
      </c>
      <c r="H1556" s="7" t="s">
        <v>188</v>
      </c>
      <c r="I1556" s="23"/>
      <c r="J1556" s="23"/>
      <c r="K1556" s="23">
        <f t="shared" si="537"/>
        <v>0</v>
      </c>
      <c r="M1556" s="23">
        <f>M1557</f>
        <v>18320</v>
      </c>
      <c r="N1556" s="23">
        <f t="shared" si="551"/>
        <v>0</v>
      </c>
      <c r="O1556" s="86">
        <f t="shared" si="538"/>
        <v>18320</v>
      </c>
      <c r="Q1556" s="293">
        <f t="shared" si="534"/>
        <v>18320</v>
      </c>
      <c r="R1556" s="23">
        <f t="shared" si="550"/>
        <v>0</v>
      </c>
      <c r="S1556" s="86">
        <f t="shared" si="550"/>
        <v>18320</v>
      </c>
    </row>
    <row r="1557" spans="2:19" ht="13.5" thickBot="1" x14ac:dyDescent="0.25">
      <c r="B1557" s="89">
        <f t="shared" si="533"/>
        <v>39</v>
      </c>
      <c r="C1557" s="14"/>
      <c r="D1557" s="14"/>
      <c r="E1557" s="14"/>
      <c r="F1557" s="90" t="s">
        <v>82</v>
      </c>
      <c r="G1557" s="14">
        <v>717</v>
      </c>
      <c r="H1557" s="14" t="s">
        <v>198</v>
      </c>
      <c r="I1557" s="24"/>
      <c r="J1557" s="24"/>
      <c r="K1557" s="24">
        <f t="shared" si="537"/>
        <v>0</v>
      </c>
      <c r="L1557" s="270"/>
      <c r="M1557" s="24">
        <v>18320</v>
      </c>
      <c r="N1557" s="24"/>
      <c r="O1557" s="91">
        <f t="shared" si="538"/>
        <v>18320</v>
      </c>
      <c r="Q1557" s="311">
        <f t="shared" si="534"/>
        <v>18320</v>
      </c>
      <c r="R1557" s="24">
        <f t="shared" si="550"/>
        <v>0</v>
      </c>
      <c r="S1557" s="91">
        <f t="shared" si="550"/>
        <v>18320</v>
      </c>
    </row>
    <row r="1568" spans="2:19" ht="27.75" thickBot="1" x14ac:dyDescent="0.4">
      <c r="B1568" s="352" t="s">
        <v>30</v>
      </c>
      <c r="C1568" s="353"/>
      <c r="D1568" s="353"/>
      <c r="E1568" s="353"/>
      <c r="F1568" s="353"/>
      <c r="G1568" s="353"/>
      <c r="H1568" s="353"/>
      <c r="I1568" s="353"/>
      <c r="J1568" s="353"/>
      <c r="K1568" s="353"/>
      <c r="L1568" s="353"/>
      <c r="M1568" s="353"/>
      <c r="N1568" s="353"/>
      <c r="O1568" s="353"/>
      <c r="P1568" s="353"/>
      <c r="Q1568" s="353"/>
    </row>
    <row r="1569" spans="2:19" ht="13.5" customHeight="1" thickBot="1" x14ac:dyDescent="0.25">
      <c r="B1569" s="378" t="s">
        <v>364</v>
      </c>
      <c r="C1569" s="379"/>
      <c r="D1569" s="379"/>
      <c r="E1569" s="379"/>
      <c r="F1569" s="379"/>
      <c r="G1569" s="379"/>
      <c r="H1569" s="379"/>
      <c r="I1569" s="379"/>
      <c r="J1569" s="379"/>
      <c r="K1569" s="379"/>
      <c r="L1569" s="379"/>
      <c r="M1569" s="379"/>
      <c r="N1569" s="379"/>
      <c r="O1569" s="380"/>
      <c r="P1569" s="271"/>
      <c r="Q1569" s="354" t="s">
        <v>571</v>
      </c>
      <c r="R1569" s="392" t="s">
        <v>565</v>
      </c>
      <c r="S1569" s="395" t="s">
        <v>569</v>
      </c>
    </row>
    <row r="1570" spans="2:19" ht="13.5" customHeight="1" thickBot="1" x14ac:dyDescent="0.25">
      <c r="B1570" s="366"/>
      <c r="C1570" s="357" t="s">
        <v>126</v>
      </c>
      <c r="D1570" s="357" t="s">
        <v>127</v>
      </c>
      <c r="E1570" s="357"/>
      <c r="F1570" s="357" t="s">
        <v>128</v>
      </c>
      <c r="G1570" s="371" t="s">
        <v>129</v>
      </c>
      <c r="H1570" s="374" t="s">
        <v>130</v>
      </c>
      <c r="I1570" s="363" t="s">
        <v>566</v>
      </c>
      <c r="J1570" s="377" t="s">
        <v>565</v>
      </c>
      <c r="K1570" s="376" t="s">
        <v>567</v>
      </c>
      <c r="M1570" s="363" t="s">
        <v>568</v>
      </c>
      <c r="N1570" s="377" t="s">
        <v>565</v>
      </c>
      <c r="O1570" s="376" t="s">
        <v>570</v>
      </c>
      <c r="Q1570" s="355"/>
      <c r="R1570" s="393"/>
      <c r="S1570" s="396"/>
    </row>
    <row r="1571" spans="2:19" ht="13.5" thickBot="1" x14ac:dyDescent="0.25">
      <c r="B1571" s="367"/>
      <c r="C1571" s="358"/>
      <c r="D1571" s="358"/>
      <c r="E1571" s="358"/>
      <c r="F1571" s="358"/>
      <c r="G1571" s="372"/>
      <c r="H1571" s="375"/>
      <c r="I1571" s="363"/>
      <c r="J1571" s="377"/>
      <c r="K1571" s="376"/>
      <c r="M1571" s="363"/>
      <c r="N1571" s="377"/>
      <c r="O1571" s="376"/>
      <c r="Q1571" s="355"/>
      <c r="R1571" s="393"/>
      <c r="S1571" s="396"/>
    </row>
    <row r="1572" spans="2:19" ht="13.5" thickBot="1" x14ac:dyDescent="0.25">
      <c r="B1572" s="367"/>
      <c r="C1572" s="358"/>
      <c r="D1572" s="358"/>
      <c r="E1572" s="358"/>
      <c r="F1572" s="358"/>
      <c r="G1572" s="372"/>
      <c r="H1572" s="375"/>
      <c r="I1572" s="363"/>
      <c r="J1572" s="377"/>
      <c r="K1572" s="376"/>
      <c r="M1572" s="363"/>
      <c r="N1572" s="377"/>
      <c r="O1572" s="376"/>
      <c r="Q1572" s="355"/>
      <c r="R1572" s="393"/>
      <c r="S1572" s="396"/>
    </row>
    <row r="1573" spans="2:19" ht="13.5" thickBot="1" x14ac:dyDescent="0.25">
      <c r="B1573" s="367"/>
      <c r="C1573" s="359"/>
      <c r="D1573" s="359"/>
      <c r="E1573" s="359"/>
      <c r="F1573" s="359"/>
      <c r="G1573" s="373"/>
      <c r="H1573" s="375"/>
      <c r="I1573" s="363"/>
      <c r="J1573" s="377"/>
      <c r="K1573" s="376"/>
      <c r="M1573" s="363"/>
      <c r="N1573" s="377"/>
      <c r="O1573" s="376"/>
      <c r="Q1573" s="356"/>
      <c r="R1573" s="394"/>
      <c r="S1573" s="397"/>
    </row>
    <row r="1574" spans="2:19" ht="16.5" thickTop="1" x14ac:dyDescent="0.2">
      <c r="B1574" s="83">
        <f t="shared" ref="B1574:B1637" si="552">B1573+1</f>
        <v>1</v>
      </c>
      <c r="C1574" s="385" t="s">
        <v>30</v>
      </c>
      <c r="D1574" s="390"/>
      <c r="E1574" s="390"/>
      <c r="F1574" s="390"/>
      <c r="G1574" s="390"/>
      <c r="H1574" s="391"/>
      <c r="I1574" s="35">
        <f>I1657+I1650+I1646+I1629+I1610+I1575</f>
        <v>4313355</v>
      </c>
      <c r="J1574" s="35">
        <f t="shared" ref="J1574" si="553">J1657+J1650+J1646+J1629+J1610+J1575</f>
        <v>0</v>
      </c>
      <c r="K1574" s="35">
        <f>I1574+J1574</f>
        <v>4313355</v>
      </c>
      <c r="M1574" s="35">
        <f>M1575+M1610+M1629+M1646+M1650+M1657</f>
        <v>468566</v>
      </c>
      <c r="N1574" s="35">
        <f t="shared" ref="N1574" si="554">N1575+N1610+N1629+N1646+N1650+N1657</f>
        <v>0</v>
      </c>
      <c r="O1574" s="93">
        <f>M1574+N1574</f>
        <v>468566</v>
      </c>
      <c r="Q1574" s="290">
        <f t="shared" ref="Q1574:Q1605" si="555">I1574+M1574</f>
        <v>4781921</v>
      </c>
      <c r="R1574" s="35">
        <f t="shared" ref="R1574:S1589" si="556">J1574+N1574</f>
        <v>0</v>
      </c>
      <c r="S1574" s="93">
        <f t="shared" si="556"/>
        <v>4781921</v>
      </c>
    </row>
    <row r="1575" spans="2:19" ht="15" x14ac:dyDescent="0.2">
      <c r="B1575" s="83">
        <f t="shared" si="552"/>
        <v>2</v>
      </c>
      <c r="C1575" s="268">
        <v>1</v>
      </c>
      <c r="D1575" s="360" t="s">
        <v>209</v>
      </c>
      <c r="E1575" s="361"/>
      <c r="F1575" s="361"/>
      <c r="G1575" s="361"/>
      <c r="H1575" s="362"/>
      <c r="I1575" s="36">
        <f>I1576+I1579+I1584</f>
        <v>1265250</v>
      </c>
      <c r="J1575" s="36">
        <f t="shared" ref="J1575" si="557">J1576+J1579+J1584</f>
        <v>0</v>
      </c>
      <c r="K1575" s="36">
        <f t="shared" ref="K1575:K1638" si="558">I1575+J1575</f>
        <v>1265250</v>
      </c>
      <c r="M1575" s="36">
        <f>M1579+M1584</f>
        <v>29506</v>
      </c>
      <c r="N1575" s="36">
        <f t="shared" ref="N1575" si="559">N1579+N1584</f>
        <v>0</v>
      </c>
      <c r="O1575" s="84">
        <f t="shared" ref="O1575:O1638" si="560">M1575+N1575</f>
        <v>29506</v>
      </c>
      <c r="Q1575" s="291">
        <f t="shared" si="555"/>
        <v>1294756</v>
      </c>
      <c r="R1575" s="36">
        <f t="shared" si="556"/>
        <v>0</v>
      </c>
      <c r="S1575" s="84">
        <f t="shared" si="556"/>
        <v>1294756</v>
      </c>
    </row>
    <row r="1576" spans="2:19" x14ac:dyDescent="0.2">
      <c r="B1576" s="83">
        <f>B1575+1</f>
        <v>3</v>
      </c>
      <c r="C1576" s="7"/>
      <c r="D1576" s="7"/>
      <c r="E1576" s="7"/>
      <c r="F1576" s="25" t="s">
        <v>208</v>
      </c>
      <c r="G1576" s="7">
        <v>630</v>
      </c>
      <c r="H1576" s="7" t="s">
        <v>133</v>
      </c>
      <c r="I1576" s="23">
        <f>SUM(I1577:I1578)</f>
        <v>411000</v>
      </c>
      <c r="J1576" s="23">
        <f t="shared" ref="J1576" si="561">SUM(J1577:J1578)</f>
        <v>0</v>
      </c>
      <c r="K1576" s="23">
        <f t="shared" si="558"/>
        <v>411000</v>
      </c>
      <c r="M1576" s="23"/>
      <c r="N1576" s="23"/>
      <c r="O1576" s="86">
        <f t="shared" si="560"/>
        <v>0</v>
      </c>
      <c r="Q1576" s="293">
        <f t="shared" si="555"/>
        <v>411000</v>
      </c>
      <c r="R1576" s="23">
        <f t="shared" si="556"/>
        <v>0</v>
      </c>
      <c r="S1576" s="86">
        <f t="shared" si="556"/>
        <v>411000</v>
      </c>
    </row>
    <row r="1577" spans="2:19" x14ac:dyDescent="0.2">
      <c r="B1577" s="83">
        <f t="shared" si="552"/>
        <v>4</v>
      </c>
      <c r="C1577" s="3"/>
      <c r="D1577" s="3"/>
      <c r="E1577" s="3"/>
      <c r="F1577" s="26" t="s">
        <v>208</v>
      </c>
      <c r="G1577" s="3">
        <v>635</v>
      </c>
      <c r="H1577" s="3" t="s">
        <v>145</v>
      </c>
      <c r="I1577" s="19">
        <v>410000</v>
      </c>
      <c r="J1577" s="19"/>
      <c r="K1577" s="19">
        <f t="shared" si="558"/>
        <v>410000</v>
      </c>
      <c r="M1577" s="19"/>
      <c r="N1577" s="19"/>
      <c r="O1577" s="87">
        <f t="shared" si="560"/>
        <v>0</v>
      </c>
      <c r="Q1577" s="294">
        <f t="shared" si="555"/>
        <v>410000</v>
      </c>
      <c r="R1577" s="19">
        <f t="shared" si="556"/>
        <v>0</v>
      </c>
      <c r="S1577" s="87">
        <f t="shared" si="556"/>
        <v>410000</v>
      </c>
    </row>
    <row r="1578" spans="2:19" x14ac:dyDescent="0.2">
      <c r="B1578" s="83">
        <f t="shared" si="552"/>
        <v>5</v>
      </c>
      <c r="C1578" s="3"/>
      <c r="D1578" s="3"/>
      <c r="E1578" s="3"/>
      <c r="F1578" s="26" t="s">
        <v>208</v>
      </c>
      <c r="G1578" s="3">
        <v>637</v>
      </c>
      <c r="H1578" s="3" t="s">
        <v>134</v>
      </c>
      <c r="I1578" s="19">
        <v>1000</v>
      </c>
      <c r="J1578" s="19"/>
      <c r="K1578" s="19">
        <f t="shared" si="558"/>
        <v>1000</v>
      </c>
      <c r="M1578" s="19"/>
      <c r="N1578" s="19"/>
      <c r="O1578" s="87">
        <f t="shared" si="560"/>
        <v>0</v>
      </c>
      <c r="Q1578" s="294">
        <f t="shared" si="555"/>
        <v>1000</v>
      </c>
      <c r="R1578" s="19">
        <f t="shared" si="556"/>
        <v>0</v>
      </c>
      <c r="S1578" s="87">
        <f t="shared" si="556"/>
        <v>1000</v>
      </c>
    </row>
    <row r="1579" spans="2:19" x14ac:dyDescent="0.2">
      <c r="B1579" s="83">
        <f t="shared" si="552"/>
        <v>6</v>
      </c>
      <c r="C1579" s="7"/>
      <c r="D1579" s="7"/>
      <c r="E1579" s="7"/>
      <c r="F1579" s="25" t="s">
        <v>208</v>
      </c>
      <c r="G1579" s="7">
        <v>710</v>
      </c>
      <c r="H1579" s="7" t="s">
        <v>188</v>
      </c>
      <c r="I1579" s="23"/>
      <c r="J1579" s="23"/>
      <c r="K1579" s="23">
        <f t="shared" si="558"/>
        <v>0</v>
      </c>
      <c r="M1579" s="23">
        <f>M1580</f>
        <v>25006</v>
      </c>
      <c r="N1579" s="23">
        <f t="shared" ref="N1579" si="562">N1580</f>
        <v>0</v>
      </c>
      <c r="O1579" s="86">
        <f t="shared" si="560"/>
        <v>25006</v>
      </c>
      <c r="Q1579" s="293">
        <f t="shared" si="555"/>
        <v>25006</v>
      </c>
      <c r="R1579" s="23">
        <f t="shared" si="556"/>
        <v>0</v>
      </c>
      <c r="S1579" s="86">
        <f t="shared" si="556"/>
        <v>25006</v>
      </c>
    </row>
    <row r="1580" spans="2:19" x14ac:dyDescent="0.2">
      <c r="B1580" s="83">
        <f t="shared" si="552"/>
        <v>7</v>
      </c>
      <c r="C1580" s="3"/>
      <c r="D1580" s="3"/>
      <c r="E1580" s="3"/>
      <c r="F1580" s="26" t="s">
        <v>208</v>
      </c>
      <c r="G1580" s="3">
        <v>716</v>
      </c>
      <c r="H1580" s="3" t="s">
        <v>232</v>
      </c>
      <c r="I1580" s="19"/>
      <c r="J1580" s="19"/>
      <c r="K1580" s="19">
        <f t="shared" si="558"/>
        <v>0</v>
      </c>
      <c r="M1580" s="19">
        <f>SUM(M1581:M1583)</f>
        <v>25006</v>
      </c>
      <c r="N1580" s="19">
        <f t="shared" ref="N1580" si="563">SUM(N1581:N1583)</f>
        <v>0</v>
      </c>
      <c r="O1580" s="87">
        <f t="shared" si="560"/>
        <v>25006</v>
      </c>
      <c r="Q1580" s="294">
        <f t="shared" si="555"/>
        <v>25006</v>
      </c>
      <c r="R1580" s="19">
        <f t="shared" si="556"/>
        <v>0</v>
      </c>
      <c r="S1580" s="87">
        <f t="shared" si="556"/>
        <v>25006</v>
      </c>
    </row>
    <row r="1581" spans="2:19" x14ac:dyDescent="0.2">
      <c r="B1581" s="83">
        <f t="shared" si="552"/>
        <v>8</v>
      </c>
      <c r="C1581" s="4"/>
      <c r="D1581" s="4"/>
      <c r="E1581" s="4"/>
      <c r="F1581" s="27"/>
      <c r="G1581" s="4"/>
      <c r="H1581" s="4" t="s">
        <v>381</v>
      </c>
      <c r="I1581" s="21"/>
      <c r="J1581" s="21"/>
      <c r="K1581" s="21">
        <f t="shared" si="558"/>
        <v>0</v>
      </c>
      <c r="M1581" s="21">
        <v>4046</v>
      </c>
      <c r="N1581" s="21"/>
      <c r="O1581" s="88">
        <f t="shared" si="560"/>
        <v>4046</v>
      </c>
      <c r="Q1581" s="308">
        <f t="shared" si="555"/>
        <v>4046</v>
      </c>
      <c r="R1581" s="21">
        <f t="shared" si="556"/>
        <v>0</v>
      </c>
      <c r="S1581" s="88">
        <f t="shared" si="556"/>
        <v>4046</v>
      </c>
    </row>
    <row r="1582" spans="2:19" x14ac:dyDescent="0.2">
      <c r="B1582" s="83">
        <f t="shared" si="552"/>
        <v>9</v>
      </c>
      <c r="C1582" s="4"/>
      <c r="D1582" s="4"/>
      <c r="E1582" s="4"/>
      <c r="F1582" s="27"/>
      <c r="G1582" s="4"/>
      <c r="H1582" s="4" t="s">
        <v>354</v>
      </c>
      <c r="I1582" s="21"/>
      <c r="J1582" s="21"/>
      <c r="K1582" s="21">
        <f t="shared" si="558"/>
        <v>0</v>
      </c>
      <c r="M1582" s="21">
        <v>14960</v>
      </c>
      <c r="N1582" s="21"/>
      <c r="O1582" s="88">
        <f t="shared" si="560"/>
        <v>14960</v>
      </c>
      <c r="Q1582" s="308">
        <f t="shared" si="555"/>
        <v>14960</v>
      </c>
      <c r="R1582" s="21">
        <f t="shared" si="556"/>
        <v>0</v>
      </c>
      <c r="S1582" s="88">
        <f t="shared" si="556"/>
        <v>14960</v>
      </c>
    </row>
    <row r="1583" spans="2:19" x14ac:dyDescent="0.2">
      <c r="B1583" s="83">
        <f t="shared" si="552"/>
        <v>10</v>
      </c>
      <c r="C1583" s="4"/>
      <c r="D1583" s="4"/>
      <c r="E1583" s="4"/>
      <c r="F1583" s="27"/>
      <c r="G1583" s="4"/>
      <c r="H1583" s="4" t="s">
        <v>516</v>
      </c>
      <c r="I1583" s="21"/>
      <c r="J1583" s="21"/>
      <c r="K1583" s="21">
        <f t="shared" si="558"/>
        <v>0</v>
      </c>
      <c r="M1583" s="21">
        <v>6000</v>
      </c>
      <c r="N1583" s="21"/>
      <c r="O1583" s="88">
        <f t="shared" si="560"/>
        <v>6000</v>
      </c>
      <c r="Q1583" s="308">
        <f t="shared" si="555"/>
        <v>6000</v>
      </c>
      <c r="R1583" s="21">
        <f t="shared" si="556"/>
        <v>0</v>
      </c>
      <c r="S1583" s="88">
        <f t="shared" si="556"/>
        <v>6000</v>
      </c>
    </row>
    <row r="1584" spans="2:19" ht="15" x14ac:dyDescent="0.25">
      <c r="B1584" s="83">
        <f t="shared" si="552"/>
        <v>11</v>
      </c>
      <c r="C1584" s="10"/>
      <c r="D1584" s="10"/>
      <c r="E1584" s="10">
        <v>2</v>
      </c>
      <c r="F1584" s="28"/>
      <c r="G1584" s="10"/>
      <c r="H1584" s="10" t="s">
        <v>415</v>
      </c>
      <c r="I1584" s="38">
        <f>I1585+I1586+I1587+I1594+I1595+I1596+I1597+I1606+I1607</f>
        <v>854250</v>
      </c>
      <c r="J1584" s="38">
        <f t="shared" ref="J1584" si="564">J1585+J1586+J1587+J1594+J1595+J1596+J1597+J1606+J1607</f>
        <v>0</v>
      </c>
      <c r="K1584" s="38">
        <f t="shared" si="558"/>
        <v>854250</v>
      </c>
      <c r="M1584" s="38">
        <f>M1607</f>
        <v>4500</v>
      </c>
      <c r="N1584" s="38">
        <f t="shared" ref="N1584" si="565">N1607</f>
        <v>0</v>
      </c>
      <c r="O1584" s="94">
        <f t="shared" si="560"/>
        <v>4500</v>
      </c>
      <c r="Q1584" s="307">
        <f t="shared" si="555"/>
        <v>858750</v>
      </c>
      <c r="R1584" s="38">
        <f t="shared" si="556"/>
        <v>0</v>
      </c>
      <c r="S1584" s="94">
        <f t="shared" si="556"/>
        <v>858750</v>
      </c>
    </row>
    <row r="1585" spans="2:19" x14ac:dyDescent="0.2">
      <c r="B1585" s="83">
        <f t="shared" si="552"/>
        <v>12</v>
      </c>
      <c r="C1585" s="7"/>
      <c r="D1585" s="7"/>
      <c r="E1585" s="7"/>
      <c r="F1585" s="25" t="s">
        <v>246</v>
      </c>
      <c r="G1585" s="7">
        <v>610</v>
      </c>
      <c r="H1585" s="7" t="s">
        <v>143</v>
      </c>
      <c r="I1585" s="23">
        <v>50720</v>
      </c>
      <c r="J1585" s="23"/>
      <c r="K1585" s="23">
        <f t="shared" si="558"/>
        <v>50720</v>
      </c>
      <c r="M1585" s="23"/>
      <c r="N1585" s="23"/>
      <c r="O1585" s="86">
        <f t="shared" si="560"/>
        <v>0</v>
      </c>
      <c r="Q1585" s="293">
        <f t="shared" si="555"/>
        <v>50720</v>
      </c>
      <c r="R1585" s="23">
        <f t="shared" si="556"/>
        <v>0</v>
      </c>
      <c r="S1585" s="86">
        <f t="shared" si="556"/>
        <v>50720</v>
      </c>
    </row>
    <row r="1586" spans="2:19" x14ac:dyDescent="0.2">
      <c r="B1586" s="83">
        <f t="shared" si="552"/>
        <v>13</v>
      </c>
      <c r="C1586" s="7"/>
      <c r="D1586" s="7"/>
      <c r="E1586" s="7"/>
      <c r="F1586" s="25" t="s">
        <v>246</v>
      </c>
      <c r="G1586" s="7">
        <v>620</v>
      </c>
      <c r="H1586" s="7" t="s">
        <v>136</v>
      </c>
      <c r="I1586" s="23">
        <v>17750</v>
      </c>
      <c r="J1586" s="23"/>
      <c r="K1586" s="23">
        <f t="shared" si="558"/>
        <v>17750</v>
      </c>
      <c r="M1586" s="23"/>
      <c r="N1586" s="23"/>
      <c r="O1586" s="86">
        <f t="shared" si="560"/>
        <v>0</v>
      </c>
      <c r="Q1586" s="293">
        <f t="shared" si="555"/>
        <v>17750</v>
      </c>
      <c r="R1586" s="23">
        <f t="shared" si="556"/>
        <v>0</v>
      </c>
      <c r="S1586" s="86">
        <f t="shared" si="556"/>
        <v>17750</v>
      </c>
    </row>
    <row r="1587" spans="2:19" x14ac:dyDescent="0.2">
      <c r="B1587" s="83">
        <f t="shared" si="552"/>
        <v>14</v>
      </c>
      <c r="C1587" s="7"/>
      <c r="D1587" s="7"/>
      <c r="E1587" s="7"/>
      <c r="F1587" s="25" t="s">
        <v>246</v>
      </c>
      <c r="G1587" s="7">
        <v>630</v>
      </c>
      <c r="H1587" s="7" t="s">
        <v>133</v>
      </c>
      <c r="I1587" s="23">
        <f>SUM(I1588:I1593)</f>
        <v>50700</v>
      </c>
      <c r="J1587" s="23">
        <f t="shared" ref="J1587" si="566">SUM(J1588:J1593)</f>
        <v>0</v>
      </c>
      <c r="K1587" s="23">
        <f t="shared" si="558"/>
        <v>50700</v>
      </c>
      <c r="M1587" s="23"/>
      <c r="N1587" s="23"/>
      <c r="O1587" s="86">
        <f t="shared" si="560"/>
        <v>0</v>
      </c>
      <c r="Q1587" s="293">
        <f t="shared" si="555"/>
        <v>50700</v>
      </c>
      <c r="R1587" s="23">
        <f t="shared" si="556"/>
        <v>0</v>
      </c>
      <c r="S1587" s="86">
        <f t="shared" si="556"/>
        <v>50700</v>
      </c>
    </row>
    <row r="1588" spans="2:19" x14ac:dyDescent="0.2">
      <c r="B1588" s="83">
        <f t="shared" si="552"/>
        <v>15</v>
      </c>
      <c r="C1588" s="3"/>
      <c r="D1588" s="3"/>
      <c r="E1588" s="3"/>
      <c r="F1588" s="26" t="s">
        <v>246</v>
      </c>
      <c r="G1588" s="3">
        <v>631</v>
      </c>
      <c r="H1588" s="3" t="s">
        <v>139</v>
      </c>
      <c r="I1588" s="19">
        <v>50</v>
      </c>
      <c r="J1588" s="19"/>
      <c r="K1588" s="19">
        <f t="shared" si="558"/>
        <v>50</v>
      </c>
      <c r="M1588" s="19"/>
      <c r="N1588" s="19"/>
      <c r="O1588" s="87">
        <f t="shared" si="560"/>
        <v>0</v>
      </c>
      <c r="Q1588" s="294">
        <f t="shared" si="555"/>
        <v>50</v>
      </c>
      <c r="R1588" s="19">
        <f t="shared" si="556"/>
        <v>0</v>
      </c>
      <c r="S1588" s="87">
        <f t="shared" si="556"/>
        <v>50</v>
      </c>
    </row>
    <row r="1589" spans="2:19" x14ac:dyDescent="0.2">
      <c r="B1589" s="83">
        <f t="shared" si="552"/>
        <v>16</v>
      </c>
      <c r="C1589" s="3"/>
      <c r="D1589" s="3"/>
      <c r="E1589" s="3"/>
      <c r="F1589" s="26" t="s">
        <v>246</v>
      </c>
      <c r="G1589" s="3">
        <v>632</v>
      </c>
      <c r="H1589" s="3" t="s">
        <v>146</v>
      </c>
      <c r="I1589" s="19">
        <f>2100-1800+1500</f>
        <v>1800</v>
      </c>
      <c r="J1589" s="19"/>
      <c r="K1589" s="19">
        <f t="shared" si="558"/>
        <v>1800</v>
      </c>
      <c r="M1589" s="19"/>
      <c r="N1589" s="19"/>
      <c r="O1589" s="87">
        <f t="shared" si="560"/>
        <v>0</v>
      </c>
      <c r="Q1589" s="294">
        <f t="shared" si="555"/>
        <v>1800</v>
      </c>
      <c r="R1589" s="19">
        <f t="shared" si="556"/>
        <v>0</v>
      </c>
      <c r="S1589" s="87">
        <f t="shared" si="556"/>
        <v>1800</v>
      </c>
    </row>
    <row r="1590" spans="2:19" x14ac:dyDescent="0.2">
      <c r="B1590" s="83">
        <f t="shared" si="552"/>
        <v>17</v>
      </c>
      <c r="C1590" s="3"/>
      <c r="D1590" s="3"/>
      <c r="E1590" s="3"/>
      <c r="F1590" s="26" t="s">
        <v>246</v>
      </c>
      <c r="G1590" s="3">
        <v>633</v>
      </c>
      <c r="H1590" s="3" t="s">
        <v>137</v>
      </c>
      <c r="I1590" s="19">
        <v>15350</v>
      </c>
      <c r="J1590" s="19"/>
      <c r="K1590" s="19">
        <f t="shared" si="558"/>
        <v>15350</v>
      </c>
      <c r="M1590" s="19"/>
      <c r="N1590" s="19"/>
      <c r="O1590" s="87">
        <f t="shared" si="560"/>
        <v>0</v>
      </c>
      <c r="Q1590" s="294">
        <f t="shared" si="555"/>
        <v>15350</v>
      </c>
      <c r="R1590" s="19">
        <f t="shared" ref="R1590:S1605" si="567">J1590+N1590</f>
        <v>0</v>
      </c>
      <c r="S1590" s="87">
        <f t="shared" si="567"/>
        <v>15350</v>
      </c>
    </row>
    <row r="1591" spans="2:19" x14ac:dyDescent="0.2">
      <c r="B1591" s="83">
        <f t="shared" si="552"/>
        <v>18</v>
      </c>
      <c r="C1591" s="3"/>
      <c r="D1591" s="3"/>
      <c r="E1591" s="3"/>
      <c r="F1591" s="26" t="s">
        <v>246</v>
      </c>
      <c r="G1591" s="3">
        <v>634</v>
      </c>
      <c r="H1591" s="3" t="s">
        <v>144</v>
      </c>
      <c r="I1591" s="19">
        <v>3650</v>
      </c>
      <c r="J1591" s="19"/>
      <c r="K1591" s="19">
        <f t="shared" si="558"/>
        <v>3650</v>
      </c>
      <c r="M1591" s="19"/>
      <c r="N1591" s="19"/>
      <c r="O1591" s="87">
        <f t="shared" si="560"/>
        <v>0</v>
      </c>
      <c r="Q1591" s="294">
        <f t="shared" si="555"/>
        <v>3650</v>
      </c>
      <c r="R1591" s="19">
        <f t="shared" si="567"/>
        <v>0</v>
      </c>
      <c r="S1591" s="87">
        <f t="shared" si="567"/>
        <v>3650</v>
      </c>
    </row>
    <row r="1592" spans="2:19" x14ac:dyDescent="0.2">
      <c r="B1592" s="83">
        <f t="shared" si="552"/>
        <v>19</v>
      </c>
      <c r="C1592" s="3"/>
      <c r="D1592" s="3"/>
      <c r="E1592" s="3"/>
      <c r="F1592" s="26" t="s">
        <v>246</v>
      </c>
      <c r="G1592" s="3">
        <v>635</v>
      </c>
      <c r="H1592" s="3" t="s">
        <v>145</v>
      </c>
      <c r="I1592" s="19">
        <f>3250</f>
        <v>3250</v>
      </c>
      <c r="J1592" s="19"/>
      <c r="K1592" s="19">
        <f t="shared" si="558"/>
        <v>3250</v>
      </c>
      <c r="M1592" s="19"/>
      <c r="N1592" s="19"/>
      <c r="O1592" s="87">
        <f t="shared" si="560"/>
        <v>0</v>
      </c>
      <c r="Q1592" s="294">
        <f t="shared" si="555"/>
        <v>3250</v>
      </c>
      <c r="R1592" s="19">
        <f t="shared" si="567"/>
        <v>0</v>
      </c>
      <c r="S1592" s="87">
        <f t="shared" si="567"/>
        <v>3250</v>
      </c>
    </row>
    <row r="1593" spans="2:19" x14ac:dyDescent="0.2">
      <c r="B1593" s="83">
        <f t="shared" si="552"/>
        <v>20</v>
      </c>
      <c r="C1593" s="3"/>
      <c r="D1593" s="3"/>
      <c r="E1593" s="3"/>
      <c r="F1593" s="26" t="s">
        <v>246</v>
      </c>
      <c r="G1593" s="3">
        <v>637</v>
      </c>
      <c r="H1593" s="3" t="s">
        <v>134</v>
      </c>
      <c r="I1593" s="19">
        <v>26600</v>
      </c>
      <c r="J1593" s="19"/>
      <c r="K1593" s="19">
        <f t="shared" si="558"/>
        <v>26600</v>
      </c>
      <c r="M1593" s="19"/>
      <c r="N1593" s="19"/>
      <c r="O1593" s="87">
        <f t="shared" si="560"/>
        <v>0</v>
      </c>
      <c r="Q1593" s="294">
        <f t="shared" si="555"/>
        <v>26600</v>
      </c>
      <c r="R1593" s="19">
        <f t="shared" si="567"/>
        <v>0</v>
      </c>
      <c r="S1593" s="87">
        <f t="shared" si="567"/>
        <v>26600</v>
      </c>
    </row>
    <row r="1594" spans="2:19" x14ac:dyDescent="0.2">
      <c r="B1594" s="83">
        <f t="shared" si="552"/>
        <v>21</v>
      </c>
      <c r="C1594" s="7"/>
      <c r="D1594" s="7"/>
      <c r="E1594" s="7"/>
      <c r="F1594" s="25" t="s">
        <v>246</v>
      </c>
      <c r="G1594" s="7">
        <v>640</v>
      </c>
      <c r="H1594" s="7" t="s">
        <v>141</v>
      </c>
      <c r="I1594" s="23">
        <v>850</v>
      </c>
      <c r="J1594" s="23"/>
      <c r="K1594" s="23">
        <f t="shared" si="558"/>
        <v>850</v>
      </c>
      <c r="M1594" s="23"/>
      <c r="N1594" s="23"/>
      <c r="O1594" s="86">
        <f t="shared" si="560"/>
        <v>0</v>
      </c>
      <c r="Q1594" s="293">
        <f t="shared" si="555"/>
        <v>850</v>
      </c>
      <c r="R1594" s="23">
        <f t="shared" si="567"/>
        <v>0</v>
      </c>
      <c r="S1594" s="86">
        <f t="shared" si="567"/>
        <v>850</v>
      </c>
    </row>
    <row r="1595" spans="2:19" x14ac:dyDescent="0.2">
      <c r="B1595" s="83">
        <f t="shared" si="552"/>
        <v>22</v>
      </c>
      <c r="C1595" s="7"/>
      <c r="D1595" s="7"/>
      <c r="E1595" s="7"/>
      <c r="F1595" s="25" t="s">
        <v>208</v>
      </c>
      <c r="G1595" s="7">
        <v>610</v>
      </c>
      <c r="H1595" s="7" t="s">
        <v>143</v>
      </c>
      <c r="I1595" s="23">
        <v>91580</v>
      </c>
      <c r="J1595" s="23"/>
      <c r="K1595" s="23">
        <f t="shared" si="558"/>
        <v>91580</v>
      </c>
      <c r="M1595" s="23"/>
      <c r="N1595" s="23"/>
      <c r="O1595" s="86">
        <f t="shared" si="560"/>
        <v>0</v>
      </c>
      <c r="Q1595" s="293">
        <f t="shared" si="555"/>
        <v>91580</v>
      </c>
      <c r="R1595" s="23">
        <f t="shared" si="567"/>
        <v>0</v>
      </c>
      <c r="S1595" s="86">
        <f t="shared" si="567"/>
        <v>91580</v>
      </c>
    </row>
    <row r="1596" spans="2:19" x14ac:dyDescent="0.2">
      <c r="B1596" s="83">
        <f t="shared" si="552"/>
        <v>23</v>
      </c>
      <c r="C1596" s="7"/>
      <c r="D1596" s="7"/>
      <c r="E1596" s="7"/>
      <c r="F1596" s="25" t="s">
        <v>208</v>
      </c>
      <c r="G1596" s="7">
        <v>620</v>
      </c>
      <c r="H1596" s="7" t="s">
        <v>136</v>
      </c>
      <c r="I1596" s="23">
        <v>35000</v>
      </c>
      <c r="J1596" s="23"/>
      <c r="K1596" s="23">
        <f t="shared" si="558"/>
        <v>35000</v>
      </c>
      <c r="M1596" s="23"/>
      <c r="N1596" s="23"/>
      <c r="O1596" s="86">
        <f t="shared" si="560"/>
        <v>0</v>
      </c>
      <c r="Q1596" s="293">
        <f t="shared" si="555"/>
        <v>35000</v>
      </c>
      <c r="R1596" s="23">
        <f t="shared" si="567"/>
        <v>0</v>
      </c>
      <c r="S1596" s="86">
        <f t="shared" si="567"/>
        <v>35000</v>
      </c>
    </row>
    <row r="1597" spans="2:19" x14ac:dyDescent="0.2">
      <c r="B1597" s="83">
        <f t="shared" si="552"/>
        <v>24</v>
      </c>
      <c r="C1597" s="7"/>
      <c r="D1597" s="7"/>
      <c r="E1597" s="7"/>
      <c r="F1597" s="25" t="s">
        <v>208</v>
      </c>
      <c r="G1597" s="7">
        <v>630</v>
      </c>
      <c r="H1597" s="7" t="s">
        <v>133</v>
      </c>
      <c r="I1597" s="23">
        <f>SUM(I1598:I1605)</f>
        <v>607300</v>
      </c>
      <c r="J1597" s="23">
        <f t="shared" ref="J1597" si="568">SUM(J1598:J1605)</f>
        <v>0</v>
      </c>
      <c r="K1597" s="23">
        <f t="shared" si="558"/>
        <v>607300</v>
      </c>
      <c r="M1597" s="23"/>
      <c r="N1597" s="23"/>
      <c r="O1597" s="86">
        <f t="shared" si="560"/>
        <v>0</v>
      </c>
      <c r="Q1597" s="293">
        <f t="shared" si="555"/>
        <v>607300</v>
      </c>
      <c r="R1597" s="23">
        <f t="shared" si="567"/>
        <v>0</v>
      </c>
      <c r="S1597" s="86">
        <f t="shared" si="567"/>
        <v>607300</v>
      </c>
    </row>
    <row r="1598" spans="2:19" x14ac:dyDescent="0.2">
      <c r="B1598" s="83">
        <f t="shared" si="552"/>
        <v>25</v>
      </c>
      <c r="C1598" s="3"/>
      <c r="D1598" s="3"/>
      <c r="E1598" s="3"/>
      <c r="F1598" s="26" t="s">
        <v>208</v>
      </c>
      <c r="G1598" s="3">
        <v>633</v>
      </c>
      <c r="H1598" s="3" t="s">
        <v>137</v>
      </c>
      <c r="I1598" s="19">
        <v>73300</v>
      </c>
      <c r="J1598" s="19"/>
      <c r="K1598" s="19">
        <f t="shared" si="558"/>
        <v>73300</v>
      </c>
      <c r="M1598" s="19"/>
      <c r="N1598" s="19"/>
      <c r="O1598" s="87">
        <f t="shared" si="560"/>
        <v>0</v>
      </c>
      <c r="Q1598" s="294">
        <f t="shared" si="555"/>
        <v>73300</v>
      </c>
      <c r="R1598" s="19">
        <f t="shared" si="567"/>
        <v>0</v>
      </c>
      <c r="S1598" s="87">
        <f t="shared" si="567"/>
        <v>73300</v>
      </c>
    </row>
    <row r="1599" spans="2:19" x14ac:dyDescent="0.2">
      <c r="B1599" s="83">
        <f t="shared" si="552"/>
        <v>26</v>
      </c>
      <c r="C1599" s="3"/>
      <c r="D1599" s="3"/>
      <c r="E1599" s="3"/>
      <c r="F1599" s="26" t="s">
        <v>208</v>
      </c>
      <c r="G1599" s="3">
        <v>634</v>
      </c>
      <c r="H1599" s="3" t="s">
        <v>144</v>
      </c>
      <c r="I1599" s="19">
        <v>22200</v>
      </c>
      <c r="J1599" s="19"/>
      <c r="K1599" s="19">
        <f t="shared" si="558"/>
        <v>22200</v>
      </c>
      <c r="M1599" s="19"/>
      <c r="N1599" s="19"/>
      <c r="O1599" s="87">
        <f t="shared" si="560"/>
        <v>0</v>
      </c>
      <c r="Q1599" s="294">
        <f t="shared" si="555"/>
        <v>22200</v>
      </c>
      <c r="R1599" s="19">
        <f t="shared" si="567"/>
        <v>0</v>
      </c>
      <c r="S1599" s="87">
        <f t="shared" si="567"/>
        <v>22200</v>
      </c>
    </row>
    <row r="1600" spans="2:19" x14ac:dyDescent="0.2">
      <c r="B1600" s="83">
        <f t="shared" si="552"/>
        <v>27</v>
      </c>
      <c r="C1600" s="3"/>
      <c r="D1600" s="3"/>
      <c r="E1600" s="3"/>
      <c r="F1600" s="26" t="s">
        <v>208</v>
      </c>
      <c r="G1600" s="3">
        <v>635</v>
      </c>
      <c r="H1600" s="3" t="s">
        <v>145</v>
      </c>
      <c r="I1600" s="19">
        <f>83500+25000-1500</f>
        <v>107000</v>
      </c>
      <c r="J1600" s="19"/>
      <c r="K1600" s="19">
        <f t="shared" si="558"/>
        <v>107000</v>
      </c>
      <c r="M1600" s="19"/>
      <c r="N1600" s="19"/>
      <c r="O1600" s="87">
        <f t="shared" si="560"/>
        <v>0</v>
      </c>
      <c r="Q1600" s="294">
        <f t="shared" si="555"/>
        <v>107000</v>
      </c>
      <c r="R1600" s="19">
        <f t="shared" si="567"/>
        <v>0</v>
      </c>
      <c r="S1600" s="87">
        <f t="shared" si="567"/>
        <v>107000</v>
      </c>
    </row>
    <row r="1601" spans="2:19" x14ac:dyDescent="0.2">
      <c r="B1601" s="83">
        <f t="shared" si="552"/>
        <v>28</v>
      </c>
      <c r="C1601" s="3"/>
      <c r="D1601" s="3"/>
      <c r="E1601" s="3"/>
      <c r="F1601" s="26" t="s">
        <v>208</v>
      </c>
      <c r="G1601" s="3">
        <v>635</v>
      </c>
      <c r="H1601" s="56" t="s">
        <v>437</v>
      </c>
      <c r="I1601" s="64">
        <v>350000</v>
      </c>
      <c r="J1601" s="64"/>
      <c r="K1601" s="64">
        <f t="shared" si="558"/>
        <v>350000</v>
      </c>
      <c r="M1601" s="19"/>
      <c r="N1601" s="19"/>
      <c r="O1601" s="87">
        <f t="shared" si="560"/>
        <v>0</v>
      </c>
      <c r="Q1601" s="294">
        <f t="shared" si="555"/>
        <v>350000</v>
      </c>
      <c r="R1601" s="19">
        <f t="shared" si="567"/>
        <v>0</v>
      </c>
      <c r="S1601" s="87">
        <f t="shared" si="567"/>
        <v>350000</v>
      </c>
    </row>
    <row r="1602" spans="2:19" x14ac:dyDescent="0.2">
      <c r="B1602" s="83">
        <f t="shared" si="552"/>
        <v>29</v>
      </c>
      <c r="C1602" s="3"/>
      <c r="D1602" s="3"/>
      <c r="E1602" s="3"/>
      <c r="F1602" s="26" t="s">
        <v>208</v>
      </c>
      <c r="G1602" s="3">
        <v>635</v>
      </c>
      <c r="H1602" s="56" t="s">
        <v>519</v>
      </c>
      <c r="I1602" s="64">
        <v>10500</v>
      </c>
      <c r="J1602" s="64"/>
      <c r="K1602" s="64">
        <f t="shared" si="558"/>
        <v>10500</v>
      </c>
      <c r="M1602" s="19"/>
      <c r="N1602" s="19"/>
      <c r="O1602" s="87">
        <f t="shared" si="560"/>
        <v>0</v>
      </c>
      <c r="Q1602" s="294">
        <f t="shared" si="555"/>
        <v>10500</v>
      </c>
      <c r="R1602" s="19">
        <f t="shared" si="567"/>
        <v>0</v>
      </c>
      <c r="S1602" s="87">
        <f t="shared" si="567"/>
        <v>10500</v>
      </c>
    </row>
    <row r="1603" spans="2:19" x14ac:dyDescent="0.2">
      <c r="B1603" s="83">
        <f t="shared" si="552"/>
        <v>30</v>
      </c>
      <c r="C1603" s="3"/>
      <c r="D1603" s="3"/>
      <c r="E1603" s="3"/>
      <c r="F1603" s="26" t="s">
        <v>208</v>
      </c>
      <c r="G1603" s="3">
        <v>636</v>
      </c>
      <c r="H1603" s="3" t="s">
        <v>138</v>
      </c>
      <c r="I1603" s="19">
        <v>700</v>
      </c>
      <c r="J1603" s="19"/>
      <c r="K1603" s="19">
        <f t="shared" si="558"/>
        <v>700</v>
      </c>
      <c r="M1603" s="19"/>
      <c r="N1603" s="19"/>
      <c r="O1603" s="87">
        <f t="shared" si="560"/>
        <v>0</v>
      </c>
      <c r="Q1603" s="294">
        <f t="shared" si="555"/>
        <v>700</v>
      </c>
      <c r="R1603" s="19">
        <f t="shared" si="567"/>
        <v>0</v>
      </c>
      <c r="S1603" s="87">
        <f t="shared" si="567"/>
        <v>700</v>
      </c>
    </row>
    <row r="1604" spans="2:19" x14ac:dyDescent="0.2">
      <c r="B1604" s="83">
        <f t="shared" si="552"/>
        <v>31</v>
      </c>
      <c r="C1604" s="3"/>
      <c r="D1604" s="3"/>
      <c r="E1604" s="3"/>
      <c r="F1604" s="26" t="s">
        <v>208</v>
      </c>
      <c r="G1604" s="3">
        <v>637</v>
      </c>
      <c r="H1604" s="3" t="s">
        <v>134</v>
      </c>
      <c r="I1604" s="19">
        <f>25600+35000-25000</f>
        <v>35600</v>
      </c>
      <c r="J1604" s="19"/>
      <c r="K1604" s="19">
        <f t="shared" si="558"/>
        <v>35600</v>
      </c>
      <c r="M1604" s="19"/>
      <c r="N1604" s="19"/>
      <c r="O1604" s="87">
        <f t="shared" si="560"/>
        <v>0</v>
      </c>
      <c r="Q1604" s="294">
        <f t="shared" si="555"/>
        <v>35600</v>
      </c>
      <c r="R1604" s="19">
        <f t="shared" si="567"/>
        <v>0</v>
      </c>
      <c r="S1604" s="87">
        <f t="shared" si="567"/>
        <v>35600</v>
      </c>
    </row>
    <row r="1605" spans="2:19" x14ac:dyDescent="0.2">
      <c r="B1605" s="83">
        <f t="shared" si="552"/>
        <v>32</v>
      </c>
      <c r="C1605" s="3"/>
      <c r="D1605" s="3"/>
      <c r="E1605" s="3"/>
      <c r="F1605" s="26" t="s">
        <v>208</v>
      </c>
      <c r="G1605" s="3">
        <v>637</v>
      </c>
      <c r="H1605" s="3" t="s">
        <v>450</v>
      </c>
      <c r="I1605" s="19">
        <v>8000</v>
      </c>
      <c r="J1605" s="19"/>
      <c r="K1605" s="19">
        <f t="shared" si="558"/>
        <v>8000</v>
      </c>
      <c r="M1605" s="19"/>
      <c r="N1605" s="19"/>
      <c r="O1605" s="87">
        <f t="shared" si="560"/>
        <v>0</v>
      </c>
      <c r="Q1605" s="294">
        <f t="shared" si="555"/>
        <v>8000</v>
      </c>
      <c r="R1605" s="19">
        <f t="shared" si="567"/>
        <v>0</v>
      </c>
      <c r="S1605" s="87">
        <f t="shared" si="567"/>
        <v>8000</v>
      </c>
    </row>
    <row r="1606" spans="2:19" x14ac:dyDescent="0.2">
      <c r="B1606" s="83">
        <f t="shared" si="552"/>
        <v>33</v>
      </c>
      <c r="C1606" s="7"/>
      <c r="D1606" s="7"/>
      <c r="E1606" s="7"/>
      <c r="F1606" s="25" t="s">
        <v>208</v>
      </c>
      <c r="G1606" s="7">
        <v>640</v>
      </c>
      <c r="H1606" s="7" t="s">
        <v>141</v>
      </c>
      <c r="I1606" s="23">
        <v>350</v>
      </c>
      <c r="J1606" s="23"/>
      <c r="K1606" s="23">
        <f t="shared" si="558"/>
        <v>350</v>
      </c>
      <c r="M1606" s="23"/>
      <c r="N1606" s="23"/>
      <c r="O1606" s="86">
        <f t="shared" si="560"/>
        <v>0</v>
      </c>
      <c r="Q1606" s="293">
        <f t="shared" ref="Q1606:Q1637" si="569">I1606+M1606</f>
        <v>350</v>
      </c>
      <c r="R1606" s="23">
        <f t="shared" ref="R1606:S1621" si="570">J1606+N1606</f>
        <v>0</v>
      </c>
      <c r="S1606" s="86">
        <f t="shared" si="570"/>
        <v>350</v>
      </c>
    </row>
    <row r="1607" spans="2:19" x14ac:dyDescent="0.2">
      <c r="B1607" s="83">
        <f t="shared" si="552"/>
        <v>34</v>
      </c>
      <c r="C1607" s="7"/>
      <c r="D1607" s="7"/>
      <c r="E1607" s="7"/>
      <c r="F1607" s="25" t="s">
        <v>246</v>
      </c>
      <c r="G1607" s="7">
        <v>710</v>
      </c>
      <c r="H1607" s="7" t="s">
        <v>188</v>
      </c>
      <c r="I1607" s="23"/>
      <c r="J1607" s="23"/>
      <c r="K1607" s="23">
        <f t="shared" si="558"/>
        <v>0</v>
      </c>
      <c r="M1607" s="23">
        <f>M1608</f>
        <v>4500</v>
      </c>
      <c r="N1607" s="23">
        <f t="shared" ref="N1607:N1608" si="571">N1608</f>
        <v>0</v>
      </c>
      <c r="O1607" s="86">
        <f t="shared" si="560"/>
        <v>4500</v>
      </c>
      <c r="Q1607" s="293">
        <f t="shared" si="569"/>
        <v>4500</v>
      </c>
      <c r="R1607" s="23">
        <f t="shared" si="570"/>
        <v>0</v>
      </c>
      <c r="S1607" s="86">
        <f t="shared" si="570"/>
        <v>4500</v>
      </c>
    </row>
    <row r="1608" spans="2:19" x14ac:dyDescent="0.2">
      <c r="B1608" s="83">
        <f t="shared" si="552"/>
        <v>35</v>
      </c>
      <c r="C1608" s="3"/>
      <c r="D1608" s="3"/>
      <c r="E1608" s="3"/>
      <c r="F1608" s="26" t="s">
        <v>208</v>
      </c>
      <c r="G1608" s="3">
        <v>714</v>
      </c>
      <c r="H1608" s="3" t="s">
        <v>189</v>
      </c>
      <c r="I1608" s="19"/>
      <c r="J1608" s="19"/>
      <c r="K1608" s="19">
        <f t="shared" si="558"/>
        <v>0</v>
      </c>
      <c r="M1608" s="19">
        <f>M1609</f>
        <v>4500</v>
      </c>
      <c r="N1608" s="19">
        <f t="shared" si="571"/>
        <v>0</v>
      </c>
      <c r="O1608" s="87">
        <f t="shared" si="560"/>
        <v>4500</v>
      </c>
      <c r="Q1608" s="294">
        <f t="shared" si="569"/>
        <v>4500</v>
      </c>
      <c r="R1608" s="19">
        <f t="shared" si="570"/>
        <v>0</v>
      </c>
      <c r="S1608" s="87">
        <f t="shared" si="570"/>
        <v>4500</v>
      </c>
    </row>
    <row r="1609" spans="2:19" x14ac:dyDescent="0.2">
      <c r="B1609" s="83">
        <f t="shared" si="552"/>
        <v>36</v>
      </c>
      <c r="C1609" s="4"/>
      <c r="D1609" s="12"/>
      <c r="E1609" s="4"/>
      <c r="F1609" s="31"/>
      <c r="G1609" s="4"/>
      <c r="H1609" s="13" t="s">
        <v>465</v>
      </c>
      <c r="I1609" s="21"/>
      <c r="J1609" s="21"/>
      <c r="K1609" s="21">
        <f t="shared" si="558"/>
        <v>0</v>
      </c>
      <c r="M1609" s="21">
        <v>4500</v>
      </c>
      <c r="N1609" s="21"/>
      <c r="O1609" s="88">
        <f t="shared" si="560"/>
        <v>4500</v>
      </c>
      <c r="Q1609" s="308">
        <f t="shared" si="569"/>
        <v>4500</v>
      </c>
      <c r="R1609" s="21">
        <f t="shared" si="570"/>
        <v>0</v>
      </c>
      <c r="S1609" s="88">
        <f t="shared" si="570"/>
        <v>4500</v>
      </c>
    </row>
    <row r="1610" spans="2:19" ht="15" x14ac:dyDescent="0.2">
      <c r="B1610" s="83">
        <f t="shared" si="552"/>
        <v>37</v>
      </c>
      <c r="C1610" s="268">
        <v>2</v>
      </c>
      <c r="D1610" s="360" t="s">
        <v>152</v>
      </c>
      <c r="E1610" s="361"/>
      <c r="F1610" s="361"/>
      <c r="G1610" s="361"/>
      <c r="H1610" s="362"/>
      <c r="I1610" s="36">
        <f>I1623+I1611</f>
        <v>2346300</v>
      </c>
      <c r="J1610" s="36">
        <f t="shared" ref="J1610" si="572">J1623+J1611</f>
        <v>0</v>
      </c>
      <c r="K1610" s="36">
        <f t="shared" si="558"/>
        <v>2346300</v>
      </c>
      <c r="M1610" s="36">
        <f>M1611+M1623</f>
        <v>405060</v>
      </c>
      <c r="N1610" s="36">
        <f t="shared" ref="N1610" si="573">N1611+N1623</f>
        <v>0</v>
      </c>
      <c r="O1610" s="84">
        <f t="shared" si="560"/>
        <v>405060</v>
      </c>
      <c r="Q1610" s="291">
        <f t="shared" si="569"/>
        <v>2751360</v>
      </c>
      <c r="R1610" s="36">
        <f t="shared" si="570"/>
        <v>0</v>
      </c>
      <c r="S1610" s="84">
        <f t="shared" si="570"/>
        <v>2751360</v>
      </c>
    </row>
    <row r="1611" spans="2:19" ht="15" x14ac:dyDescent="0.25">
      <c r="B1611" s="83">
        <f t="shared" si="552"/>
        <v>38</v>
      </c>
      <c r="C1611" s="267"/>
      <c r="D1611" s="267">
        <v>1</v>
      </c>
      <c r="E1611" s="368" t="s">
        <v>151</v>
      </c>
      <c r="F1611" s="361"/>
      <c r="G1611" s="361"/>
      <c r="H1611" s="362"/>
      <c r="I1611" s="37">
        <f>I1612+I1614</f>
        <v>2344000</v>
      </c>
      <c r="J1611" s="37">
        <f t="shared" ref="J1611" si="574">J1612+J1614</f>
        <v>0</v>
      </c>
      <c r="K1611" s="37">
        <f t="shared" si="558"/>
        <v>2344000</v>
      </c>
      <c r="M1611" s="37">
        <f>M1614</f>
        <v>340000</v>
      </c>
      <c r="N1611" s="37">
        <f t="shared" ref="N1611" si="575">N1614</f>
        <v>0</v>
      </c>
      <c r="O1611" s="85">
        <f t="shared" si="560"/>
        <v>340000</v>
      </c>
      <c r="Q1611" s="292">
        <f t="shared" si="569"/>
        <v>2684000</v>
      </c>
      <c r="R1611" s="37">
        <f t="shared" si="570"/>
        <v>0</v>
      </c>
      <c r="S1611" s="85">
        <f t="shared" si="570"/>
        <v>2684000</v>
      </c>
    </row>
    <row r="1612" spans="2:19" x14ac:dyDescent="0.2">
      <c r="B1612" s="83">
        <f t="shared" si="552"/>
        <v>39</v>
      </c>
      <c r="C1612" s="7"/>
      <c r="D1612" s="7"/>
      <c r="E1612" s="7"/>
      <c r="F1612" s="25" t="s">
        <v>150</v>
      </c>
      <c r="G1612" s="7">
        <v>630</v>
      </c>
      <c r="H1612" s="7" t="s">
        <v>133</v>
      </c>
      <c r="I1612" s="23">
        <f>I1613</f>
        <v>2344000</v>
      </c>
      <c r="J1612" s="23">
        <f t="shared" ref="J1612" si="576">J1613</f>
        <v>0</v>
      </c>
      <c r="K1612" s="23">
        <f t="shared" si="558"/>
        <v>2344000</v>
      </c>
      <c r="M1612" s="23"/>
      <c r="N1612" s="23"/>
      <c r="O1612" s="86">
        <f t="shared" si="560"/>
        <v>0</v>
      </c>
      <c r="Q1612" s="293">
        <f t="shared" si="569"/>
        <v>2344000</v>
      </c>
      <c r="R1612" s="23">
        <f t="shared" si="570"/>
        <v>0</v>
      </c>
      <c r="S1612" s="86">
        <f t="shared" si="570"/>
        <v>2344000</v>
      </c>
    </row>
    <row r="1613" spans="2:19" x14ac:dyDescent="0.2">
      <c r="B1613" s="83">
        <f t="shared" si="552"/>
        <v>40</v>
      </c>
      <c r="C1613" s="3"/>
      <c r="D1613" s="3"/>
      <c r="E1613" s="3"/>
      <c r="F1613" s="26" t="s">
        <v>150</v>
      </c>
      <c r="G1613" s="3">
        <v>637</v>
      </c>
      <c r="H1613" s="3" t="s">
        <v>134</v>
      </c>
      <c r="I1613" s="19">
        <f>2544000-200000</f>
        <v>2344000</v>
      </c>
      <c r="J1613" s="19"/>
      <c r="K1613" s="19">
        <f t="shared" si="558"/>
        <v>2344000</v>
      </c>
      <c r="M1613" s="19"/>
      <c r="N1613" s="19"/>
      <c r="O1613" s="87">
        <f t="shared" si="560"/>
        <v>0</v>
      </c>
      <c r="Q1613" s="294">
        <f t="shared" si="569"/>
        <v>2344000</v>
      </c>
      <c r="R1613" s="19">
        <f t="shared" si="570"/>
        <v>0</v>
      </c>
      <c r="S1613" s="87">
        <f t="shared" si="570"/>
        <v>2344000</v>
      </c>
    </row>
    <row r="1614" spans="2:19" x14ac:dyDescent="0.2">
      <c r="B1614" s="83">
        <f t="shared" si="552"/>
        <v>41</v>
      </c>
      <c r="C1614" s="7"/>
      <c r="D1614" s="7"/>
      <c r="E1614" s="7"/>
      <c r="F1614" s="25" t="s">
        <v>150</v>
      </c>
      <c r="G1614" s="7">
        <v>710</v>
      </c>
      <c r="H1614" s="7" t="s">
        <v>188</v>
      </c>
      <c r="I1614" s="23"/>
      <c r="J1614" s="23"/>
      <c r="K1614" s="23">
        <f t="shared" si="558"/>
        <v>0</v>
      </c>
      <c r="M1614" s="23">
        <f>M1615+M1619</f>
        <v>340000</v>
      </c>
      <c r="N1614" s="23">
        <f t="shared" ref="N1614" si="577">N1615+N1619</f>
        <v>0</v>
      </c>
      <c r="O1614" s="86">
        <f t="shared" si="560"/>
        <v>340000</v>
      </c>
      <c r="Q1614" s="293">
        <f t="shared" si="569"/>
        <v>340000</v>
      </c>
      <c r="R1614" s="23">
        <f t="shared" si="570"/>
        <v>0</v>
      </c>
      <c r="S1614" s="86">
        <f t="shared" si="570"/>
        <v>340000</v>
      </c>
    </row>
    <row r="1615" spans="2:19" x14ac:dyDescent="0.2">
      <c r="B1615" s="83">
        <f t="shared" si="552"/>
        <v>42</v>
      </c>
      <c r="C1615" s="3"/>
      <c r="D1615" s="3"/>
      <c r="E1615" s="3"/>
      <c r="F1615" s="26" t="s">
        <v>150</v>
      </c>
      <c r="G1615" s="3">
        <v>716</v>
      </c>
      <c r="H1615" s="3" t="s">
        <v>232</v>
      </c>
      <c r="I1615" s="19"/>
      <c r="J1615" s="19"/>
      <c r="K1615" s="19">
        <f t="shared" si="558"/>
        <v>0</v>
      </c>
      <c r="M1615" s="19">
        <f>M1618+M1616+M1617</f>
        <v>12000</v>
      </c>
      <c r="N1615" s="19">
        <f t="shared" ref="N1615" si="578">N1618+N1616+N1617</f>
        <v>0</v>
      </c>
      <c r="O1615" s="87">
        <f t="shared" si="560"/>
        <v>12000</v>
      </c>
      <c r="Q1615" s="294">
        <f t="shared" si="569"/>
        <v>12000</v>
      </c>
      <c r="R1615" s="19">
        <f t="shared" si="570"/>
        <v>0</v>
      </c>
      <c r="S1615" s="87">
        <f t="shared" si="570"/>
        <v>12000</v>
      </c>
    </row>
    <row r="1616" spans="2:19" x14ac:dyDescent="0.2">
      <c r="B1616" s="83">
        <f t="shared" si="552"/>
        <v>43</v>
      </c>
      <c r="C1616" s="3"/>
      <c r="D1616" s="3"/>
      <c r="E1616" s="3"/>
      <c r="F1616" s="26"/>
      <c r="G1616" s="3"/>
      <c r="H1616" s="154" t="s">
        <v>488</v>
      </c>
      <c r="I1616" s="21"/>
      <c r="J1616" s="21"/>
      <c r="K1616" s="21">
        <f t="shared" si="558"/>
        <v>0</v>
      </c>
      <c r="M1616" s="21">
        <v>5000</v>
      </c>
      <c r="N1616" s="21"/>
      <c r="O1616" s="88">
        <f t="shared" si="560"/>
        <v>5000</v>
      </c>
      <c r="Q1616" s="308">
        <f t="shared" si="569"/>
        <v>5000</v>
      </c>
      <c r="R1616" s="21">
        <f t="shared" si="570"/>
        <v>0</v>
      </c>
      <c r="S1616" s="88">
        <f t="shared" si="570"/>
        <v>5000</v>
      </c>
    </row>
    <row r="1617" spans="2:19" x14ac:dyDescent="0.2">
      <c r="B1617" s="83">
        <f t="shared" si="552"/>
        <v>44</v>
      </c>
      <c r="C1617" s="3"/>
      <c r="D1617" s="3"/>
      <c r="E1617" s="3"/>
      <c r="F1617" s="26"/>
      <c r="G1617" s="3"/>
      <c r="H1617" s="154" t="s">
        <v>499</v>
      </c>
      <c r="I1617" s="21"/>
      <c r="J1617" s="21"/>
      <c r="K1617" s="21">
        <f t="shared" si="558"/>
        <v>0</v>
      </c>
      <c r="M1617" s="21">
        <v>3000</v>
      </c>
      <c r="N1617" s="21"/>
      <c r="O1617" s="88">
        <f t="shared" si="560"/>
        <v>3000</v>
      </c>
      <c r="Q1617" s="308">
        <f t="shared" si="569"/>
        <v>3000</v>
      </c>
      <c r="R1617" s="21">
        <f t="shared" si="570"/>
        <v>0</v>
      </c>
      <c r="S1617" s="88">
        <f t="shared" si="570"/>
        <v>3000</v>
      </c>
    </row>
    <row r="1618" spans="2:19" x14ac:dyDescent="0.2">
      <c r="B1618" s="83">
        <f t="shared" si="552"/>
        <v>45</v>
      </c>
      <c r="C1618" s="4"/>
      <c r="D1618" s="4"/>
      <c r="E1618" s="4"/>
      <c r="F1618" s="27"/>
      <c r="G1618" s="4"/>
      <c r="H1618" s="4" t="s">
        <v>383</v>
      </c>
      <c r="I1618" s="21"/>
      <c r="J1618" s="21"/>
      <c r="K1618" s="21">
        <f t="shared" si="558"/>
        <v>0</v>
      </c>
      <c r="M1618" s="21">
        <v>4000</v>
      </c>
      <c r="N1618" s="21"/>
      <c r="O1618" s="88">
        <f t="shared" si="560"/>
        <v>4000</v>
      </c>
      <c r="Q1618" s="308">
        <f t="shared" si="569"/>
        <v>4000</v>
      </c>
      <c r="R1618" s="21">
        <f t="shared" si="570"/>
        <v>0</v>
      </c>
      <c r="S1618" s="88">
        <f t="shared" si="570"/>
        <v>4000</v>
      </c>
    </row>
    <row r="1619" spans="2:19" x14ac:dyDescent="0.2">
      <c r="B1619" s="83">
        <f t="shared" si="552"/>
        <v>46</v>
      </c>
      <c r="C1619" s="3"/>
      <c r="D1619" s="3"/>
      <c r="E1619" s="3"/>
      <c r="F1619" s="26" t="s">
        <v>150</v>
      </c>
      <c r="G1619" s="3">
        <v>717</v>
      </c>
      <c r="H1619" s="3" t="s">
        <v>198</v>
      </c>
      <c r="I1619" s="19"/>
      <c r="J1619" s="19"/>
      <c r="K1619" s="19">
        <f t="shared" si="558"/>
        <v>0</v>
      </c>
      <c r="M1619" s="19">
        <f>SUM(M1620:M1622)</f>
        <v>328000</v>
      </c>
      <c r="N1619" s="19">
        <f t="shared" ref="N1619" si="579">SUM(N1620:N1622)</f>
        <v>0</v>
      </c>
      <c r="O1619" s="87">
        <f t="shared" si="560"/>
        <v>328000</v>
      </c>
      <c r="Q1619" s="294">
        <f t="shared" si="569"/>
        <v>328000</v>
      </c>
      <c r="R1619" s="19">
        <f t="shared" si="570"/>
        <v>0</v>
      </c>
      <c r="S1619" s="87">
        <f t="shared" si="570"/>
        <v>328000</v>
      </c>
    </row>
    <row r="1620" spans="2:19" x14ac:dyDescent="0.2">
      <c r="B1620" s="83">
        <f t="shared" si="552"/>
        <v>47</v>
      </c>
      <c r="C1620" s="4"/>
      <c r="D1620" s="4"/>
      <c r="E1620" s="4"/>
      <c r="F1620" s="27"/>
      <c r="G1620" s="4"/>
      <c r="H1620" s="13" t="s">
        <v>383</v>
      </c>
      <c r="I1620" s="21"/>
      <c r="J1620" s="21"/>
      <c r="K1620" s="21">
        <f t="shared" si="558"/>
        <v>0</v>
      </c>
      <c r="M1620" s="21">
        <v>130000</v>
      </c>
      <c r="N1620" s="21"/>
      <c r="O1620" s="88">
        <f t="shared" si="560"/>
        <v>130000</v>
      </c>
      <c r="Q1620" s="308">
        <f t="shared" si="569"/>
        <v>130000</v>
      </c>
      <c r="R1620" s="21">
        <f t="shared" si="570"/>
        <v>0</v>
      </c>
      <c r="S1620" s="88">
        <f t="shared" si="570"/>
        <v>130000</v>
      </c>
    </row>
    <row r="1621" spans="2:19" x14ac:dyDescent="0.2">
      <c r="B1621" s="83">
        <f t="shared" si="552"/>
        <v>48</v>
      </c>
      <c r="C1621" s="4"/>
      <c r="D1621" s="4"/>
      <c r="E1621" s="4"/>
      <c r="F1621" s="27"/>
      <c r="G1621" s="4"/>
      <c r="H1621" s="154" t="s">
        <v>488</v>
      </c>
      <c r="I1621" s="21"/>
      <c r="J1621" s="21"/>
      <c r="K1621" s="21">
        <f t="shared" si="558"/>
        <v>0</v>
      </c>
      <c r="M1621" s="21">
        <f>146000-5000</f>
        <v>141000</v>
      </c>
      <c r="N1621" s="21"/>
      <c r="O1621" s="88">
        <f t="shared" si="560"/>
        <v>141000</v>
      </c>
      <c r="Q1621" s="308">
        <f t="shared" si="569"/>
        <v>141000</v>
      </c>
      <c r="R1621" s="21">
        <f t="shared" si="570"/>
        <v>0</v>
      </c>
      <c r="S1621" s="88">
        <f t="shared" si="570"/>
        <v>141000</v>
      </c>
    </row>
    <row r="1622" spans="2:19" x14ac:dyDescent="0.2">
      <c r="B1622" s="83">
        <f t="shared" si="552"/>
        <v>49</v>
      </c>
      <c r="C1622" s="4"/>
      <c r="D1622" s="4"/>
      <c r="E1622" s="4"/>
      <c r="F1622" s="27"/>
      <c r="G1622" s="4"/>
      <c r="H1622" s="154" t="s">
        <v>499</v>
      </c>
      <c r="I1622" s="21"/>
      <c r="J1622" s="21"/>
      <c r="K1622" s="21">
        <f t="shared" si="558"/>
        <v>0</v>
      </c>
      <c r="M1622" s="21">
        <f>60000-3000</f>
        <v>57000</v>
      </c>
      <c r="N1622" s="21"/>
      <c r="O1622" s="88">
        <f t="shared" si="560"/>
        <v>57000</v>
      </c>
      <c r="Q1622" s="308">
        <f t="shared" si="569"/>
        <v>57000</v>
      </c>
      <c r="R1622" s="21">
        <f t="shared" ref="R1622:S1637" si="580">J1622+N1622</f>
        <v>0</v>
      </c>
      <c r="S1622" s="88">
        <f t="shared" si="580"/>
        <v>57000</v>
      </c>
    </row>
    <row r="1623" spans="2:19" ht="15" x14ac:dyDescent="0.25">
      <c r="B1623" s="83">
        <f t="shared" si="552"/>
        <v>50</v>
      </c>
      <c r="C1623" s="267"/>
      <c r="D1623" s="267">
        <v>2</v>
      </c>
      <c r="E1623" s="368" t="s">
        <v>257</v>
      </c>
      <c r="F1623" s="361"/>
      <c r="G1623" s="361"/>
      <c r="H1623" s="362"/>
      <c r="I1623" s="37">
        <f>I1624+I1626</f>
        <v>2300</v>
      </c>
      <c r="J1623" s="37">
        <f t="shared" ref="J1623" si="581">J1624+J1626</f>
        <v>0</v>
      </c>
      <c r="K1623" s="37">
        <f t="shared" si="558"/>
        <v>2300</v>
      </c>
      <c r="M1623" s="37">
        <f>M1626</f>
        <v>65060</v>
      </c>
      <c r="N1623" s="37">
        <f t="shared" ref="N1623" si="582">N1626</f>
        <v>0</v>
      </c>
      <c r="O1623" s="85">
        <f t="shared" si="560"/>
        <v>65060</v>
      </c>
      <c r="Q1623" s="292">
        <f t="shared" si="569"/>
        <v>67360</v>
      </c>
      <c r="R1623" s="37">
        <f t="shared" si="580"/>
        <v>0</v>
      </c>
      <c r="S1623" s="85">
        <f t="shared" si="580"/>
        <v>67360</v>
      </c>
    </row>
    <row r="1624" spans="2:19" x14ac:dyDescent="0.2">
      <c r="B1624" s="83">
        <f t="shared" si="552"/>
        <v>51</v>
      </c>
      <c r="C1624" s="7"/>
      <c r="D1624" s="7"/>
      <c r="E1624" s="7"/>
      <c r="F1624" s="25" t="s">
        <v>150</v>
      </c>
      <c r="G1624" s="7">
        <v>630</v>
      </c>
      <c r="H1624" s="7" t="s">
        <v>133</v>
      </c>
      <c r="I1624" s="23">
        <f>I1625</f>
        <v>2300</v>
      </c>
      <c r="J1624" s="23">
        <f t="shared" ref="J1624" si="583">J1625</f>
        <v>0</v>
      </c>
      <c r="K1624" s="23">
        <f t="shared" si="558"/>
        <v>2300</v>
      </c>
      <c r="M1624" s="23"/>
      <c r="N1624" s="23"/>
      <c r="O1624" s="86">
        <f t="shared" si="560"/>
        <v>0</v>
      </c>
      <c r="Q1624" s="293">
        <f t="shared" si="569"/>
        <v>2300</v>
      </c>
      <c r="R1624" s="23">
        <f t="shared" si="580"/>
        <v>0</v>
      </c>
      <c r="S1624" s="86">
        <f t="shared" si="580"/>
        <v>2300</v>
      </c>
    </row>
    <row r="1625" spans="2:19" x14ac:dyDescent="0.2">
      <c r="B1625" s="83">
        <f t="shared" si="552"/>
        <v>52</v>
      </c>
      <c r="C1625" s="3"/>
      <c r="D1625" s="3"/>
      <c r="E1625" s="3"/>
      <c r="F1625" s="26" t="s">
        <v>150</v>
      </c>
      <c r="G1625" s="3">
        <v>637</v>
      </c>
      <c r="H1625" s="3" t="s">
        <v>134</v>
      </c>
      <c r="I1625" s="19">
        <v>2300</v>
      </c>
      <c r="J1625" s="19"/>
      <c r="K1625" s="19">
        <f t="shared" si="558"/>
        <v>2300</v>
      </c>
      <c r="M1625" s="19"/>
      <c r="N1625" s="19"/>
      <c r="O1625" s="87">
        <f t="shared" si="560"/>
        <v>0</v>
      </c>
      <c r="Q1625" s="294">
        <f t="shared" si="569"/>
        <v>2300</v>
      </c>
      <c r="R1625" s="19">
        <f t="shared" si="580"/>
        <v>0</v>
      </c>
      <c r="S1625" s="87">
        <f t="shared" si="580"/>
        <v>2300</v>
      </c>
    </row>
    <row r="1626" spans="2:19" x14ac:dyDescent="0.2">
      <c r="B1626" s="83">
        <f t="shared" si="552"/>
        <v>53</v>
      </c>
      <c r="C1626" s="7"/>
      <c r="D1626" s="7"/>
      <c r="E1626" s="7"/>
      <c r="F1626" s="25" t="s">
        <v>150</v>
      </c>
      <c r="G1626" s="7">
        <v>710</v>
      </c>
      <c r="H1626" s="7" t="s">
        <v>188</v>
      </c>
      <c r="I1626" s="23"/>
      <c r="J1626" s="23"/>
      <c r="K1626" s="23">
        <f t="shared" si="558"/>
        <v>0</v>
      </c>
      <c r="M1626" s="23">
        <f>M1627</f>
        <v>65060</v>
      </c>
      <c r="N1626" s="23">
        <f t="shared" ref="N1626:N1627" si="584">N1627</f>
        <v>0</v>
      </c>
      <c r="O1626" s="86">
        <f t="shared" si="560"/>
        <v>65060</v>
      </c>
      <c r="Q1626" s="293">
        <f t="shared" si="569"/>
        <v>65060</v>
      </c>
      <c r="R1626" s="23">
        <f t="shared" si="580"/>
        <v>0</v>
      </c>
      <c r="S1626" s="86">
        <f t="shared" si="580"/>
        <v>65060</v>
      </c>
    </row>
    <row r="1627" spans="2:19" x14ac:dyDescent="0.2">
      <c r="B1627" s="83">
        <f t="shared" si="552"/>
        <v>54</v>
      </c>
      <c r="C1627" s="3"/>
      <c r="D1627" s="3"/>
      <c r="E1627" s="3"/>
      <c r="F1627" s="26" t="s">
        <v>150</v>
      </c>
      <c r="G1627" s="3">
        <v>717</v>
      </c>
      <c r="H1627" s="3" t="s">
        <v>198</v>
      </c>
      <c r="I1627" s="19"/>
      <c r="J1627" s="19"/>
      <c r="K1627" s="19">
        <f t="shared" si="558"/>
        <v>0</v>
      </c>
      <c r="M1627" s="19">
        <f>M1628</f>
        <v>65060</v>
      </c>
      <c r="N1627" s="19">
        <f t="shared" si="584"/>
        <v>0</v>
      </c>
      <c r="O1627" s="87">
        <f t="shared" si="560"/>
        <v>65060</v>
      </c>
      <c r="Q1627" s="294">
        <f t="shared" si="569"/>
        <v>65060</v>
      </c>
      <c r="R1627" s="19">
        <f t="shared" si="580"/>
        <v>0</v>
      </c>
      <c r="S1627" s="87">
        <f t="shared" si="580"/>
        <v>65060</v>
      </c>
    </row>
    <row r="1628" spans="2:19" x14ac:dyDescent="0.2">
      <c r="B1628" s="83">
        <f t="shared" si="552"/>
        <v>55</v>
      </c>
      <c r="C1628" s="4"/>
      <c r="D1628" s="4"/>
      <c r="E1628" s="4"/>
      <c r="F1628" s="27"/>
      <c r="G1628" s="4"/>
      <c r="H1628" s="4" t="s">
        <v>262</v>
      </c>
      <c r="I1628" s="21"/>
      <c r="J1628" s="21"/>
      <c r="K1628" s="21">
        <f t="shared" si="558"/>
        <v>0</v>
      </c>
      <c r="M1628" s="21">
        <v>65060</v>
      </c>
      <c r="N1628" s="21"/>
      <c r="O1628" s="88">
        <f t="shared" si="560"/>
        <v>65060</v>
      </c>
      <c r="Q1628" s="308">
        <f t="shared" si="569"/>
        <v>65060</v>
      </c>
      <c r="R1628" s="21">
        <f t="shared" si="580"/>
        <v>0</v>
      </c>
      <c r="S1628" s="88">
        <f t="shared" si="580"/>
        <v>65060</v>
      </c>
    </row>
    <row r="1629" spans="2:19" ht="15" x14ac:dyDescent="0.2">
      <c r="B1629" s="83">
        <f t="shared" si="552"/>
        <v>56</v>
      </c>
      <c r="C1629" s="268">
        <v>3</v>
      </c>
      <c r="D1629" s="360" t="s">
        <v>523</v>
      </c>
      <c r="E1629" s="361"/>
      <c r="F1629" s="361"/>
      <c r="G1629" s="361"/>
      <c r="H1629" s="362"/>
      <c r="I1629" s="36">
        <f>I1630+I1634+I1637+I1640+I1643</f>
        <v>164700</v>
      </c>
      <c r="J1629" s="36">
        <f t="shared" ref="J1629" si="585">J1630+J1634+J1637+J1640+J1643</f>
        <v>0</v>
      </c>
      <c r="K1629" s="36">
        <f t="shared" si="558"/>
        <v>164700</v>
      </c>
      <c r="M1629" s="36">
        <f>M1640</f>
        <v>6000</v>
      </c>
      <c r="N1629" s="36">
        <f t="shared" ref="N1629" si="586">N1640</f>
        <v>0</v>
      </c>
      <c r="O1629" s="84">
        <f t="shared" si="560"/>
        <v>6000</v>
      </c>
      <c r="Q1629" s="291">
        <f t="shared" si="569"/>
        <v>170700</v>
      </c>
      <c r="R1629" s="36">
        <f t="shared" si="580"/>
        <v>0</v>
      </c>
      <c r="S1629" s="84">
        <f t="shared" si="580"/>
        <v>170700</v>
      </c>
    </row>
    <row r="1630" spans="2:19" x14ac:dyDescent="0.2">
      <c r="B1630" s="83">
        <f t="shared" si="552"/>
        <v>57</v>
      </c>
      <c r="C1630" s="7"/>
      <c r="D1630" s="7"/>
      <c r="E1630" s="7"/>
      <c r="F1630" s="25" t="s">
        <v>259</v>
      </c>
      <c r="G1630" s="7">
        <v>630</v>
      </c>
      <c r="H1630" s="7" t="s">
        <v>133</v>
      </c>
      <c r="I1630" s="23">
        <f>I1632+I1631+I1633</f>
        <v>96100</v>
      </c>
      <c r="J1630" s="23">
        <f t="shared" ref="J1630" si="587">J1632+J1631+J1633</f>
        <v>0</v>
      </c>
      <c r="K1630" s="23">
        <f t="shared" si="558"/>
        <v>96100</v>
      </c>
      <c r="M1630" s="23"/>
      <c r="N1630" s="23"/>
      <c r="O1630" s="86">
        <f t="shared" si="560"/>
        <v>0</v>
      </c>
      <c r="Q1630" s="293">
        <f t="shared" si="569"/>
        <v>96100</v>
      </c>
      <c r="R1630" s="23">
        <f t="shared" si="580"/>
        <v>0</v>
      </c>
      <c r="S1630" s="86">
        <f t="shared" si="580"/>
        <v>96100</v>
      </c>
    </row>
    <row r="1631" spans="2:19" x14ac:dyDescent="0.2">
      <c r="B1631" s="83">
        <f t="shared" si="552"/>
        <v>58</v>
      </c>
      <c r="C1631" s="3"/>
      <c r="D1631" s="3"/>
      <c r="E1631" s="3"/>
      <c r="F1631" s="26" t="s">
        <v>259</v>
      </c>
      <c r="G1631" s="3">
        <v>633</v>
      </c>
      <c r="H1631" s="3" t="s">
        <v>137</v>
      </c>
      <c r="I1631" s="19">
        <v>100</v>
      </c>
      <c r="J1631" s="19"/>
      <c r="K1631" s="19">
        <f t="shared" si="558"/>
        <v>100</v>
      </c>
      <c r="M1631" s="19"/>
      <c r="N1631" s="19"/>
      <c r="O1631" s="87">
        <f t="shared" si="560"/>
        <v>0</v>
      </c>
      <c r="Q1631" s="294">
        <f t="shared" si="569"/>
        <v>100</v>
      </c>
      <c r="R1631" s="19">
        <f t="shared" si="580"/>
        <v>0</v>
      </c>
      <c r="S1631" s="87">
        <f t="shared" si="580"/>
        <v>100</v>
      </c>
    </row>
    <row r="1632" spans="2:19" x14ac:dyDescent="0.2">
      <c r="B1632" s="83">
        <f t="shared" si="552"/>
        <v>59</v>
      </c>
      <c r="C1632" s="3"/>
      <c r="D1632" s="3"/>
      <c r="E1632" s="3"/>
      <c r="F1632" s="26" t="s">
        <v>259</v>
      </c>
      <c r="G1632" s="3">
        <v>637</v>
      </c>
      <c r="H1632" s="3" t="s">
        <v>134</v>
      </c>
      <c r="I1632" s="19">
        <f>93500-85000+2500</f>
        <v>11000</v>
      </c>
      <c r="J1632" s="19"/>
      <c r="K1632" s="19">
        <f t="shared" si="558"/>
        <v>11000</v>
      </c>
      <c r="M1632" s="19"/>
      <c r="N1632" s="19"/>
      <c r="O1632" s="87">
        <f t="shared" si="560"/>
        <v>0</v>
      </c>
      <c r="Q1632" s="294">
        <f t="shared" si="569"/>
        <v>11000</v>
      </c>
      <c r="R1632" s="19">
        <f t="shared" si="580"/>
        <v>0</v>
      </c>
      <c r="S1632" s="87">
        <f t="shared" si="580"/>
        <v>11000</v>
      </c>
    </row>
    <row r="1633" spans="2:19" x14ac:dyDescent="0.2">
      <c r="B1633" s="83">
        <f t="shared" si="552"/>
        <v>60</v>
      </c>
      <c r="C1633" s="3"/>
      <c r="D1633" s="3"/>
      <c r="E1633" s="3"/>
      <c r="F1633" s="26" t="s">
        <v>259</v>
      </c>
      <c r="G1633" s="3">
        <v>637</v>
      </c>
      <c r="H1633" s="3" t="s">
        <v>444</v>
      </c>
      <c r="I1633" s="19">
        <v>85000</v>
      </c>
      <c r="J1633" s="19"/>
      <c r="K1633" s="19">
        <f t="shared" si="558"/>
        <v>85000</v>
      </c>
      <c r="M1633" s="19"/>
      <c r="N1633" s="19"/>
      <c r="O1633" s="87">
        <f t="shared" si="560"/>
        <v>0</v>
      </c>
      <c r="Q1633" s="294">
        <f t="shared" si="569"/>
        <v>85000</v>
      </c>
      <c r="R1633" s="19">
        <f t="shared" si="580"/>
        <v>0</v>
      </c>
      <c r="S1633" s="87">
        <f t="shared" si="580"/>
        <v>85000</v>
      </c>
    </row>
    <row r="1634" spans="2:19" x14ac:dyDescent="0.2">
      <c r="B1634" s="83">
        <f t="shared" si="552"/>
        <v>61</v>
      </c>
      <c r="C1634" s="7"/>
      <c r="D1634" s="7"/>
      <c r="E1634" s="7"/>
      <c r="F1634" s="25" t="s">
        <v>82</v>
      </c>
      <c r="G1634" s="7">
        <v>630</v>
      </c>
      <c r="H1634" s="7" t="s">
        <v>133</v>
      </c>
      <c r="I1634" s="23">
        <f>I1635+I1636</f>
        <v>51400</v>
      </c>
      <c r="J1634" s="23">
        <f t="shared" ref="J1634" si="588">J1635+J1636</f>
        <v>0</v>
      </c>
      <c r="K1634" s="23">
        <f t="shared" si="558"/>
        <v>51400</v>
      </c>
      <c r="M1634" s="23"/>
      <c r="N1634" s="23"/>
      <c r="O1634" s="86">
        <f t="shared" si="560"/>
        <v>0</v>
      </c>
      <c r="Q1634" s="293">
        <f t="shared" si="569"/>
        <v>51400</v>
      </c>
      <c r="R1634" s="23">
        <f t="shared" si="580"/>
        <v>0</v>
      </c>
      <c r="S1634" s="86">
        <f t="shared" si="580"/>
        <v>51400</v>
      </c>
    </row>
    <row r="1635" spans="2:19" x14ac:dyDescent="0.2">
      <c r="B1635" s="83">
        <f t="shared" si="552"/>
        <v>62</v>
      </c>
      <c r="C1635" s="3"/>
      <c r="D1635" s="3"/>
      <c r="E1635" s="3"/>
      <c r="F1635" s="26" t="s">
        <v>82</v>
      </c>
      <c r="G1635" s="3">
        <v>637</v>
      </c>
      <c r="H1635" s="56" t="s">
        <v>389</v>
      </c>
      <c r="I1635" s="64">
        <f>15000+29950</f>
        <v>44950</v>
      </c>
      <c r="J1635" s="64"/>
      <c r="K1635" s="64">
        <f t="shared" si="558"/>
        <v>44950</v>
      </c>
      <c r="M1635" s="19"/>
      <c r="N1635" s="19"/>
      <c r="O1635" s="87">
        <f t="shared" si="560"/>
        <v>0</v>
      </c>
      <c r="Q1635" s="294">
        <f t="shared" si="569"/>
        <v>44950</v>
      </c>
      <c r="R1635" s="19">
        <f t="shared" si="580"/>
        <v>0</v>
      </c>
      <c r="S1635" s="87">
        <f t="shared" si="580"/>
        <v>44950</v>
      </c>
    </row>
    <row r="1636" spans="2:19" x14ac:dyDescent="0.2">
      <c r="B1636" s="83">
        <f t="shared" si="552"/>
        <v>63</v>
      </c>
      <c r="C1636" s="3"/>
      <c r="D1636" s="3"/>
      <c r="E1636" s="3"/>
      <c r="F1636" s="26" t="s">
        <v>82</v>
      </c>
      <c r="G1636" s="3">
        <v>637</v>
      </c>
      <c r="H1636" s="3" t="s">
        <v>458</v>
      </c>
      <c r="I1636" s="64">
        <v>6450</v>
      </c>
      <c r="J1636" s="64"/>
      <c r="K1636" s="64">
        <f t="shared" si="558"/>
        <v>6450</v>
      </c>
      <c r="M1636" s="19"/>
      <c r="N1636" s="19"/>
      <c r="O1636" s="87">
        <f t="shared" si="560"/>
        <v>0</v>
      </c>
      <c r="Q1636" s="294">
        <f t="shared" si="569"/>
        <v>6450</v>
      </c>
      <c r="R1636" s="19">
        <f t="shared" si="580"/>
        <v>0</v>
      </c>
      <c r="S1636" s="87">
        <f t="shared" si="580"/>
        <v>6450</v>
      </c>
    </row>
    <row r="1637" spans="2:19" x14ac:dyDescent="0.2">
      <c r="B1637" s="83">
        <f t="shared" si="552"/>
        <v>64</v>
      </c>
      <c r="C1637" s="7"/>
      <c r="D1637" s="7"/>
      <c r="E1637" s="7"/>
      <c r="F1637" s="25" t="s">
        <v>259</v>
      </c>
      <c r="G1637" s="7">
        <v>640</v>
      </c>
      <c r="H1637" s="7" t="s">
        <v>141</v>
      </c>
      <c r="I1637" s="23">
        <f>I1638+I1639</f>
        <v>7200</v>
      </c>
      <c r="J1637" s="23">
        <f t="shared" ref="J1637" si="589">J1638+J1639</f>
        <v>0</v>
      </c>
      <c r="K1637" s="23">
        <f t="shared" si="558"/>
        <v>7200</v>
      </c>
      <c r="M1637" s="23"/>
      <c r="N1637" s="23"/>
      <c r="O1637" s="86">
        <f t="shared" si="560"/>
        <v>0</v>
      </c>
      <c r="Q1637" s="293">
        <f t="shared" si="569"/>
        <v>7200</v>
      </c>
      <c r="R1637" s="23">
        <f t="shared" si="580"/>
        <v>0</v>
      </c>
      <c r="S1637" s="86">
        <f t="shared" si="580"/>
        <v>7200</v>
      </c>
    </row>
    <row r="1638" spans="2:19" x14ac:dyDescent="0.2">
      <c r="B1638" s="83">
        <f t="shared" ref="B1638:B1671" si="590">B1637+1</f>
        <v>65</v>
      </c>
      <c r="C1638" s="3"/>
      <c r="D1638" s="3"/>
      <c r="E1638" s="3"/>
      <c r="F1638" s="26"/>
      <c r="G1638" s="3"/>
      <c r="H1638" s="4" t="s">
        <v>297</v>
      </c>
      <c r="I1638" s="21">
        <v>3200</v>
      </c>
      <c r="J1638" s="21"/>
      <c r="K1638" s="21">
        <f t="shared" si="558"/>
        <v>3200</v>
      </c>
      <c r="M1638" s="19"/>
      <c r="N1638" s="19"/>
      <c r="O1638" s="87">
        <f t="shared" si="560"/>
        <v>0</v>
      </c>
      <c r="Q1638" s="294">
        <f t="shared" ref="Q1638:Q1671" si="591">I1638+M1638</f>
        <v>3200</v>
      </c>
      <c r="R1638" s="19">
        <f t="shared" ref="R1638:S1653" si="592">J1638+N1638</f>
        <v>0</v>
      </c>
      <c r="S1638" s="87">
        <f t="shared" si="592"/>
        <v>3200</v>
      </c>
    </row>
    <row r="1639" spans="2:19" x14ac:dyDescent="0.2">
      <c r="B1639" s="83">
        <f t="shared" si="590"/>
        <v>66</v>
      </c>
      <c r="C1639" s="4"/>
      <c r="D1639" s="4"/>
      <c r="E1639" s="4"/>
      <c r="F1639" s="27"/>
      <c r="G1639" s="4"/>
      <c r="H1639" s="4" t="s">
        <v>520</v>
      </c>
      <c r="I1639" s="21">
        <v>4000</v>
      </c>
      <c r="J1639" s="21"/>
      <c r="K1639" s="21">
        <f t="shared" ref="K1639:K1671" si="593">I1639+J1639</f>
        <v>4000</v>
      </c>
      <c r="M1639" s="21"/>
      <c r="N1639" s="21"/>
      <c r="O1639" s="88">
        <f t="shared" ref="O1639:O1671" si="594">M1639+N1639</f>
        <v>0</v>
      </c>
      <c r="Q1639" s="308">
        <f t="shared" si="591"/>
        <v>4000</v>
      </c>
      <c r="R1639" s="21">
        <f t="shared" si="592"/>
        <v>0</v>
      </c>
      <c r="S1639" s="88">
        <f t="shared" si="592"/>
        <v>4000</v>
      </c>
    </row>
    <row r="1640" spans="2:19" x14ac:dyDescent="0.2">
      <c r="B1640" s="83">
        <f t="shared" si="590"/>
        <v>67</v>
      </c>
      <c r="C1640" s="7"/>
      <c r="D1640" s="7"/>
      <c r="E1640" s="7"/>
      <c r="F1640" s="25" t="s">
        <v>259</v>
      </c>
      <c r="G1640" s="7">
        <v>710</v>
      </c>
      <c r="H1640" s="7" t="s">
        <v>188</v>
      </c>
      <c r="I1640" s="23"/>
      <c r="J1640" s="23"/>
      <c r="K1640" s="23">
        <f t="shared" si="593"/>
        <v>0</v>
      </c>
      <c r="M1640" s="23">
        <f>M1641</f>
        <v>6000</v>
      </c>
      <c r="N1640" s="23">
        <f t="shared" ref="N1640:N1641" si="595">N1641</f>
        <v>0</v>
      </c>
      <c r="O1640" s="86">
        <f t="shared" si="594"/>
        <v>6000</v>
      </c>
      <c r="Q1640" s="293">
        <f t="shared" si="591"/>
        <v>6000</v>
      </c>
      <c r="R1640" s="23">
        <f t="shared" si="592"/>
        <v>0</v>
      </c>
      <c r="S1640" s="86">
        <f t="shared" si="592"/>
        <v>6000</v>
      </c>
    </row>
    <row r="1641" spans="2:19" x14ac:dyDescent="0.2">
      <c r="B1641" s="83">
        <f t="shared" si="590"/>
        <v>68</v>
      </c>
      <c r="C1641" s="3"/>
      <c r="D1641" s="3"/>
      <c r="E1641" s="3"/>
      <c r="F1641" s="26" t="s">
        <v>259</v>
      </c>
      <c r="G1641" s="3">
        <v>716</v>
      </c>
      <c r="H1641" s="3" t="s">
        <v>232</v>
      </c>
      <c r="I1641" s="19"/>
      <c r="J1641" s="19"/>
      <c r="K1641" s="19">
        <f t="shared" si="593"/>
        <v>0</v>
      </c>
      <c r="M1641" s="19">
        <f>M1642</f>
        <v>6000</v>
      </c>
      <c r="N1641" s="19">
        <f t="shared" si="595"/>
        <v>0</v>
      </c>
      <c r="O1641" s="87">
        <f t="shared" si="594"/>
        <v>6000</v>
      </c>
      <c r="Q1641" s="294">
        <f t="shared" si="591"/>
        <v>6000</v>
      </c>
      <c r="R1641" s="19">
        <f t="shared" si="592"/>
        <v>0</v>
      </c>
      <c r="S1641" s="87">
        <f t="shared" si="592"/>
        <v>6000</v>
      </c>
    </row>
    <row r="1642" spans="2:19" x14ac:dyDescent="0.2">
      <c r="B1642" s="83">
        <f t="shared" si="590"/>
        <v>69</v>
      </c>
      <c r="C1642" s="4"/>
      <c r="D1642" s="4"/>
      <c r="E1642" s="4"/>
      <c r="F1642" s="27"/>
      <c r="G1642" s="4"/>
      <c r="H1642" s="4" t="s">
        <v>392</v>
      </c>
      <c r="I1642" s="21"/>
      <c r="J1642" s="21"/>
      <c r="K1642" s="21">
        <f t="shared" si="593"/>
        <v>0</v>
      </c>
      <c r="M1642" s="21">
        <v>6000</v>
      </c>
      <c r="N1642" s="21"/>
      <c r="O1642" s="88">
        <f t="shared" si="594"/>
        <v>6000</v>
      </c>
      <c r="Q1642" s="308">
        <f t="shared" si="591"/>
        <v>6000</v>
      </c>
      <c r="R1642" s="21">
        <f t="shared" si="592"/>
        <v>0</v>
      </c>
      <c r="S1642" s="88">
        <f t="shared" si="592"/>
        <v>6000</v>
      </c>
    </row>
    <row r="1643" spans="2:19" ht="15" x14ac:dyDescent="0.25">
      <c r="B1643" s="83">
        <f t="shared" si="590"/>
        <v>70</v>
      </c>
      <c r="C1643" s="10"/>
      <c r="D1643" s="10"/>
      <c r="E1643" s="10">
        <v>2</v>
      </c>
      <c r="F1643" s="28"/>
      <c r="G1643" s="10"/>
      <c r="H1643" s="10" t="s">
        <v>415</v>
      </c>
      <c r="I1643" s="38">
        <f>I1644</f>
        <v>10000</v>
      </c>
      <c r="J1643" s="38">
        <f t="shared" ref="J1643:J1644" si="596">J1644</f>
        <v>0</v>
      </c>
      <c r="K1643" s="38">
        <f t="shared" si="593"/>
        <v>10000</v>
      </c>
      <c r="M1643" s="38">
        <v>0</v>
      </c>
      <c r="N1643" s="38">
        <v>0</v>
      </c>
      <c r="O1643" s="94">
        <f t="shared" si="594"/>
        <v>0</v>
      </c>
      <c r="Q1643" s="307">
        <f t="shared" si="591"/>
        <v>10000</v>
      </c>
      <c r="R1643" s="38">
        <f t="shared" si="592"/>
        <v>0</v>
      </c>
      <c r="S1643" s="94">
        <f t="shared" si="592"/>
        <v>10000</v>
      </c>
    </row>
    <row r="1644" spans="2:19" x14ac:dyDescent="0.2">
      <c r="B1644" s="83">
        <f t="shared" si="590"/>
        <v>71</v>
      </c>
      <c r="C1644" s="7"/>
      <c r="D1644" s="7"/>
      <c r="E1644" s="7"/>
      <c r="F1644" s="25" t="s">
        <v>208</v>
      </c>
      <c r="G1644" s="7">
        <v>630</v>
      </c>
      <c r="H1644" s="7" t="s">
        <v>133</v>
      </c>
      <c r="I1644" s="23">
        <f>I1645</f>
        <v>10000</v>
      </c>
      <c r="J1644" s="23">
        <f t="shared" si="596"/>
        <v>0</v>
      </c>
      <c r="K1644" s="23">
        <f t="shared" si="593"/>
        <v>10000</v>
      </c>
      <c r="M1644" s="23"/>
      <c r="N1644" s="23"/>
      <c r="O1644" s="86">
        <f t="shared" si="594"/>
        <v>0</v>
      </c>
      <c r="Q1644" s="293">
        <f t="shared" si="591"/>
        <v>10000</v>
      </c>
      <c r="R1644" s="23">
        <f t="shared" si="592"/>
        <v>0</v>
      </c>
      <c r="S1644" s="86">
        <f t="shared" si="592"/>
        <v>10000</v>
      </c>
    </row>
    <row r="1645" spans="2:19" x14ac:dyDescent="0.2">
      <c r="B1645" s="83">
        <f t="shared" si="590"/>
        <v>72</v>
      </c>
      <c r="C1645" s="3"/>
      <c r="D1645" s="3"/>
      <c r="E1645" s="3"/>
      <c r="F1645" s="26" t="s">
        <v>208</v>
      </c>
      <c r="G1645" s="3">
        <v>635</v>
      </c>
      <c r="H1645" s="3" t="s">
        <v>145</v>
      </c>
      <c r="I1645" s="19">
        <v>10000</v>
      </c>
      <c r="J1645" s="19"/>
      <c r="K1645" s="19">
        <f t="shared" si="593"/>
        <v>10000</v>
      </c>
      <c r="M1645" s="19"/>
      <c r="N1645" s="19"/>
      <c r="O1645" s="87">
        <f t="shared" si="594"/>
        <v>0</v>
      </c>
      <c r="Q1645" s="294">
        <f t="shared" si="591"/>
        <v>10000</v>
      </c>
      <c r="R1645" s="19">
        <f t="shared" si="592"/>
        <v>0</v>
      </c>
      <c r="S1645" s="87">
        <f t="shared" si="592"/>
        <v>10000</v>
      </c>
    </row>
    <row r="1646" spans="2:19" ht="15" x14ac:dyDescent="0.2">
      <c r="B1646" s="83">
        <f t="shared" si="590"/>
        <v>73</v>
      </c>
      <c r="C1646" s="268">
        <v>4</v>
      </c>
      <c r="D1646" s="360" t="s">
        <v>70</v>
      </c>
      <c r="E1646" s="361"/>
      <c r="F1646" s="361"/>
      <c r="G1646" s="361"/>
      <c r="H1646" s="362"/>
      <c r="I1646" s="36">
        <f>I1647</f>
        <v>22000</v>
      </c>
      <c r="J1646" s="36">
        <f t="shared" ref="J1646:J1648" si="597">J1647</f>
        <v>0</v>
      </c>
      <c r="K1646" s="36">
        <f t="shared" si="593"/>
        <v>22000</v>
      </c>
      <c r="M1646" s="36">
        <v>0</v>
      </c>
      <c r="N1646" s="36">
        <v>0</v>
      </c>
      <c r="O1646" s="84">
        <f t="shared" si="594"/>
        <v>0</v>
      </c>
      <c r="Q1646" s="291">
        <f t="shared" si="591"/>
        <v>22000</v>
      </c>
      <c r="R1646" s="36">
        <f t="shared" si="592"/>
        <v>0</v>
      </c>
      <c r="S1646" s="84">
        <f t="shared" si="592"/>
        <v>22000</v>
      </c>
    </row>
    <row r="1647" spans="2:19" x14ac:dyDescent="0.2">
      <c r="B1647" s="83">
        <f t="shared" si="590"/>
        <v>74</v>
      </c>
      <c r="C1647" s="7"/>
      <c r="D1647" s="7"/>
      <c r="E1647" s="7"/>
      <c r="F1647" s="25" t="s">
        <v>208</v>
      </c>
      <c r="G1647" s="7">
        <v>640</v>
      </c>
      <c r="H1647" s="7" t="s">
        <v>141</v>
      </c>
      <c r="I1647" s="23">
        <f>I1648</f>
        <v>22000</v>
      </c>
      <c r="J1647" s="23">
        <f t="shared" si="597"/>
        <v>0</v>
      </c>
      <c r="K1647" s="23">
        <f t="shared" si="593"/>
        <v>22000</v>
      </c>
      <c r="M1647" s="23"/>
      <c r="N1647" s="23"/>
      <c r="O1647" s="86">
        <f t="shared" si="594"/>
        <v>0</v>
      </c>
      <c r="Q1647" s="293">
        <f t="shared" si="591"/>
        <v>22000</v>
      </c>
      <c r="R1647" s="23">
        <f t="shared" si="592"/>
        <v>0</v>
      </c>
      <c r="S1647" s="86">
        <f t="shared" si="592"/>
        <v>22000</v>
      </c>
    </row>
    <row r="1648" spans="2:19" x14ac:dyDescent="0.2">
      <c r="B1648" s="83">
        <f t="shared" si="590"/>
        <v>75</v>
      </c>
      <c r="C1648" s="3"/>
      <c r="D1648" s="3"/>
      <c r="E1648" s="3"/>
      <c r="F1648" s="26" t="s">
        <v>208</v>
      </c>
      <c r="G1648" s="3">
        <v>642</v>
      </c>
      <c r="H1648" s="3" t="s">
        <v>142</v>
      </c>
      <c r="I1648" s="19">
        <f>I1649</f>
        <v>22000</v>
      </c>
      <c r="J1648" s="19">
        <f t="shared" si="597"/>
        <v>0</v>
      </c>
      <c r="K1648" s="19">
        <f t="shared" si="593"/>
        <v>22000</v>
      </c>
      <c r="M1648" s="19"/>
      <c r="N1648" s="19"/>
      <c r="O1648" s="87">
        <f t="shared" si="594"/>
        <v>0</v>
      </c>
      <c r="Q1648" s="294">
        <f t="shared" si="591"/>
        <v>22000</v>
      </c>
      <c r="R1648" s="19">
        <f t="shared" si="592"/>
        <v>0</v>
      </c>
      <c r="S1648" s="87">
        <f t="shared" si="592"/>
        <v>22000</v>
      </c>
    </row>
    <row r="1649" spans="2:19" x14ac:dyDescent="0.2">
      <c r="B1649" s="83">
        <f t="shared" si="590"/>
        <v>76</v>
      </c>
      <c r="C1649" s="4"/>
      <c r="D1649" s="4"/>
      <c r="E1649" s="4"/>
      <c r="F1649" s="27"/>
      <c r="G1649" s="4"/>
      <c r="H1649" s="4" t="s">
        <v>355</v>
      </c>
      <c r="I1649" s="21">
        <v>22000</v>
      </c>
      <c r="J1649" s="21"/>
      <c r="K1649" s="21">
        <f t="shared" si="593"/>
        <v>22000</v>
      </c>
      <c r="M1649" s="21"/>
      <c r="N1649" s="21"/>
      <c r="O1649" s="88">
        <f t="shared" si="594"/>
        <v>0</v>
      </c>
      <c r="Q1649" s="308">
        <f t="shared" si="591"/>
        <v>22000</v>
      </c>
      <c r="R1649" s="21">
        <f t="shared" si="592"/>
        <v>0</v>
      </c>
      <c r="S1649" s="88">
        <f t="shared" si="592"/>
        <v>22000</v>
      </c>
    </row>
    <row r="1650" spans="2:19" ht="15" x14ac:dyDescent="0.2">
      <c r="B1650" s="83">
        <f t="shared" si="590"/>
        <v>77</v>
      </c>
      <c r="C1650" s="268">
        <v>5</v>
      </c>
      <c r="D1650" s="360" t="s">
        <v>49</v>
      </c>
      <c r="E1650" s="361"/>
      <c r="F1650" s="361"/>
      <c r="G1650" s="361"/>
      <c r="H1650" s="362"/>
      <c r="I1650" s="36">
        <f>I1651</f>
        <v>13600</v>
      </c>
      <c r="J1650" s="36">
        <f t="shared" ref="J1650:J1651" si="598">J1651</f>
        <v>0</v>
      </c>
      <c r="K1650" s="36">
        <f t="shared" si="593"/>
        <v>13600</v>
      </c>
      <c r="M1650" s="36">
        <v>0</v>
      </c>
      <c r="N1650" s="36">
        <v>0</v>
      </c>
      <c r="O1650" s="84">
        <f t="shared" si="594"/>
        <v>0</v>
      </c>
      <c r="Q1650" s="291">
        <f t="shared" si="591"/>
        <v>13600</v>
      </c>
      <c r="R1650" s="36">
        <f t="shared" si="592"/>
        <v>0</v>
      </c>
      <c r="S1650" s="84">
        <f t="shared" si="592"/>
        <v>13600</v>
      </c>
    </row>
    <row r="1651" spans="2:19" ht="15" x14ac:dyDescent="0.25">
      <c r="B1651" s="83">
        <f t="shared" si="590"/>
        <v>78</v>
      </c>
      <c r="C1651" s="10"/>
      <c r="D1651" s="10"/>
      <c r="E1651" s="10">
        <v>2</v>
      </c>
      <c r="F1651" s="28"/>
      <c r="G1651" s="10"/>
      <c r="H1651" s="10" t="s">
        <v>415</v>
      </c>
      <c r="I1651" s="38">
        <f>I1652</f>
        <v>13600</v>
      </c>
      <c r="J1651" s="38">
        <f t="shared" si="598"/>
        <v>0</v>
      </c>
      <c r="K1651" s="38">
        <f t="shared" si="593"/>
        <v>13600</v>
      </c>
      <c r="M1651" s="38"/>
      <c r="N1651" s="38"/>
      <c r="O1651" s="94">
        <f t="shared" si="594"/>
        <v>0</v>
      </c>
      <c r="Q1651" s="307">
        <f t="shared" si="591"/>
        <v>13600</v>
      </c>
      <c r="R1651" s="38">
        <f t="shared" si="592"/>
        <v>0</v>
      </c>
      <c r="S1651" s="94">
        <f t="shared" si="592"/>
        <v>13600</v>
      </c>
    </row>
    <row r="1652" spans="2:19" x14ac:dyDescent="0.2">
      <c r="B1652" s="83">
        <f t="shared" si="590"/>
        <v>79</v>
      </c>
      <c r="C1652" s="7"/>
      <c r="D1652" s="7"/>
      <c r="E1652" s="7"/>
      <c r="F1652" s="25" t="s">
        <v>208</v>
      </c>
      <c r="G1652" s="7">
        <v>630</v>
      </c>
      <c r="H1652" s="7" t="s">
        <v>133</v>
      </c>
      <c r="I1652" s="23">
        <f>SUM(I1653:I1656)</f>
        <v>13600</v>
      </c>
      <c r="J1652" s="23">
        <f t="shared" ref="J1652" si="599">SUM(J1653:J1656)</f>
        <v>0</v>
      </c>
      <c r="K1652" s="23">
        <f t="shared" si="593"/>
        <v>13600</v>
      </c>
      <c r="M1652" s="23"/>
      <c r="N1652" s="23"/>
      <c r="O1652" s="86">
        <f t="shared" si="594"/>
        <v>0</v>
      </c>
      <c r="Q1652" s="293">
        <f t="shared" si="591"/>
        <v>13600</v>
      </c>
      <c r="R1652" s="23">
        <f t="shared" si="592"/>
        <v>0</v>
      </c>
      <c r="S1652" s="86">
        <f t="shared" si="592"/>
        <v>13600</v>
      </c>
    </row>
    <row r="1653" spans="2:19" x14ac:dyDescent="0.2">
      <c r="B1653" s="83">
        <f t="shared" si="590"/>
        <v>80</v>
      </c>
      <c r="C1653" s="3"/>
      <c r="D1653" s="3"/>
      <c r="E1653" s="3"/>
      <c r="F1653" s="26" t="s">
        <v>208</v>
      </c>
      <c r="G1653" s="3">
        <v>632</v>
      </c>
      <c r="H1653" s="3" t="s">
        <v>146</v>
      </c>
      <c r="I1653" s="19">
        <v>10300</v>
      </c>
      <c r="J1653" s="19"/>
      <c r="K1653" s="19">
        <f t="shared" si="593"/>
        <v>10300</v>
      </c>
      <c r="M1653" s="19"/>
      <c r="N1653" s="19"/>
      <c r="O1653" s="87">
        <f t="shared" si="594"/>
        <v>0</v>
      </c>
      <c r="Q1653" s="294">
        <f t="shared" si="591"/>
        <v>10300</v>
      </c>
      <c r="R1653" s="19">
        <f t="shared" si="592"/>
        <v>0</v>
      </c>
      <c r="S1653" s="87">
        <f t="shared" si="592"/>
        <v>10300</v>
      </c>
    </row>
    <row r="1654" spans="2:19" x14ac:dyDescent="0.2">
      <c r="B1654" s="83">
        <f t="shared" si="590"/>
        <v>81</v>
      </c>
      <c r="C1654" s="3"/>
      <c r="D1654" s="3"/>
      <c r="E1654" s="3"/>
      <c r="F1654" s="26" t="s">
        <v>208</v>
      </c>
      <c r="G1654" s="3">
        <v>633</v>
      </c>
      <c r="H1654" s="3" t="s">
        <v>137</v>
      </c>
      <c r="I1654" s="19">
        <v>2000</v>
      </c>
      <c r="J1654" s="19"/>
      <c r="K1654" s="19">
        <f t="shared" si="593"/>
        <v>2000</v>
      </c>
      <c r="M1654" s="19"/>
      <c r="N1654" s="19"/>
      <c r="O1654" s="87">
        <f t="shared" si="594"/>
        <v>0</v>
      </c>
      <c r="Q1654" s="294">
        <f t="shared" si="591"/>
        <v>2000</v>
      </c>
      <c r="R1654" s="19">
        <f t="shared" ref="R1654:S1669" si="600">J1654+N1654</f>
        <v>0</v>
      </c>
      <c r="S1654" s="87">
        <f t="shared" si="600"/>
        <v>2000</v>
      </c>
    </row>
    <row r="1655" spans="2:19" x14ac:dyDescent="0.2">
      <c r="B1655" s="83">
        <f t="shared" si="590"/>
        <v>82</v>
      </c>
      <c r="C1655" s="3"/>
      <c r="D1655" s="3"/>
      <c r="E1655" s="3"/>
      <c r="F1655" s="26" t="s">
        <v>208</v>
      </c>
      <c r="G1655" s="3">
        <v>635</v>
      </c>
      <c r="H1655" s="3" t="s">
        <v>145</v>
      </c>
      <c r="I1655" s="19">
        <v>400</v>
      </c>
      <c r="J1655" s="19"/>
      <c r="K1655" s="19">
        <f t="shared" si="593"/>
        <v>400</v>
      </c>
      <c r="M1655" s="19"/>
      <c r="N1655" s="19"/>
      <c r="O1655" s="87">
        <f t="shared" si="594"/>
        <v>0</v>
      </c>
      <c r="Q1655" s="294">
        <f t="shared" si="591"/>
        <v>400</v>
      </c>
      <c r="R1655" s="19">
        <f t="shared" si="600"/>
        <v>0</v>
      </c>
      <c r="S1655" s="87">
        <f t="shared" si="600"/>
        <v>400</v>
      </c>
    </row>
    <row r="1656" spans="2:19" x14ac:dyDescent="0.2">
      <c r="B1656" s="83">
        <f t="shared" si="590"/>
        <v>83</v>
      </c>
      <c r="C1656" s="3"/>
      <c r="D1656" s="3"/>
      <c r="E1656" s="3"/>
      <c r="F1656" s="26" t="s">
        <v>208</v>
      </c>
      <c r="G1656" s="3">
        <v>637</v>
      </c>
      <c r="H1656" s="3" t="s">
        <v>134</v>
      </c>
      <c r="I1656" s="19">
        <v>900</v>
      </c>
      <c r="J1656" s="19"/>
      <c r="K1656" s="19">
        <f t="shared" si="593"/>
        <v>900</v>
      </c>
      <c r="M1656" s="19"/>
      <c r="N1656" s="19"/>
      <c r="O1656" s="87">
        <f t="shared" si="594"/>
        <v>0</v>
      </c>
      <c r="Q1656" s="294">
        <f t="shared" si="591"/>
        <v>900</v>
      </c>
      <c r="R1656" s="19">
        <f t="shared" si="600"/>
        <v>0</v>
      </c>
      <c r="S1656" s="87">
        <f t="shared" si="600"/>
        <v>900</v>
      </c>
    </row>
    <row r="1657" spans="2:19" ht="15" x14ac:dyDescent="0.2">
      <c r="B1657" s="83">
        <f t="shared" si="590"/>
        <v>84</v>
      </c>
      <c r="C1657" s="268">
        <v>6</v>
      </c>
      <c r="D1657" s="360" t="s">
        <v>64</v>
      </c>
      <c r="E1657" s="361"/>
      <c r="F1657" s="361"/>
      <c r="G1657" s="361"/>
      <c r="H1657" s="362"/>
      <c r="I1657" s="36">
        <f>I1658</f>
        <v>501505</v>
      </c>
      <c r="J1657" s="36">
        <f t="shared" ref="J1657" si="601">J1658</f>
        <v>0</v>
      </c>
      <c r="K1657" s="36">
        <f t="shared" si="593"/>
        <v>501505</v>
      </c>
      <c r="M1657" s="36">
        <f>M1658</f>
        <v>28000</v>
      </c>
      <c r="N1657" s="36">
        <f t="shared" ref="N1657" si="602">N1658</f>
        <v>0</v>
      </c>
      <c r="O1657" s="84">
        <f t="shared" si="594"/>
        <v>28000</v>
      </c>
      <c r="Q1657" s="291">
        <f t="shared" si="591"/>
        <v>529505</v>
      </c>
      <c r="R1657" s="36">
        <f t="shared" si="600"/>
        <v>0</v>
      </c>
      <c r="S1657" s="84">
        <f t="shared" si="600"/>
        <v>529505</v>
      </c>
    </row>
    <row r="1658" spans="2:19" ht="15" x14ac:dyDescent="0.25">
      <c r="B1658" s="83">
        <f t="shared" si="590"/>
        <v>85</v>
      </c>
      <c r="C1658" s="10"/>
      <c r="D1658" s="10"/>
      <c r="E1658" s="10">
        <v>2</v>
      </c>
      <c r="F1658" s="28"/>
      <c r="G1658" s="10"/>
      <c r="H1658" s="10" t="s">
        <v>415</v>
      </c>
      <c r="I1658" s="38">
        <f>I1659+I1660+I1661+I1668+I1669</f>
        <v>501505</v>
      </c>
      <c r="J1658" s="38">
        <f t="shared" ref="J1658" si="603">J1659+J1660+J1661+J1668+J1669</f>
        <v>0</v>
      </c>
      <c r="K1658" s="38">
        <f t="shared" si="593"/>
        <v>501505</v>
      </c>
      <c r="M1658" s="38">
        <f>M1669</f>
        <v>28000</v>
      </c>
      <c r="N1658" s="38">
        <f t="shared" ref="N1658" si="604">N1669</f>
        <v>0</v>
      </c>
      <c r="O1658" s="94">
        <f t="shared" si="594"/>
        <v>28000</v>
      </c>
      <c r="Q1658" s="307">
        <f t="shared" si="591"/>
        <v>529505</v>
      </c>
      <c r="R1658" s="38">
        <f t="shared" si="600"/>
        <v>0</v>
      </c>
      <c r="S1658" s="94">
        <f t="shared" si="600"/>
        <v>529505</v>
      </c>
    </row>
    <row r="1659" spans="2:19" x14ac:dyDescent="0.2">
      <c r="B1659" s="83">
        <f t="shared" si="590"/>
        <v>86</v>
      </c>
      <c r="C1659" s="7"/>
      <c r="D1659" s="7"/>
      <c r="E1659" s="7"/>
      <c r="F1659" s="25" t="s">
        <v>208</v>
      </c>
      <c r="G1659" s="7">
        <v>610</v>
      </c>
      <c r="H1659" s="7" t="s">
        <v>143</v>
      </c>
      <c r="I1659" s="23">
        <f>85400+100000+52195+34300</f>
        <v>271895</v>
      </c>
      <c r="J1659" s="23"/>
      <c r="K1659" s="23">
        <f t="shared" si="593"/>
        <v>271895</v>
      </c>
      <c r="M1659" s="23"/>
      <c r="N1659" s="23"/>
      <c r="O1659" s="86">
        <f t="shared" si="594"/>
        <v>0</v>
      </c>
      <c r="Q1659" s="293">
        <f t="shared" si="591"/>
        <v>271895</v>
      </c>
      <c r="R1659" s="23">
        <f t="shared" si="600"/>
        <v>0</v>
      </c>
      <c r="S1659" s="86">
        <f t="shared" si="600"/>
        <v>271895</v>
      </c>
    </row>
    <row r="1660" spans="2:19" x14ac:dyDescent="0.2">
      <c r="B1660" s="83">
        <f t="shared" si="590"/>
        <v>87</v>
      </c>
      <c r="C1660" s="7"/>
      <c r="D1660" s="7"/>
      <c r="E1660" s="7"/>
      <c r="F1660" s="25" t="s">
        <v>208</v>
      </c>
      <c r="G1660" s="7">
        <v>620</v>
      </c>
      <c r="H1660" s="7" t="s">
        <v>136</v>
      </c>
      <c r="I1660" s="23">
        <f>45700+40000+20145+13000</f>
        <v>118845</v>
      </c>
      <c r="J1660" s="23"/>
      <c r="K1660" s="23">
        <f t="shared" si="593"/>
        <v>118845</v>
      </c>
      <c r="M1660" s="23"/>
      <c r="N1660" s="23"/>
      <c r="O1660" s="86">
        <f t="shared" si="594"/>
        <v>0</v>
      </c>
      <c r="Q1660" s="293">
        <f t="shared" si="591"/>
        <v>118845</v>
      </c>
      <c r="R1660" s="23">
        <f t="shared" si="600"/>
        <v>0</v>
      </c>
      <c r="S1660" s="86">
        <f t="shared" si="600"/>
        <v>118845</v>
      </c>
    </row>
    <row r="1661" spans="2:19" x14ac:dyDescent="0.2">
      <c r="B1661" s="83">
        <f t="shared" si="590"/>
        <v>88</v>
      </c>
      <c r="C1661" s="7"/>
      <c r="D1661" s="7"/>
      <c r="E1661" s="7"/>
      <c r="F1661" s="25" t="s">
        <v>208</v>
      </c>
      <c r="G1661" s="7">
        <v>630</v>
      </c>
      <c r="H1661" s="7" t="s">
        <v>133</v>
      </c>
      <c r="I1661" s="23">
        <f>SUM(I1662:I1667)</f>
        <v>107900</v>
      </c>
      <c r="J1661" s="23">
        <f t="shared" ref="J1661" si="605">SUM(J1662:J1667)</f>
        <v>0</v>
      </c>
      <c r="K1661" s="23">
        <f t="shared" si="593"/>
        <v>107900</v>
      </c>
      <c r="M1661" s="23"/>
      <c r="N1661" s="23"/>
      <c r="O1661" s="86">
        <f t="shared" si="594"/>
        <v>0</v>
      </c>
      <c r="Q1661" s="293">
        <f t="shared" si="591"/>
        <v>107900</v>
      </c>
      <c r="R1661" s="23">
        <f t="shared" si="600"/>
        <v>0</v>
      </c>
      <c r="S1661" s="86">
        <f t="shared" si="600"/>
        <v>107900</v>
      </c>
    </row>
    <row r="1662" spans="2:19" x14ac:dyDescent="0.2">
      <c r="B1662" s="83">
        <f t="shared" si="590"/>
        <v>89</v>
      </c>
      <c r="C1662" s="3"/>
      <c r="D1662" s="3"/>
      <c r="E1662" s="3"/>
      <c r="F1662" s="26" t="s">
        <v>208</v>
      </c>
      <c r="G1662" s="3">
        <v>631</v>
      </c>
      <c r="H1662" s="3" t="s">
        <v>139</v>
      </c>
      <c r="I1662" s="19">
        <v>100</v>
      </c>
      <c r="J1662" s="19"/>
      <c r="K1662" s="19">
        <f t="shared" si="593"/>
        <v>100</v>
      </c>
      <c r="M1662" s="19"/>
      <c r="N1662" s="19"/>
      <c r="O1662" s="87">
        <f t="shared" si="594"/>
        <v>0</v>
      </c>
      <c r="Q1662" s="294">
        <f t="shared" si="591"/>
        <v>100</v>
      </c>
      <c r="R1662" s="19">
        <f t="shared" si="600"/>
        <v>0</v>
      </c>
      <c r="S1662" s="87">
        <f t="shared" si="600"/>
        <v>100</v>
      </c>
    </row>
    <row r="1663" spans="2:19" x14ac:dyDescent="0.2">
      <c r="B1663" s="83">
        <f t="shared" si="590"/>
        <v>90</v>
      </c>
      <c r="C1663" s="3"/>
      <c r="D1663" s="3"/>
      <c r="E1663" s="3"/>
      <c r="F1663" s="26" t="s">
        <v>208</v>
      </c>
      <c r="G1663" s="3">
        <v>632</v>
      </c>
      <c r="H1663" s="3" t="s">
        <v>146</v>
      </c>
      <c r="I1663" s="19">
        <f>3700+2400</f>
        <v>6100</v>
      </c>
      <c r="J1663" s="19"/>
      <c r="K1663" s="19">
        <f t="shared" si="593"/>
        <v>6100</v>
      </c>
      <c r="M1663" s="19"/>
      <c r="N1663" s="19"/>
      <c r="O1663" s="87">
        <f t="shared" si="594"/>
        <v>0</v>
      </c>
      <c r="Q1663" s="294">
        <f t="shared" si="591"/>
        <v>6100</v>
      </c>
      <c r="R1663" s="19">
        <f t="shared" si="600"/>
        <v>0</v>
      </c>
      <c r="S1663" s="87">
        <f t="shared" si="600"/>
        <v>6100</v>
      </c>
    </row>
    <row r="1664" spans="2:19" x14ac:dyDescent="0.2">
      <c r="B1664" s="83">
        <f t="shared" si="590"/>
        <v>91</v>
      </c>
      <c r="C1664" s="3"/>
      <c r="D1664" s="3"/>
      <c r="E1664" s="3"/>
      <c r="F1664" s="26" t="s">
        <v>208</v>
      </c>
      <c r="G1664" s="3">
        <v>633</v>
      </c>
      <c r="H1664" s="3" t="s">
        <v>137</v>
      </c>
      <c r="I1664" s="19">
        <f>5250+1200</f>
        <v>6450</v>
      </c>
      <c r="J1664" s="19"/>
      <c r="K1664" s="19">
        <f t="shared" si="593"/>
        <v>6450</v>
      </c>
      <c r="M1664" s="19"/>
      <c r="N1664" s="19"/>
      <c r="O1664" s="87">
        <f t="shared" si="594"/>
        <v>0</v>
      </c>
      <c r="Q1664" s="294">
        <f t="shared" si="591"/>
        <v>6450</v>
      </c>
      <c r="R1664" s="19">
        <f t="shared" si="600"/>
        <v>0</v>
      </c>
      <c r="S1664" s="87">
        <f t="shared" si="600"/>
        <v>6450</v>
      </c>
    </row>
    <row r="1665" spans="2:19" x14ac:dyDescent="0.2">
      <c r="B1665" s="83">
        <f t="shared" si="590"/>
        <v>92</v>
      </c>
      <c r="C1665" s="3"/>
      <c r="D1665" s="3"/>
      <c r="E1665" s="3"/>
      <c r="F1665" s="26" t="s">
        <v>208</v>
      </c>
      <c r="G1665" s="3">
        <v>634</v>
      </c>
      <c r="H1665" s="3" t="s">
        <v>144</v>
      </c>
      <c r="I1665" s="19">
        <f>11850+4200</f>
        <v>16050</v>
      </c>
      <c r="J1665" s="19"/>
      <c r="K1665" s="19">
        <f t="shared" si="593"/>
        <v>16050</v>
      </c>
      <c r="M1665" s="19"/>
      <c r="N1665" s="19"/>
      <c r="O1665" s="87">
        <f t="shared" si="594"/>
        <v>0</v>
      </c>
      <c r="Q1665" s="294">
        <f t="shared" si="591"/>
        <v>16050</v>
      </c>
      <c r="R1665" s="19">
        <f t="shared" si="600"/>
        <v>0</v>
      </c>
      <c r="S1665" s="87">
        <f t="shared" si="600"/>
        <v>16050</v>
      </c>
    </row>
    <row r="1666" spans="2:19" x14ac:dyDescent="0.2">
      <c r="B1666" s="83">
        <f t="shared" si="590"/>
        <v>93</v>
      </c>
      <c r="C1666" s="3"/>
      <c r="D1666" s="3"/>
      <c r="E1666" s="3"/>
      <c r="F1666" s="26" t="s">
        <v>208</v>
      </c>
      <c r="G1666" s="3">
        <v>635</v>
      </c>
      <c r="H1666" s="3" t="s">
        <v>145</v>
      </c>
      <c r="I1666" s="19">
        <v>1400</v>
      </c>
      <c r="J1666" s="19"/>
      <c r="K1666" s="19">
        <f t="shared" si="593"/>
        <v>1400</v>
      </c>
      <c r="M1666" s="19"/>
      <c r="N1666" s="19"/>
      <c r="O1666" s="87">
        <f t="shared" si="594"/>
        <v>0</v>
      </c>
      <c r="Q1666" s="294">
        <f t="shared" si="591"/>
        <v>1400</v>
      </c>
      <c r="R1666" s="19">
        <f t="shared" si="600"/>
        <v>0</v>
      </c>
      <c r="S1666" s="87">
        <f t="shared" si="600"/>
        <v>1400</v>
      </c>
    </row>
    <row r="1667" spans="2:19" x14ac:dyDescent="0.2">
      <c r="B1667" s="83">
        <f t="shared" si="590"/>
        <v>94</v>
      </c>
      <c r="C1667" s="3"/>
      <c r="D1667" s="3"/>
      <c r="E1667" s="3"/>
      <c r="F1667" s="26" t="s">
        <v>208</v>
      </c>
      <c r="G1667" s="3">
        <v>637</v>
      </c>
      <c r="H1667" s="3" t="s">
        <v>134</v>
      </c>
      <c r="I1667" s="19">
        <f>71650+6150</f>
        <v>77800</v>
      </c>
      <c r="J1667" s="19"/>
      <c r="K1667" s="19">
        <f t="shared" si="593"/>
        <v>77800</v>
      </c>
      <c r="M1667" s="19"/>
      <c r="N1667" s="19"/>
      <c r="O1667" s="87">
        <f t="shared" si="594"/>
        <v>0</v>
      </c>
      <c r="Q1667" s="294">
        <f t="shared" si="591"/>
        <v>77800</v>
      </c>
      <c r="R1667" s="19">
        <f t="shared" si="600"/>
        <v>0</v>
      </c>
      <c r="S1667" s="87">
        <f t="shared" si="600"/>
        <v>77800</v>
      </c>
    </row>
    <row r="1668" spans="2:19" x14ac:dyDescent="0.2">
      <c r="B1668" s="83">
        <f t="shared" si="590"/>
        <v>95</v>
      </c>
      <c r="C1668" s="7"/>
      <c r="D1668" s="7"/>
      <c r="E1668" s="7"/>
      <c r="F1668" s="25" t="s">
        <v>208</v>
      </c>
      <c r="G1668" s="7">
        <v>640</v>
      </c>
      <c r="H1668" s="7" t="s">
        <v>141</v>
      </c>
      <c r="I1668" s="23">
        <f>600+2265</f>
        <v>2865</v>
      </c>
      <c r="J1668" s="23"/>
      <c r="K1668" s="23">
        <f t="shared" si="593"/>
        <v>2865</v>
      </c>
      <c r="M1668" s="23"/>
      <c r="N1668" s="23"/>
      <c r="O1668" s="86">
        <f t="shared" si="594"/>
        <v>0</v>
      </c>
      <c r="Q1668" s="293">
        <f t="shared" si="591"/>
        <v>2865</v>
      </c>
      <c r="R1668" s="23">
        <f t="shared" si="600"/>
        <v>0</v>
      </c>
      <c r="S1668" s="86">
        <f t="shared" si="600"/>
        <v>2865</v>
      </c>
    </row>
    <row r="1669" spans="2:19" x14ac:dyDescent="0.2">
      <c r="B1669" s="83">
        <f t="shared" si="590"/>
        <v>96</v>
      </c>
      <c r="C1669" s="7"/>
      <c r="D1669" s="7"/>
      <c r="E1669" s="7"/>
      <c r="F1669" s="25" t="s">
        <v>208</v>
      </c>
      <c r="G1669" s="7">
        <v>710</v>
      </c>
      <c r="H1669" s="7" t="s">
        <v>188</v>
      </c>
      <c r="I1669" s="23"/>
      <c r="J1669" s="23"/>
      <c r="K1669" s="23">
        <f t="shared" si="593"/>
        <v>0</v>
      </c>
      <c r="M1669" s="23">
        <f>M1670</f>
        <v>28000</v>
      </c>
      <c r="N1669" s="23">
        <f t="shared" ref="N1669:N1670" si="606">N1670</f>
        <v>0</v>
      </c>
      <c r="O1669" s="86">
        <f t="shared" si="594"/>
        <v>28000</v>
      </c>
      <c r="Q1669" s="293">
        <f t="shared" si="591"/>
        <v>28000</v>
      </c>
      <c r="R1669" s="23">
        <f t="shared" si="600"/>
        <v>0</v>
      </c>
      <c r="S1669" s="86">
        <f t="shared" si="600"/>
        <v>28000</v>
      </c>
    </row>
    <row r="1670" spans="2:19" x14ac:dyDescent="0.2">
      <c r="B1670" s="83">
        <f t="shared" si="590"/>
        <v>97</v>
      </c>
      <c r="C1670" s="3"/>
      <c r="D1670" s="3"/>
      <c r="E1670" s="3"/>
      <c r="F1670" s="26" t="s">
        <v>208</v>
      </c>
      <c r="G1670" s="3">
        <v>711</v>
      </c>
      <c r="H1670" s="3" t="s">
        <v>225</v>
      </c>
      <c r="I1670" s="19"/>
      <c r="J1670" s="19"/>
      <c r="K1670" s="19">
        <f t="shared" si="593"/>
        <v>0</v>
      </c>
      <c r="M1670" s="19">
        <f>M1671</f>
        <v>28000</v>
      </c>
      <c r="N1670" s="19">
        <f t="shared" si="606"/>
        <v>0</v>
      </c>
      <c r="O1670" s="87">
        <f t="shared" si="594"/>
        <v>28000</v>
      </c>
      <c r="Q1670" s="294">
        <f t="shared" si="591"/>
        <v>28000</v>
      </c>
      <c r="R1670" s="19">
        <f t="shared" ref="R1670:S1671" si="607">J1670+N1670</f>
        <v>0</v>
      </c>
      <c r="S1670" s="87">
        <f t="shared" si="607"/>
        <v>28000</v>
      </c>
    </row>
    <row r="1671" spans="2:19" ht="13.5" thickBot="1" x14ac:dyDescent="0.25">
      <c r="B1671" s="89">
        <f t="shared" si="590"/>
        <v>98</v>
      </c>
      <c r="C1671" s="95"/>
      <c r="D1671" s="95"/>
      <c r="E1671" s="95"/>
      <c r="F1671" s="101"/>
      <c r="G1671" s="95"/>
      <c r="H1671" s="95" t="s">
        <v>384</v>
      </c>
      <c r="I1671" s="98"/>
      <c r="J1671" s="98"/>
      <c r="K1671" s="98">
        <f t="shared" si="593"/>
        <v>0</v>
      </c>
      <c r="L1671" s="270"/>
      <c r="M1671" s="98">
        <v>28000</v>
      </c>
      <c r="N1671" s="98"/>
      <c r="O1671" s="99">
        <f t="shared" si="594"/>
        <v>28000</v>
      </c>
      <c r="Q1671" s="296">
        <f t="shared" si="591"/>
        <v>28000</v>
      </c>
      <c r="R1671" s="98">
        <f t="shared" si="607"/>
        <v>0</v>
      </c>
      <c r="S1671" s="99">
        <f t="shared" si="607"/>
        <v>28000</v>
      </c>
    </row>
    <row r="1675" spans="2:19" ht="27.75" thickBot="1" x14ac:dyDescent="0.4">
      <c r="B1675" s="352" t="s">
        <v>31</v>
      </c>
      <c r="C1675" s="353"/>
      <c r="D1675" s="353"/>
      <c r="E1675" s="353"/>
      <c r="F1675" s="353"/>
      <c r="G1675" s="353"/>
      <c r="H1675" s="353"/>
      <c r="I1675" s="353"/>
      <c r="J1675" s="353"/>
      <c r="K1675" s="353"/>
      <c r="L1675" s="353"/>
      <c r="M1675" s="353"/>
      <c r="N1675" s="353"/>
      <c r="O1675" s="353"/>
      <c r="P1675" s="353"/>
      <c r="Q1675" s="353"/>
    </row>
    <row r="1676" spans="2:19" ht="13.5" customHeight="1" thickBot="1" x14ac:dyDescent="0.25">
      <c r="B1676" s="378" t="s">
        <v>364</v>
      </c>
      <c r="C1676" s="379"/>
      <c r="D1676" s="379"/>
      <c r="E1676" s="379"/>
      <c r="F1676" s="379"/>
      <c r="G1676" s="379"/>
      <c r="H1676" s="379"/>
      <c r="I1676" s="379"/>
      <c r="J1676" s="379"/>
      <c r="K1676" s="379"/>
      <c r="L1676" s="379"/>
      <c r="M1676" s="379"/>
      <c r="N1676" s="379"/>
      <c r="O1676" s="380"/>
      <c r="P1676" s="271"/>
      <c r="Q1676" s="354" t="s">
        <v>571</v>
      </c>
      <c r="R1676" s="392" t="s">
        <v>565</v>
      </c>
      <c r="S1676" s="395" t="s">
        <v>569</v>
      </c>
    </row>
    <row r="1677" spans="2:19" ht="13.5" customHeight="1" thickBot="1" x14ac:dyDescent="0.25">
      <c r="B1677" s="366"/>
      <c r="C1677" s="357" t="s">
        <v>126</v>
      </c>
      <c r="D1677" s="357" t="s">
        <v>127</v>
      </c>
      <c r="E1677" s="357"/>
      <c r="F1677" s="357" t="s">
        <v>128</v>
      </c>
      <c r="G1677" s="371" t="s">
        <v>129</v>
      </c>
      <c r="H1677" s="374" t="s">
        <v>130</v>
      </c>
      <c r="I1677" s="363" t="s">
        <v>566</v>
      </c>
      <c r="J1677" s="377" t="s">
        <v>565</v>
      </c>
      <c r="K1677" s="376" t="s">
        <v>567</v>
      </c>
      <c r="M1677" s="363" t="s">
        <v>568</v>
      </c>
      <c r="N1677" s="377" t="s">
        <v>565</v>
      </c>
      <c r="O1677" s="376" t="s">
        <v>570</v>
      </c>
      <c r="Q1677" s="355"/>
      <c r="R1677" s="393"/>
      <c r="S1677" s="396"/>
    </row>
    <row r="1678" spans="2:19" ht="13.5" thickBot="1" x14ac:dyDescent="0.25">
      <c r="B1678" s="367"/>
      <c r="C1678" s="358"/>
      <c r="D1678" s="358"/>
      <c r="E1678" s="358"/>
      <c r="F1678" s="358"/>
      <c r="G1678" s="372"/>
      <c r="H1678" s="375"/>
      <c r="I1678" s="363"/>
      <c r="J1678" s="377"/>
      <c r="K1678" s="376"/>
      <c r="M1678" s="363"/>
      <c r="N1678" s="377"/>
      <c r="O1678" s="376"/>
      <c r="Q1678" s="355"/>
      <c r="R1678" s="393"/>
      <c r="S1678" s="396"/>
    </row>
    <row r="1679" spans="2:19" ht="13.5" thickBot="1" x14ac:dyDescent="0.25">
      <c r="B1679" s="367"/>
      <c r="C1679" s="358"/>
      <c r="D1679" s="358"/>
      <c r="E1679" s="358"/>
      <c r="F1679" s="358"/>
      <c r="G1679" s="372"/>
      <c r="H1679" s="375"/>
      <c r="I1679" s="363"/>
      <c r="J1679" s="377"/>
      <c r="K1679" s="376"/>
      <c r="M1679" s="363"/>
      <c r="N1679" s="377"/>
      <c r="O1679" s="376"/>
      <c r="Q1679" s="355"/>
      <c r="R1679" s="393"/>
      <c r="S1679" s="396"/>
    </row>
    <row r="1680" spans="2:19" ht="13.5" thickBot="1" x14ac:dyDescent="0.25">
      <c r="B1680" s="367"/>
      <c r="C1680" s="359"/>
      <c r="D1680" s="359"/>
      <c r="E1680" s="359"/>
      <c r="F1680" s="359"/>
      <c r="G1680" s="373"/>
      <c r="H1680" s="375"/>
      <c r="I1680" s="363"/>
      <c r="J1680" s="377"/>
      <c r="K1680" s="376"/>
      <c r="M1680" s="363"/>
      <c r="N1680" s="377"/>
      <c r="O1680" s="376"/>
      <c r="Q1680" s="356"/>
      <c r="R1680" s="394"/>
      <c r="S1680" s="397"/>
    </row>
    <row r="1681" spans="2:19" ht="16.5" thickTop="1" x14ac:dyDescent="0.2">
      <c r="B1681" s="83">
        <f t="shared" ref="B1681:B1745" si="608">B1680+1</f>
        <v>1</v>
      </c>
      <c r="C1681" s="385" t="s">
        <v>31</v>
      </c>
      <c r="D1681" s="390"/>
      <c r="E1681" s="390"/>
      <c r="F1681" s="390"/>
      <c r="G1681" s="390"/>
      <c r="H1681" s="391"/>
      <c r="I1681" s="35">
        <f>I1812+I1803+I1798+I1795+I1785+I1765+I1733+I1713+I1696+I1692+I1682</f>
        <v>3301320</v>
      </c>
      <c r="J1681" s="35">
        <f>J1812+J1803+J1798+J1795+J1785+J1765+J1733+J1713+J1696+J1692+J1682</f>
        <v>2700</v>
      </c>
      <c r="K1681" s="35">
        <f>I1681+J1681</f>
        <v>3304020</v>
      </c>
      <c r="M1681" s="35">
        <f>M1682+M1692+M1696+M1713+M1733+M1765+M1785+M1795+M1798+M1803+M1812</f>
        <v>7000</v>
      </c>
      <c r="N1681" s="35">
        <f>N1682+N1692+N1696+N1713+N1733+N1765+N1785+N1795+N1798+N1803+N1812</f>
        <v>0</v>
      </c>
      <c r="O1681" s="93">
        <f>M1681+N1681</f>
        <v>7000</v>
      </c>
      <c r="Q1681" s="306">
        <f t="shared" ref="Q1681:Q1713" si="609">I1681+M1681</f>
        <v>3308320</v>
      </c>
      <c r="R1681" s="35">
        <f t="shared" ref="R1681:S1696" si="610">J1681+N1681</f>
        <v>2700</v>
      </c>
      <c r="S1681" s="93">
        <f t="shared" si="610"/>
        <v>3311020</v>
      </c>
    </row>
    <row r="1682" spans="2:19" ht="15" x14ac:dyDescent="0.2">
      <c r="B1682" s="83">
        <f t="shared" si="608"/>
        <v>2</v>
      </c>
      <c r="C1682" s="268">
        <v>1</v>
      </c>
      <c r="D1682" s="360" t="s">
        <v>78</v>
      </c>
      <c r="E1682" s="361"/>
      <c r="F1682" s="361"/>
      <c r="G1682" s="361"/>
      <c r="H1682" s="362"/>
      <c r="I1682" s="36">
        <f>I1683</f>
        <v>245135</v>
      </c>
      <c r="J1682" s="36">
        <f t="shared" ref="J1682" si="611">J1683</f>
        <v>0</v>
      </c>
      <c r="K1682" s="36">
        <f t="shared" ref="K1682:K1746" si="612">I1682+J1682</f>
        <v>245135</v>
      </c>
      <c r="M1682" s="36">
        <v>0</v>
      </c>
      <c r="N1682" s="36">
        <v>0</v>
      </c>
      <c r="O1682" s="84">
        <f t="shared" ref="O1682:O1746" si="613">M1682+N1682</f>
        <v>0</v>
      </c>
      <c r="Q1682" s="291">
        <f t="shared" si="609"/>
        <v>245135</v>
      </c>
      <c r="R1682" s="36">
        <f t="shared" si="610"/>
        <v>0</v>
      </c>
      <c r="S1682" s="84">
        <f t="shared" si="610"/>
        <v>245135</v>
      </c>
    </row>
    <row r="1683" spans="2:19" ht="15" x14ac:dyDescent="0.25">
      <c r="B1683" s="83">
        <f>B1682+1</f>
        <v>3</v>
      </c>
      <c r="C1683" s="10"/>
      <c r="D1683" s="10"/>
      <c r="E1683" s="10">
        <v>5</v>
      </c>
      <c r="F1683" s="28"/>
      <c r="G1683" s="10"/>
      <c r="H1683" s="10" t="s">
        <v>116</v>
      </c>
      <c r="I1683" s="38">
        <f>I1684+I1685+I1686+I1691</f>
        <v>245135</v>
      </c>
      <c r="J1683" s="38">
        <f t="shared" ref="J1683" si="614">J1684+J1685+J1686+J1691</f>
        <v>0</v>
      </c>
      <c r="K1683" s="38">
        <f t="shared" si="612"/>
        <v>245135</v>
      </c>
      <c r="M1683" s="38">
        <v>0</v>
      </c>
      <c r="N1683" s="38">
        <v>0</v>
      </c>
      <c r="O1683" s="94">
        <f t="shared" si="613"/>
        <v>0</v>
      </c>
      <c r="Q1683" s="307">
        <f t="shared" si="609"/>
        <v>245135</v>
      </c>
      <c r="R1683" s="38">
        <f t="shared" si="610"/>
        <v>0</v>
      </c>
      <c r="S1683" s="94">
        <f t="shared" si="610"/>
        <v>245135</v>
      </c>
    </row>
    <row r="1684" spans="2:19" x14ac:dyDescent="0.2">
      <c r="B1684" s="83">
        <f t="shared" si="608"/>
        <v>4</v>
      </c>
      <c r="C1684" s="7"/>
      <c r="D1684" s="7"/>
      <c r="E1684" s="7"/>
      <c r="F1684" s="25" t="s">
        <v>83</v>
      </c>
      <c r="G1684" s="7">
        <v>610</v>
      </c>
      <c r="H1684" s="7" t="s">
        <v>143</v>
      </c>
      <c r="I1684" s="23">
        <v>138446</v>
      </c>
      <c r="J1684" s="23"/>
      <c r="K1684" s="23">
        <f t="shared" si="612"/>
        <v>138446</v>
      </c>
      <c r="M1684" s="23"/>
      <c r="N1684" s="23"/>
      <c r="O1684" s="86">
        <f t="shared" si="613"/>
        <v>0</v>
      </c>
      <c r="Q1684" s="293">
        <f t="shared" si="609"/>
        <v>138446</v>
      </c>
      <c r="R1684" s="23">
        <f t="shared" si="610"/>
        <v>0</v>
      </c>
      <c r="S1684" s="86">
        <f t="shared" si="610"/>
        <v>138446</v>
      </c>
    </row>
    <row r="1685" spans="2:19" x14ac:dyDescent="0.2">
      <c r="B1685" s="83">
        <f t="shared" si="608"/>
        <v>5</v>
      </c>
      <c r="C1685" s="7"/>
      <c r="D1685" s="7"/>
      <c r="E1685" s="7"/>
      <c r="F1685" s="25" t="s">
        <v>83</v>
      </c>
      <c r="G1685" s="7">
        <v>620</v>
      </c>
      <c r="H1685" s="7" t="s">
        <v>136</v>
      </c>
      <c r="I1685" s="23">
        <v>49972</v>
      </c>
      <c r="J1685" s="23"/>
      <c r="K1685" s="23">
        <f t="shared" si="612"/>
        <v>49972</v>
      </c>
      <c r="M1685" s="23"/>
      <c r="N1685" s="23"/>
      <c r="O1685" s="86">
        <f t="shared" si="613"/>
        <v>0</v>
      </c>
      <c r="Q1685" s="293">
        <f t="shared" si="609"/>
        <v>49972</v>
      </c>
      <c r="R1685" s="23">
        <f t="shared" si="610"/>
        <v>0</v>
      </c>
      <c r="S1685" s="86">
        <f t="shared" si="610"/>
        <v>49972</v>
      </c>
    </row>
    <row r="1686" spans="2:19" x14ac:dyDescent="0.2">
      <c r="B1686" s="83">
        <f t="shared" si="608"/>
        <v>6</v>
      </c>
      <c r="C1686" s="7"/>
      <c r="D1686" s="7"/>
      <c r="E1686" s="7"/>
      <c r="F1686" s="25" t="s">
        <v>83</v>
      </c>
      <c r="G1686" s="7">
        <v>630</v>
      </c>
      <c r="H1686" s="7" t="s">
        <v>133</v>
      </c>
      <c r="I1686" s="23">
        <f>I1690+I1689+I1688+I1687</f>
        <v>54900</v>
      </c>
      <c r="J1686" s="23">
        <f t="shared" ref="J1686" si="615">J1690+J1689+J1688+J1687</f>
        <v>0</v>
      </c>
      <c r="K1686" s="23">
        <f t="shared" si="612"/>
        <v>54900</v>
      </c>
      <c r="M1686" s="23"/>
      <c r="N1686" s="23"/>
      <c r="O1686" s="86">
        <f t="shared" si="613"/>
        <v>0</v>
      </c>
      <c r="Q1686" s="293">
        <f t="shared" si="609"/>
        <v>54900</v>
      </c>
      <c r="R1686" s="23">
        <f t="shared" si="610"/>
        <v>0</v>
      </c>
      <c r="S1686" s="86">
        <f t="shared" si="610"/>
        <v>54900</v>
      </c>
    </row>
    <row r="1687" spans="2:19" x14ac:dyDescent="0.2">
      <c r="B1687" s="83">
        <f t="shared" si="608"/>
        <v>7</v>
      </c>
      <c r="C1687" s="3"/>
      <c r="D1687" s="3"/>
      <c r="E1687" s="3"/>
      <c r="F1687" s="26" t="s">
        <v>83</v>
      </c>
      <c r="G1687" s="3">
        <v>632</v>
      </c>
      <c r="H1687" s="3" t="s">
        <v>146</v>
      </c>
      <c r="I1687" s="19">
        <v>15650</v>
      </c>
      <c r="J1687" s="19"/>
      <c r="K1687" s="19">
        <f t="shared" si="612"/>
        <v>15650</v>
      </c>
      <c r="M1687" s="19"/>
      <c r="N1687" s="19"/>
      <c r="O1687" s="87">
        <f t="shared" si="613"/>
        <v>0</v>
      </c>
      <c r="Q1687" s="294">
        <f t="shared" si="609"/>
        <v>15650</v>
      </c>
      <c r="R1687" s="19">
        <f t="shared" si="610"/>
        <v>0</v>
      </c>
      <c r="S1687" s="87">
        <f t="shared" si="610"/>
        <v>15650</v>
      </c>
    </row>
    <row r="1688" spans="2:19" x14ac:dyDescent="0.2">
      <c r="B1688" s="83">
        <f t="shared" si="608"/>
        <v>8</v>
      </c>
      <c r="C1688" s="3"/>
      <c r="D1688" s="3"/>
      <c r="E1688" s="3"/>
      <c r="F1688" s="26" t="s">
        <v>83</v>
      </c>
      <c r="G1688" s="3">
        <v>633</v>
      </c>
      <c r="H1688" s="3" t="s">
        <v>137</v>
      </c>
      <c r="I1688" s="19">
        <v>27650</v>
      </c>
      <c r="J1688" s="19"/>
      <c r="K1688" s="19">
        <f t="shared" si="612"/>
        <v>27650</v>
      </c>
      <c r="M1688" s="19"/>
      <c r="N1688" s="19"/>
      <c r="O1688" s="87">
        <f t="shared" si="613"/>
        <v>0</v>
      </c>
      <c r="Q1688" s="294">
        <f t="shared" si="609"/>
        <v>27650</v>
      </c>
      <c r="R1688" s="19">
        <f t="shared" si="610"/>
        <v>0</v>
      </c>
      <c r="S1688" s="87">
        <f t="shared" si="610"/>
        <v>27650</v>
      </c>
    </row>
    <row r="1689" spans="2:19" x14ac:dyDescent="0.2">
      <c r="B1689" s="83">
        <f t="shared" si="608"/>
        <v>9</v>
      </c>
      <c r="C1689" s="3"/>
      <c r="D1689" s="3"/>
      <c r="E1689" s="3"/>
      <c r="F1689" s="26" t="s">
        <v>83</v>
      </c>
      <c r="G1689" s="3">
        <v>635</v>
      </c>
      <c r="H1689" s="3" t="s">
        <v>145</v>
      </c>
      <c r="I1689" s="19">
        <v>6310</v>
      </c>
      <c r="J1689" s="19"/>
      <c r="K1689" s="19">
        <f t="shared" si="612"/>
        <v>6310</v>
      </c>
      <c r="M1689" s="19"/>
      <c r="N1689" s="19"/>
      <c r="O1689" s="87">
        <f t="shared" si="613"/>
        <v>0</v>
      </c>
      <c r="Q1689" s="294">
        <f t="shared" si="609"/>
        <v>6310</v>
      </c>
      <c r="R1689" s="19">
        <f t="shared" si="610"/>
        <v>0</v>
      </c>
      <c r="S1689" s="87">
        <f t="shared" si="610"/>
        <v>6310</v>
      </c>
    </row>
    <row r="1690" spans="2:19" x14ac:dyDescent="0.2">
      <c r="B1690" s="83">
        <f t="shared" si="608"/>
        <v>10</v>
      </c>
      <c r="C1690" s="3"/>
      <c r="D1690" s="3"/>
      <c r="E1690" s="3"/>
      <c r="F1690" s="26" t="s">
        <v>83</v>
      </c>
      <c r="G1690" s="3">
        <v>637</v>
      </c>
      <c r="H1690" s="3" t="s">
        <v>134</v>
      </c>
      <c r="I1690" s="19">
        <v>5290</v>
      </c>
      <c r="J1690" s="19"/>
      <c r="K1690" s="19">
        <f t="shared" si="612"/>
        <v>5290</v>
      </c>
      <c r="M1690" s="19"/>
      <c r="N1690" s="19"/>
      <c r="O1690" s="87">
        <f t="shared" si="613"/>
        <v>0</v>
      </c>
      <c r="Q1690" s="294">
        <f t="shared" si="609"/>
        <v>5290</v>
      </c>
      <c r="R1690" s="19">
        <f t="shared" si="610"/>
        <v>0</v>
      </c>
      <c r="S1690" s="87">
        <f t="shared" si="610"/>
        <v>5290</v>
      </c>
    </row>
    <row r="1691" spans="2:19" x14ac:dyDescent="0.2">
      <c r="B1691" s="83">
        <f t="shared" si="608"/>
        <v>11</v>
      </c>
      <c r="C1691" s="7"/>
      <c r="D1691" s="7"/>
      <c r="E1691" s="7"/>
      <c r="F1691" s="25" t="s">
        <v>83</v>
      </c>
      <c r="G1691" s="7">
        <v>640</v>
      </c>
      <c r="H1691" s="7" t="s">
        <v>141</v>
      </c>
      <c r="I1691" s="23">
        <v>1817</v>
      </c>
      <c r="J1691" s="23"/>
      <c r="K1691" s="23">
        <f t="shared" si="612"/>
        <v>1817</v>
      </c>
      <c r="M1691" s="23"/>
      <c r="N1691" s="23"/>
      <c r="O1691" s="86">
        <f t="shared" si="613"/>
        <v>0</v>
      </c>
      <c r="Q1691" s="293">
        <f t="shared" si="609"/>
        <v>1817</v>
      </c>
      <c r="R1691" s="23">
        <f t="shared" si="610"/>
        <v>0</v>
      </c>
      <c r="S1691" s="86">
        <f t="shared" si="610"/>
        <v>1817</v>
      </c>
    </row>
    <row r="1692" spans="2:19" ht="15" x14ac:dyDescent="0.2">
      <c r="B1692" s="83">
        <f t="shared" si="608"/>
        <v>12</v>
      </c>
      <c r="C1692" s="268">
        <v>2</v>
      </c>
      <c r="D1692" s="360" t="s">
        <v>59</v>
      </c>
      <c r="E1692" s="361"/>
      <c r="F1692" s="361"/>
      <c r="G1692" s="361"/>
      <c r="H1692" s="362"/>
      <c r="I1692" s="36">
        <f>I1693</f>
        <v>2000</v>
      </c>
      <c r="J1692" s="36">
        <f t="shared" ref="J1692:J1694" si="616">J1693</f>
        <v>0</v>
      </c>
      <c r="K1692" s="36">
        <f t="shared" si="612"/>
        <v>2000</v>
      </c>
      <c r="M1692" s="36">
        <v>0</v>
      </c>
      <c r="N1692" s="36">
        <v>0</v>
      </c>
      <c r="O1692" s="84">
        <f t="shared" si="613"/>
        <v>0</v>
      </c>
      <c r="Q1692" s="291">
        <f t="shared" si="609"/>
        <v>2000</v>
      </c>
      <c r="R1692" s="36">
        <f t="shared" si="610"/>
        <v>0</v>
      </c>
      <c r="S1692" s="84">
        <f t="shared" si="610"/>
        <v>2000</v>
      </c>
    </row>
    <row r="1693" spans="2:19" x14ac:dyDescent="0.2">
      <c r="B1693" s="83">
        <f t="shared" si="608"/>
        <v>13</v>
      </c>
      <c r="C1693" s="7"/>
      <c r="D1693" s="7"/>
      <c r="E1693" s="7"/>
      <c r="F1693" s="25" t="s">
        <v>58</v>
      </c>
      <c r="G1693" s="7">
        <v>640</v>
      </c>
      <c r="H1693" s="7" t="s">
        <v>141</v>
      </c>
      <c r="I1693" s="23">
        <f>I1694</f>
        <v>2000</v>
      </c>
      <c r="J1693" s="23">
        <f t="shared" si="616"/>
        <v>0</v>
      </c>
      <c r="K1693" s="23">
        <f t="shared" si="612"/>
        <v>2000</v>
      </c>
      <c r="M1693" s="23"/>
      <c r="N1693" s="23"/>
      <c r="O1693" s="86">
        <f t="shared" si="613"/>
        <v>0</v>
      </c>
      <c r="Q1693" s="293">
        <f t="shared" si="609"/>
        <v>2000</v>
      </c>
      <c r="R1693" s="23">
        <f t="shared" si="610"/>
        <v>0</v>
      </c>
      <c r="S1693" s="86">
        <f t="shared" si="610"/>
        <v>2000</v>
      </c>
    </row>
    <row r="1694" spans="2:19" x14ac:dyDescent="0.2">
      <c r="B1694" s="83">
        <f t="shared" si="608"/>
        <v>14</v>
      </c>
      <c r="C1694" s="3"/>
      <c r="D1694" s="3"/>
      <c r="E1694" s="3"/>
      <c r="F1694" s="26" t="s">
        <v>58</v>
      </c>
      <c r="G1694" s="3">
        <v>642</v>
      </c>
      <c r="H1694" s="3" t="s">
        <v>142</v>
      </c>
      <c r="I1694" s="19">
        <f>I1695</f>
        <v>2000</v>
      </c>
      <c r="J1694" s="19">
        <f t="shared" si="616"/>
        <v>0</v>
      </c>
      <c r="K1694" s="19">
        <f t="shared" si="612"/>
        <v>2000</v>
      </c>
      <c r="M1694" s="19"/>
      <c r="N1694" s="19"/>
      <c r="O1694" s="87">
        <f t="shared" si="613"/>
        <v>0</v>
      </c>
      <c r="Q1694" s="294">
        <f t="shared" si="609"/>
        <v>2000</v>
      </c>
      <c r="R1694" s="19">
        <f t="shared" si="610"/>
        <v>0</v>
      </c>
      <c r="S1694" s="87">
        <f t="shared" si="610"/>
        <v>2000</v>
      </c>
    </row>
    <row r="1695" spans="2:19" x14ac:dyDescent="0.2">
      <c r="B1695" s="83">
        <f t="shared" si="608"/>
        <v>15</v>
      </c>
      <c r="C1695" s="4"/>
      <c r="D1695" s="4"/>
      <c r="E1695" s="4"/>
      <c r="F1695" s="27"/>
      <c r="G1695" s="4"/>
      <c r="H1695" s="4" t="s">
        <v>385</v>
      </c>
      <c r="I1695" s="21">
        <v>2000</v>
      </c>
      <c r="J1695" s="21"/>
      <c r="K1695" s="21">
        <f t="shared" si="612"/>
        <v>2000</v>
      </c>
      <c r="M1695" s="21"/>
      <c r="N1695" s="21"/>
      <c r="O1695" s="88">
        <f t="shared" si="613"/>
        <v>0</v>
      </c>
      <c r="Q1695" s="308">
        <f t="shared" si="609"/>
        <v>2000</v>
      </c>
      <c r="R1695" s="21">
        <f t="shared" si="610"/>
        <v>0</v>
      </c>
      <c r="S1695" s="88">
        <f t="shared" si="610"/>
        <v>2000</v>
      </c>
    </row>
    <row r="1696" spans="2:19" ht="15" x14ac:dyDescent="0.2">
      <c r="B1696" s="83">
        <f t="shared" si="608"/>
        <v>16</v>
      </c>
      <c r="C1696" s="268">
        <v>3</v>
      </c>
      <c r="D1696" s="360" t="s">
        <v>69</v>
      </c>
      <c r="E1696" s="361"/>
      <c r="F1696" s="361"/>
      <c r="G1696" s="361"/>
      <c r="H1696" s="362"/>
      <c r="I1696" s="36">
        <f>I1697</f>
        <v>53344</v>
      </c>
      <c r="J1696" s="36">
        <f t="shared" ref="J1696:J1697" si="617">J1697</f>
        <v>180</v>
      </c>
      <c r="K1696" s="36">
        <f t="shared" si="612"/>
        <v>53524</v>
      </c>
      <c r="M1696" s="36">
        <v>0</v>
      </c>
      <c r="N1696" s="36">
        <v>0</v>
      </c>
      <c r="O1696" s="84">
        <f t="shared" si="613"/>
        <v>0</v>
      </c>
      <c r="Q1696" s="291">
        <f t="shared" si="609"/>
        <v>53344</v>
      </c>
      <c r="R1696" s="36">
        <f t="shared" si="610"/>
        <v>180</v>
      </c>
      <c r="S1696" s="84">
        <f t="shared" si="610"/>
        <v>53524</v>
      </c>
    </row>
    <row r="1697" spans="2:43" x14ac:dyDescent="0.2">
      <c r="B1697" s="83">
        <f t="shared" si="608"/>
        <v>17</v>
      </c>
      <c r="C1697" s="7"/>
      <c r="D1697" s="7"/>
      <c r="E1697" s="7"/>
      <c r="F1697" s="25" t="s">
        <v>68</v>
      </c>
      <c r="G1697" s="7">
        <v>640</v>
      </c>
      <c r="H1697" s="7" t="s">
        <v>141</v>
      </c>
      <c r="I1697" s="23">
        <f>I1698</f>
        <v>53344</v>
      </c>
      <c r="J1697" s="23">
        <f t="shared" si="617"/>
        <v>180</v>
      </c>
      <c r="K1697" s="23">
        <f t="shared" si="612"/>
        <v>53524</v>
      </c>
      <c r="M1697" s="23"/>
      <c r="N1697" s="23"/>
      <c r="O1697" s="86">
        <f t="shared" si="613"/>
        <v>0</v>
      </c>
      <c r="Q1697" s="293">
        <f t="shared" si="609"/>
        <v>53344</v>
      </c>
      <c r="R1697" s="23">
        <f t="shared" ref="R1697:S1713" si="618">J1697+N1697</f>
        <v>180</v>
      </c>
      <c r="S1697" s="86">
        <f t="shared" si="618"/>
        <v>53524</v>
      </c>
    </row>
    <row r="1698" spans="2:43" x14ac:dyDescent="0.2">
      <c r="B1698" s="83">
        <f t="shared" si="608"/>
        <v>18</v>
      </c>
      <c r="C1698" s="3"/>
      <c r="D1698" s="3"/>
      <c r="E1698" s="3"/>
      <c r="F1698" s="26" t="s">
        <v>68</v>
      </c>
      <c r="G1698" s="3">
        <v>642</v>
      </c>
      <c r="H1698" s="3" t="s">
        <v>142</v>
      </c>
      <c r="I1698" s="19">
        <f>SUM(I1699:I1704)</f>
        <v>53344</v>
      </c>
      <c r="J1698" s="19">
        <f t="shared" ref="J1698" si="619">SUM(J1699:J1704)</f>
        <v>180</v>
      </c>
      <c r="K1698" s="19">
        <f t="shared" si="612"/>
        <v>53524</v>
      </c>
      <c r="M1698" s="19"/>
      <c r="N1698" s="19"/>
      <c r="O1698" s="87">
        <f t="shared" si="613"/>
        <v>0</v>
      </c>
      <c r="Q1698" s="294">
        <f t="shared" si="609"/>
        <v>53344</v>
      </c>
      <c r="R1698" s="19">
        <f t="shared" si="618"/>
        <v>180</v>
      </c>
      <c r="S1698" s="87">
        <f t="shared" si="618"/>
        <v>53524</v>
      </c>
    </row>
    <row r="1699" spans="2:43" x14ac:dyDescent="0.2">
      <c r="B1699" s="83">
        <f t="shared" si="608"/>
        <v>19</v>
      </c>
      <c r="C1699" s="4"/>
      <c r="D1699" s="12"/>
      <c r="E1699" s="4"/>
      <c r="F1699" s="27"/>
      <c r="G1699" s="4"/>
      <c r="H1699" s="13" t="s">
        <v>297</v>
      </c>
      <c r="I1699" s="21">
        <f>15000+510</f>
        <v>15510</v>
      </c>
      <c r="J1699" s="21"/>
      <c r="K1699" s="21">
        <f t="shared" si="612"/>
        <v>15510</v>
      </c>
      <c r="M1699" s="21"/>
      <c r="N1699" s="21"/>
      <c r="O1699" s="88">
        <f t="shared" si="613"/>
        <v>0</v>
      </c>
      <c r="Q1699" s="308">
        <f t="shared" si="609"/>
        <v>15510</v>
      </c>
      <c r="R1699" s="21">
        <f t="shared" si="618"/>
        <v>0</v>
      </c>
      <c r="S1699" s="88">
        <f t="shared" si="618"/>
        <v>15510</v>
      </c>
    </row>
    <row r="1700" spans="2:43" ht="22.5" x14ac:dyDescent="0.2">
      <c r="B1700" s="83">
        <f t="shared" si="608"/>
        <v>20</v>
      </c>
      <c r="C1700" s="155"/>
      <c r="D1700" s="159"/>
      <c r="E1700" s="155"/>
      <c r="F1700" s="156"/>
      <c r="G1700" s="155"/>
      <c r="H1700" s="160" t="s">
        <v>496</v>
      </c>
      <c r="I1700" s="157">
        <v>792</v>
      </c>
      <c r="J1700" s="157"/>
      <c r="K1700" s="157">
        <f t="shared" si="612"/>
        <v>792</v>
      </c>
      <c r="M1700" s="157"/>
      <c r="N1700" s="157"/>
      <c r="O1700" s="158">
        <f t="shared" si="613"/>
        <v>0</v>
      </c>
      <c r="Q1700" s="309">
        <f t="shared" si="609"/>
        <v>792</v>
      </c>
      <c r="R1700" s="157">
        <f t="shared" si="618"/>
        <v>0</v>
      </c>
      <c r="S1700" s="158">
        <f t="shared" si="618"/>
        <v>792</v>
      </c>
    </row>
    <row r="1701" spans="2:43" x14ac:dyDescent="0.2">
      <c r="B1701" s="83">
        <f t="shared" si="608"/>
        <v>21</v>
      </c>
      <c r="C1701" s="4"/>
      <c r="D1701" s="12"/>
      <c r="E1701" s="4"/>
      <c r="F1701" s="27"/>
      <c r="G1701" s="4"/>
      <c r="H1701" s="13" t="s">
        <v>495</v>
      </c>
      <c r="I1701" s="21">
        <v>2367</v>
      </c>
      <c r="J1701" s="21"/>
      <c r="K1701" s="21">
        <f t="shared" si="612"/>
        <v>2367</v>
      </c>
      <c r="M1701" s="21"/>
      <c r="N1701" s="21"/>
      <c r="O1701" s="88">
        <f t="shared" si="613"/>
        <v>0</v>
      </c>
      <c r="Q1701" s="308">
        <f t="shared" si="609"/>
        <v>2367</v>
      </c>
      <c r="R1701" s="21">
        <f t="shared" si="618"/>
        <v>0</v>
      </c>
      <c r="S1701" s="88">
        <f t="shared" si="618"/>
        <v>2367</v>
      </c>
    </row>
    <row r="1702" spans="2:43" x14ac:dyDescent="0.2">
      <c r="B1702" s="83">
        <f t="shared" si="608"/>
        <v>22</v>
      </c>
      <c r="C1702" s="4"/>
      <c r="D1702" s="12"/>
      <c r="E1702" s="4"/>
      <c r="F1702" s="27"/>
      <c r="G1702" s="4"/>
      <c r="H1702" s="13" t="s">
        <v>331</v>
      </c>
      <c r="I1702" s="21">
        <v>10000</v>
      </c>
      <c r="J1702" s="21"/>
      <c r="K1702" s="21">
        <f t="shared" si="612"/>
        <v>10000</v>
      </c>
      <c r="M1702" s="21"/>
      <c r="N1702" s="21"/>
      <c r="O1702" s="88">
        <f t="shared" si="613"/>
        <v>0</v>
      </c>
      <c r="Q1702" s="308">
        <f t="shared" si="609"/>
        <v>10000</v>
      </c>
      <c r="R1702" s="21">
        <f t="shared" si="618"/>
        <v>0</v>
      </c>
      <c r="S1702" s="88">
        <f t="shared" si="618"/>
        <v>10000</v>
      </c>
    </row>
    <row r="1703" spans="2:43" x14ac:dyDescent="0.2">
      <c r="B1703" s="83">
        <f t="shared" si="608"/>
        <v>23</v>
      </c>
      <c r="C1703" s="4"/>
      <c r="D1703" s="12"/>
      <c r="E1703" s="4"/>
      <c r="F1703" s="27"/>
      <c r="G1703" s="4"/>
      <c r="H1703" s="13" t="s">
        <v>438</v>
      </c>
      <c r="I1703" s="21">
        <v>15000</v>
      </c>
      <c r="J1703" s="21"/>
      <c r="K1703" s="21">
        <f t="shared" si="612"/>
        <v>15000</v>
      </c>
      <c r="M1703" s="21"/>
      <c r="N1703" s="21"/>
      <c r="O1703" s="88">
        <f t="shared" si="613"/>
        <v>0</v>
      </c>
      <c r="Q1703" s="308">
        <f t="shared" si="609"/>
        <v>15000</v>
      </c>
      <c r="R1703" s="21">
        <f t="shared" si="618"/>
        <v>0</v>
      </c>
      <c r="S1703" s="88">
        <f t="shared" si="618"/>
        <v>15000</v>
      </c>
    </row>
    <row r="1704" spans="2:43" s="43" customFormat="1" ht="22.5" x14ac:dyDescent="0.2">
      <c r="B1704" s="111">
        <f t="shared" si="608"/>
        <v>24</v>
      </c>
      <c r="C1704" s="155"/>
      <c r="D1704" s="159"/>
      <c r="E1704" s="155"/>
      <c r="F1704" s="156"/>
      <c r="G1704" s="155"/>
      <c r="H1704" s="160" t="s">
        <v>330</v>
      </c>
      <c r="I1704" s="157">
        <f>SUM(I1705:I1711)</f>
        <v>9675</v>
      </c>
      <c r="J1704" s="157">
        <f>SUM(J1705:J1712)</f>
        <v>180</v>
      </c>
      <c r="K1704" s="157">
        <f t="shared" si="612"/>
        <v>9855</v>
      </c>
      <c r="L1704" s="266"/>
      <c r="M1704" s="157"/>
      <c r="N1704" s="157"/>
      <c r="O1704" s="158">
        <f t="shared" si="613"/>
        <v>0</v>
      </c>
      <c r="P1704" s="299"/>
      <c r="Q1704" s="309">
        <f t="shared" si="609"/>
        <v>9675</v>
      </c>
      <c r="R1704" s="157">
        <f t="shared" si="618"/>
        <v>180</v>
      </c>
      <c r="S1704" s="158">
        <f t="shared" si="618"/>
        <v>9855</v>
      </c>
      <c r="T1704" s="266"/>
      <c r="U1704" s="266"/>
      <c r="V1704" s="266"/>
      <c r="W1704" s="266"/>
      <c r="X1704" s="266"/>
      <c r="Y1704" s="266"/>
      <c r="Z1704" s="266"/>
      <c r="AA1704" s="266"/>
      <c r="AB1704" s="266"/>
      <c r="AC1704" s="266"/>
      <c r="AD1704" s="266"/>
      <c r="AE1704" s="266"/>
      <c r="AF1704" s="266"/>
      <c r="AG1704" s="266"/>
      <c r="AH1704" s="266"/>
      <c r="AI1704" s="266"/>
      <c r="AJ1704" s="266"/>
      <c r="AK1704" s="266"/>
      <c r="AL1704" s="266"/>
      <c r="AM1704" s="266"/>
      <c r="AN1704" s="266"/>
      <c r="AO1704" s="266"/>
      <c r="AP1704" s="266"/>
      <c r="AQ1704" s="266"/>
    </row>
    <row r="1705" spans="2:43" x14ac:dyDescent="0.2">
      <c r="B1705" s="83">
        <f t="shared" si="608"/>
        <v>25</v>
      </c>
      <c r="C1705" s="4"/>
      <c r="D1705" s="12"/>
      <c r="E1705" s="4"/>
      <c r="F1705" s="27"/>
      <c r="G1705" s="4"/>
      <c r="H1705" s="13" t="s">
        <v>332</v>
      </c>
      <c r="I1705" s="21">
        <v>1242</v>
      </c>
      <c r="J1705" s="21"/>
      <c r="K1705" s="21">
        <f t="shared" si="612"/>
        <v>1242</v>
      </c>
      <c r="M1705" s="21"/>
      <c r="N1705" s="21"/>
      <c r="O1705" s="88">
        <f t="shared" si="613"/>
        <v>0</v>
      </c>
      <c r="Q1705" s="308">
        <f t="shared" si="609"/>
        <v>1242</v>
      </c>
      <c r="R1705" s="21">
        <f t="shared" si="618"/>
        <v>0</v>
      </c>
      <c r="S1705" s="88">
        <f t="shared" si="618"/>
        <v>1242</v>
      </c>
    </row>
    <row r="1706" spans="2:43" x14ac:dyDescent="0.2">
      <c r="B1706" s="83">
        <f t="shared" si="608"/>
        <v>26</v>
      </c>
      <c r="C1706" s="4"/>
      <c r="D1706" s="12"/>
      <c r="E1706" s="4"/>
      <c r="F1706" s="27"/>
      <c r="G1706" s="4"/>
      <c r="H1706" s="13" t="s">
        <v>333</v>
      </c>
      <c r="I1706" s="21">
        <v>2133</v>
      </c>
      <c r="J1706" s="21"/>
      <c r="K1706" s="21">
        <f t="shared" si="612"/>
        <v>2133</v>
      </c>
      <c r="M1706" s="21"/>
      <c r="N1706" s="21"/>
      <c r="O1706" s="88">
        <f t="shared" si="613"/>
        <v>0</v>
      </c>
      <c r="Q1706" s="308">
        <f t="shared" si="609"/>
        <v>2133</v>
      </c>
      <c r="R1706" s="21">
        <f t="shared" si="618"/>
        <v>0</v>
      </c>
      <c r="S1706" s="88">
        <f t="shared" si="618"/>
        <v>2133</v>
      </c>
    </row>
    <row r="1707" spans="2:43" x14ac:dyDescent="0.2">
      <c r="B1707" s="83">
        <f t="shared" si="608"/>
        <v>27</v>
      </c>
      <c r="C1707" s="4"/>
      <c r="D1707" s="12"/>
      <c r="E1707" s="4"/>
      <c r="F1707" s="27"/>
      <c r="G1707" s="4"/>
      <c r="H1707" s="13" t="s">
        <v>334</v>
      </c>
      <c r="I1707" s="21">
        <v>387</v>
      </c>
      <c r="J1707" s="21"/>
      <c r="K1707" s="21">
        <f t="shared" si="612"/>
        <v>387</v>
      </c>
      <c r="M1707" s="21"/>
      <c r="N1707" s="21"/>
      <c r="O1707" s="88">
        <f t="shared" si="613"/>
        <v>0</v>
      </c>
      <c r="Q1707" s="308">
        <f t="shared" si="609"/>
        <v>387</v>
      </c>
      <c r="R1707" s="21">
        <f t="shared" si="618"/>
        <v>0</v>
      </c>
      <c r="S1707" s="88">
        <f t="shared" si="618"/>
        <v>387</v>
      </c>
    </row>
    <row r="1708" spans="2:43" x14ac:dyDescent="0.2">
      <c r="B1708" s="83">
        <f t="shared" si="608"/>
        <v>28</v>
      </c>
      <c r="C1708" s="4"/>
      <c r="D1708" s="12"/>
      <c r="E1708" s="4"/>
      <c r="F1708" s="27"/>
      <c r="G1708" s="4"/>
      <c r="H1708" s="13" t="s">
        <v>335</v>
      </c>
      <c r="I1708" s="21">
        <v>2754</v>
      </c>
      <c r="J1708" s="21"/>
      <c r="K1708" s="21">
        <f t="shared" si="612"/>
        <v>2754</v>
      </c>
      <c r="M1708" s="21"/>
      <c r="N1708" s="21"/>
      <c r="O1708" s="88">
        <f t="shared" si="613"/>
        <v>0</v>
      </c>
      <c r="Q1708" s="308">
        <f t="shared" si="609"/>
        <v>2754</v>
      </c>
      <c r="R1708" s="21">
        <f t="shared" si="618"/>
        <v>0</v>
      </c>
      <c r="S1708" s="88">
        <f t="shared" si="618"/>
        <v>2754</v>
      </c>
    </row>
    <row r="1709" spans="2:43" x14ac:dyDescent="0.2">
      <c r="B1709" s="83">
        <f t="shared" si="608"/>
        <v>29</v>
      </c>
      <c r="C1709" s="4"/>
      <c r="D1709" s="12"/>
      <c r="E1709" s="4"/>
      <c r="F1709" s="27"/>
      <c r="G1709" s="4"/>
      <c r="H1709" s="13" t="s">
        <v>336</v>
      </c>
      <c r="I1709" s="21">
        <v>558</v>
      </c>
      <c r="J1709" s="21"/>
      <c r="K1709" s="21">
        <f t="shared" si="612"/>
        <v>558</v>
      </c>
      <c r="M1709" s="21"/>
      <c r="N1709" s="21"/>
      <c r="O1709" s="88">
        <f t="shared" si="613"/>
        <v>0</v>
      </c>
      <c r="Q1709" s="308">
        <f t="shared" si="609"/>
        <v>558</v>
      </c>
      <c r="R1709" s="21">
        <f t="shared" si="618"/>
        <v>0</v>
      </c>
      <c r="S1709" s="88">
        <f t="shared" si="618"/>
        <v>558</v>
      </c>
    </row>
    <row r="1710" spans="2:43" x14ac:dyDescent="0.2">
      <c r="B1710" s="83">
        <f t="shared" si="608"/>
        <v>30</v>
      </c>
      <c r="C1710" s="4"/>
      <c r="D1710" s="12"/>
      <c r="E1710" s="4"/>
      <c r="F1710" s="27"/>
      <c r="G1710" s="4"/>
      <c r="H1710" s="13" t="s">
        <v>337</v>
      </c>
      <c r="I1710" s="21">
        <v>1719</v>
      </c>
      <c r="J1710" s="21"/>
      <c r="K1710" s="21">
        <f t="shared" si="612"/>
        <v>1719</v>
      </c>
      <c r="M1710" s="21"/>
      <c r="N1710" s="21"/>
      <c r="O1710" s="88">
        <f t="shared" si="613"/>
        <v>0</v>
      </c>
      <c r="Q1710" s="308">
        <f t="shared" si="609"/>
        <v>1719</v>
      </c>
      <c r="R1710" s="21">
        <f t="shared" si="618"/>
        <v>0</v>
      </c>
      <c r="S1710" s="88">
        <f t="shared" si="618"/>
        <v>1719</v>
      </c>
    </row>
    <row r="1711" spans="2:43" x14ac:dyDescent="0.2">
      <c r="B1711" s="83">
        <f t="shared" si="608"/>
        <v>31</v>
      </c>
      <c r="C1711" s="4"/>
      <c r="D1711" s="4"/>
      <c r="E1711" s="4"/>
      <c r="F1711" s="27"/>
      <c r="G1711" s="4"/>
      <c r="H1711" s="4" t="s">
        <v>338</v>
      </c>
      <c r="I1711" s="21">
        <v>882</v>
      </c>
      <c r="J1711" s="21"/>
      <c r="K1711" s="21">
        <f t="shared" si="612"/>
        <v>882</v>
      </c>
      <c r="M1711" s="21"/>
      <c r="N1711" s="21"/>
      <c r="O1711" s="88">
        <f t="shared" si="613"/>
        <v>0</v>
      </c>
      <c r="Q1711" s="308">
        <f t="shared" si="609"/>
        <v>882</v>
      </c>
      <c r="R1711" s="21">
        <f t="shared" si="618"/>
        <v>0</v>
      </c>
      <c r="S1711" s="88">
        <f t="shared" si="618"/>
        <v>882</v>
      </c>
    </row>
    <row r="1712" spans="2:43" x14ac:dyDescent="0.2">
      <c r="B1712" s="83">
        <f t="shared" si="608"/>
        <v>32</v>
      </c>
      <c r="C1712" s="4"/>
      <c r="D1712" s="4"/>
      <c r="E1712" s="4"/>
      <c r="F1712" s="27"/>
      <c r="G1712" s="4"/>
      <c r="H1712" s="4" t="s">
        <v>574</v>
      </c>
      <c r="I1712" s="21">
        <v>0</v>
      </c>
      <c r="J1712" s="21">
        <v>180</v>
      </c>
      <c r="K1712" s="21">
        <f t="shared" si="612"/>
        <v>180</v>
      </c>
      <c r="M1712" s="21"/>
      <c r="N1712" s="21"/>
      <c r="O1712" s="88"/>
      <c r="Q1712" s="308">
        <f t="shared" si="609"/>
        <v>0</v>
      </c>
      <c r="R1712" s="21">
        <f t="shared" ref="R1712" si="620">J1712+N1712</f>
        <v>180</v>
      </c>
      <c r="S1712" s="88">
        <f t="shared" ref="S1712" si="621">K1712+O1712</f>
        <v>180</v>
      </c>
    </row>
    <row r="1713" spans="2:19" ht="15" x14ac:dyDescent="0.2">
      <c r="B1713" s="83">
        <f t="shared" si="608"/>
        <v>33</v>
      </c>
      <c r="C1713" s="268">
        <v>4</v>
      </c>
      <c r="D1713" s="360" t="s">
        <v>490</v>
      </c>
      <c r="E1713" s="361"/>
      <c r="F1713" s="361"/>
      <c r="G1713" s="361"/>
      <c r="H1713" s="362"/>
      <c r="I1713" s="36">
        <f>I1714+I1723</f>
        <v>134009</v>
      </c>
      <c r="J1713" s="36">
        <f t="shared" ref="J1713" si="622">J1714+J1723</f>
        <v>400</v>
      </c>
      <c r="K1713" s="36">
        <f t="shared" si="612"/>
        <v>134409</v>
      </c>
      <c r="M1713" s="36">
        <v>0</v>
      </c>
      <c r="N1713" s="36">
        <v>0</v>
      </c>
      <c r="O1713" s="84">
        <f t="shared" si="613"/>
        <v>0</v>
      </c>
      <c r="Q1713" s="291">
        <f t="shared" si="609"/>
        <v>134009</v>
      </c>
      <c r="R1713" s="36">
        <f t="shared" si="618"/>
        <v>400</v>
      </c>
      <c r="S1713" s="84">
        <f t="shared" si="618"/>
        <v>134409</v>
      </c>
    </row>
    <row r="1714" spans="2:19" ht="15" x14ac:dyDescent="0.25">
      <c r="B1714" s="83">
        <f t="shared" si="608"/>
        <v>34</v>
      </c>
      <c r="C1714" s="267"/>
      <c r="D1714" s="267">
        <v>1</v>
      </c>
      <c r="E1714" s="368" t="s">
        <v>63</v>
      </c>
      <c r="F1714" s="361"/>
      <c r="G1714" s="361"/>
      <c r="H1714" s="362"/>
      <c r="I1714" s="37">
        <f>I1715</f>
        <v>60827</v>
      </c>
      <c r="J1714" s="37">
        <f t="shared" ref="J1714" si="623">J1715</f>
        <v>400</v>
      </c>
      <c r="K1714" s="37">
        <f t="shared" si="612"/>
        <v>61227</v>
      </c>
      <c r="M1714" s="37"/>
      <c r="N1714" s="37"/>
      <c r="O1714" s="85">
        <f t="shared" si="613"/>
        <v>0</v>
      </c>
      <c r="Q1714" s="292">
        <f t="shared" ref="Q1714:Q1745" si="624">I1714+M1714</f>
        <v>60827</v>
      </c>
      <c r="R1714" s="37">
        <f t="shared" ref="R1714:S1729" si="625">J1714+N1714</f>
        <v>400</v>
      </c>
      <c r="S1714" s="85">
        <f t="shared" si="625"/>
        <v>61227</v>
      </c>
    </row>
    <row r="1715" spans="2:19" ht="15" x14ac:dyDescent="0.25">
      <c r="B1715" s="83">
        <f t="shared" si="608"/>
        <v>35</v>
      </c>
      <c r="C1715" s="10"/>
      <c r="D1715" s="10"/>
      <c r="E1715" s="10">
        <v>5</v>
      </c>
      <c r="F1715" s="28"/>
      <c r="G1715" s="10"/>
      <c r="H1715" s="10" t="s">
        <v>116</v>
      </c>
      <c r="I1715" s="38">
        <f>I1716+I1717+I1718</f>
        <v>60827</v>
      </c>
      <c r="J1715" s="38">
        <f t="shared" ref="J1715" si="626">J1716+J1717+J1718</f>
        <v>400</v>
      </c>
      <c r="K1715" s="38">
        <f t="shared" si="612"/>
        <v>61227</v>
      </c>
      <c r="M1715" s="38"/>
      <c r="N1715" s="38"/>
      <c r="O1715" s="94">
        <f t="shared" si="613"/>
        <v>0</v>
      </c>
      <c r="Q1715" s="307">
        <f t="shared" si="624"/>
        <v>60827</v>
      </c>
      <c r="R1715" s="38">
        <f t="shared" si="625"/>
        <v>400</v>
      </c>
      <c r="S1715" s="94">
        <f t="shared" si="625"/>
        <v>61227</v>
      </c>
    </row>
    <row r="1716" spans="2:19" x14ac:dyDescent="0.2">
      <c r="B1716" s="83">
        <f t="shared" si="608"/>
        <v>36</v>
      </c>
      <c r="C1716" s="7"/>
      <c r="D1716" s="7"/>
      <c r="E1716" s="7"/>
      <c r="F1716" s="25" t="s">
        <v>58</v>
      </c>
      <c r="G1716" s="7">
        <v>610</v>
      </c>
      <c r="H1716" s="7" t="s">
        <v>143</v>
      </c>
      <c r="I1716" s="23">
        <v>32213</v>
      </c>
      <c r="J1716" s="23"/>
      <c r="K1716" s="23">
        <f t="shared" si="612"/>
        <v>32213</v>
      </c>
      <c r="M1716" s="23"/>
      <c r="N1716" s="23"/>
      <c r="O1716" s="86">
        <f t="shared" si="613"/>
        <v>0</v>
      </c>
      <c r="Q1716" s="293">
        <f t="shared" si="624"/>
        <v>32213</v>
      </c>
      <c r="R1716" s="23">
        <f t="shared" si="625"/>
        <v>0</v>
      </c>
      <c r="S1716" s="86">
        <f t="shared" si="625"/>
        <v>32213</v>
      </c>
    </row>
    <row r="1717" spans="2:19" x14ac:dyDescent="0.2">
      <c r="B1717" s="83">
        <f t="shared" si="608"/>
        <v>37</v>
      </c>
      <c r="C1717" s="7"/>
      <c r="D1717" s="7"/>
      <c r="E1717" s="7"/>
      <c r="F1717" s="25" t="s">
        <v>58</v>
      </c>
      <c r="G1717" s="7">
        <v>620</v>
      </c>
      <c r="H1717" s="7" t="s">
        <v>136</v>
      </c>
      <c r="I1717" s="23">
        <v>11936</v>
      </c>
      <c r="J1717" s="23"/>
      <c r="K1717" s="23">
        <f t="shared" si="612"/>
        <v>11936</v>
      </c>
      <c r="M1717" s="23"/>
      <c r="N1717" s="23"/>
      <c r="O1717" s="86">
        <f t="shared" si="613"/>
        <v>0</v>
      </c>
      <c r="Q1717" s="293">
        <f t="shared" si="624"/>
        <v>11936</v>
      </c>
      <c r="R1717" s="23">
        <f t="shared" si="625"/>
        <v>0</v>
      </c>
      <c r="S1717" s="86">
        <f t="shared" si="625"/>
        <v>11936</v>
      </c>
    </row>
    <row r="1718" spans="2:19" x14ac:dyDescent="0.2">
      <c r="B1718" s="83">
        <f t="shared" si="608"/>
        <v>38</v>
      </c>
      <c r="C1718" s="7"/>
      <c r="D1718" s="7"/>
      <c r="E1718" s="7"/>
      <c r="F1718" s="25" t="s">
        <v>58</v>
      </c>
      <c r="G1718" s="7">
        <v>630</v>
      </c>
      <c r="H1718" s="7" t="s">
        <v>133</v>
      </c>
      <c r="I1718" s="23">
        <f>I1722+I1721+I1720+I1719</f>
        <v>16678</v>
      </c>
      <c r="J1718" s="23">
        <f t="shared" ref="J1718" si="627">J1722+J1721+J1720+J1719</f>
        <v>400</v>
      </c>
      <c r="K1718" s="23">
        <f t="shared" si="612"/>
        <v>17078</v>
      </c>
      <c r="M1718" s="23"/>
      <c r="N1718" s="23"/>
      <c r="O1718" s="86">
        <f t="shared" si="613"/>
        <v>0</v>
      </c>
      <c r="Q1718" s="293">
        <f t="shared" si="624"/>
        <v>16678</v>
      </c>
      <c r="R1718" s="23">
        <f t="shared" si="625"/>
        <v>400</v>
      </c>
      <c r="S1718" s="86">
        <f t="shared" si="625"/>
        <v>17078</v>
      </c>
    </row>
    <row r="1719" spans="2:19" x14ac:dyDescent="0.2">
      <c r="B1719" s="83">
        <f t="shared" si="608"/>
        <v>39</v>
      </c>
      <c r="C1719" s="3"/>
      <c r="D1719" s="3"/>
      <c r="E1719" s="3"/>
      <c r="F1719" s="26" t="s">
        <v>58</v>
      </c>
      <c r="G1719" s="3">
        <v>632</v>
      </c>
      <c r="H1719" s="3" t="s">
        <v>146</v>
      </c>
      <c r="I1719" s="19">
        <v>6985</v>
      </c>
      <c r="J1719" s="19"/>
      <c r="K1719" s="19">
        <f t="shared" si="612"/>
        <v>6985</v>
      </c>
      <c r="M1719" s="19"/>
      <c r="N1719" s="19"/>
      <c r="O1719" s="87">
        <f t="shared" si="613"/>
        <v>0</v>
      </c>
      <c r="Q1719" s="294">
        <f t="shared" si="624"/>
        <v>6985</v>
      </c>
      <c r="R1719" s="19">
        <f t="shared" si="625"/>
        <v>0</v>
      </c>
      <c r="S1719" s="87">
        <f t="shared" si="625"/>
        <v>6985</v>
      </c>
    </row>
    <row r="1720" spans="2:19" x14ac:dyDescent="0.2">
      <c r="B1720" s="83">
        <f t="shared" si="608"/>
        <v>40</v>
      </c>
      <c r="C1720" s="3"/>
      <c r="D1720" s="3"/>
      <c r="E1720" s="3"/>
      <c r="F1720" s="26" t="s">
        <v>58</v>
      </c>
      <c r="G1720" s="3">
        <v>633</v>
      </c>
      <c r="H1720" s="3" t="s">
        <v>137</v>
      </c>
      <c r="I1720" s="19">
        <v>730</v>
      </c>
      <c r="J1720" s="19">
        <v>400</v>
      </c>
      <c r="K1720" s="19">
        <f t="shared" si="612"/>
        <v>1130</v>
      </c>
      <c r="M1720" s="19"/>
      <c r="N1720" s="19"/>
      <c r="O1720" s="87">
        <f t="shared" si="613"/>
        <v>0</v>
      </c>
      <c r="Q1720" s="294">
        <f t="shared" si="624"/>
        <v>730</v>
      </c>
      <c r="R1720" s="19">
        <f t="shared" si="625"/>
        <v>400</v>
      </c>
      <c r="S1720" s="87">
        <f t="shared" si="625"/>
        <v>1130</v>
      </c>
    </row>
    <row r="1721" spans="2:19" x14ac:dyDescent="0.2">
      <c r="B1721" s="83">
        <f t="shared" si="608"/>
        <v>41</v>
      </c>
      <c r="C1721" s="3"/>
      <c r="D1721" s="3"/>
      <c r="E1721" s="3"/>
      <c r="F1721" s="26" t="s">
        <v>58</v>
      </c>
      <c r="G1721" s="3">
        <v>635</v>
      </c>
      <c r="H1721" s="3" t="s">
        <v>145</v>
      </c>
      <c r="I1721" s="19">
        <v>1750</v>
      </c>
      <c r="J1721" s="19"/>
      <c r="K1721" s="19">
        <f t="shared" si="612"/>
        <v>1750</v>
      </c>
      <c r="M1721" s="19"/>
      <c r="N1721" s="19"/>
      <c r="O1721" s="87">
        <f t="shared" si="613"/>
        <v>0</v>
      </c>
      <c r="Q1721" s="294">
        <f t="shared" si="624"/>
        <v>1750</v>
      </c>
      <c r="R1721" s="19">
        <f t="shared" si="625"/>
        <v>0</v>
      </c>
      <c r="S1721" s="87">
        <f t="shared" si="625"/>
        <v>1750</v>
      </c>
    </row>
    <row r="1722" spans="2:19" x14ac:dyDescent="0.2">
      <c r="B1722" s="83">
        <f t="shared" si="608"/>
        <v>42</v>
      </c>
      <c r="C1722" s="3"/>
      <c r="D1722" s="3"/>
      <c r="E1722" s="3"/>
      <c r="F1722" s="26" t="s">
        <v>58</v>
      </c>
      <c r="G1722" s="3">
        <v>637</v>
      </c>
      <c r="H1722" s="3" t="s">
        <v>134</v>
      </c>
      <c r="I1722" s="19">
        <v>7213</v>
      </c>
      <c r="J1722" s="19"/>
      <c r="K1722" s="19">
        <f t="shared" si="612"/>
        <v>7213</v>
      </c>
      <c r="M1722" s="19"/>
      <c r="N1722" s="19"/>
      <c r="O1722" s="87">
        <f t="shared" si="613"/>
        <v>0</v>
      </c>
      <c r="Q1722" s="294">
        <f t="shared" si="624"/>
        <v>7213</v>
      </c>
      <c r="R1722" s="19">
        <f t="shared" si="625"/>
        <v>0</v>
      </c>
      <c r="S1722" s="87">
        <f t="shared" si="625"/>
        <v>7213</v>
      </c>
    </row>
    <row r="1723" spans="2:19" ht="15" x14ac:dyDescent="0.25">
      <c r="B1723" s="83">
        <f t="shared" si="608"/>
        <v>43</v>
      </c>
      <c r="C1723" s="267"/>
      <c r="D1723" s="267">
        <v>2</v>
      </c>
      <c r="E1723" s="368" t="s">
        <v>309</v>
      </c>
      <c r="F1723" s="361"/>
      <c r="G1723" s="361"/>
      <c r="H1723" s="362"/>
      <c r="I1723" s="37">
        <f>I1724</f>
        <v>73182</v>
      </c>
      <c r="J1723" s="37">
        <f t="shared" ref="J1723" si="628">J1724</f>
        <v>0</v>
      </c>
      <c r="K1723" s="37">
        <f t="shared" si="612"/>
        <v>73182</v>
      </c>
      <c r="M1723" s="37">
        <v>0</v>
      </c>
      <c r="N1723" s="37">
        <v>0</v>
      </c>
      <c r="O1723" s="85">
        <f t="shared" si="613"/>
        <v>0</v>
      </c>
      <c r="Q1723" s="292">
        <f t="shared" si="624"/>
        <v>73182</v>
      </c>
      <c r="R1723" s="37">
        <f t="shared" si="625"/>
        <v>0</v>
      </c>
      <c r="S1723" s="85">
        <f t="shared" si="625"/>
        <v>73182</v>
      </c>
    </row>
    <row r="1724" spans="2:19" ht="15" x14ac:dyDescent="0.25">
      <c r="B1724" s="83">
        <f t="shared" si="608"/>
        <v>44</v>
      </c>
      <c r="C1724" s="10"/>
      <c r="D1724" s="10"/>
      <c r="E1724" s="10">
        <v>5</v>
      </c>
      <c r="F1724" s="28"/>
      <c r="G1724" s="10"/>
      <c r="H1724" s="10" t="s">
        <v>116</v>
      </c>
      <c r="I1724" s="38">
        <f>I1725+I1726+I1727</f>
        <v>73182</v>
      </c>
      <c r="J1724" s="38">
        <f t="shared" ref="J1724" si="629">J1725+J1726+J1727</f>
        <v>0</v>
      </c>
      <c r="K1724" s="38">
        <f t="shared" si="612"/>
        <v>73182</v>
      </c>
      <c r="M1724" s="38"/>
      <c r="N1724" s="38"/>
      <c r="O1724" s="94">
        <f t="shared" si="613"/>
        <v>0</v>
      </c>
      <c r="Q1724" s="307">
        <f t="shared" si="624"/>
        <v>73182</v>
      </c>
      <c r="R1724" s="38">
        <f t="shared" si="625"/>
        <v>0</v>
      </c>
      <c r="S1724" s="94">
        <f t="shared" si="625"/>
        <v>73182</v>
      </c>
    </row>
    <row r="1725" spans="2:19" x14ac:dyDescent="0.2">
      <c r="B1725" s="83">
        <f t="shared" si="608"/>
        <v>45</v>
      </c>
      <c r="C1725" s="7"/>
      <c r="D1725" s="7"/>
      <c r="E1725" s="7"/>
      <c r="F1725" s="25" t="s">
        <v>58</v>
      </c>
      <c r="G1725" s="7">
        <v>610</v>
      </c>
      <c r="H1725" s="7" t="s">
        <v>143</v>
      </c>
      <c r="I1725" s="23">
        <v>40444</v>
      </c>
      <c r="J1725" s="23"/>
      <c r="K1725" s="23">
        <f t="shared" si="612"/>
        <v>40444</v>
      </c>
      <c r="M1725" s="23"/>
      <c r="N1725" s="23"/>
      <c r="O1725" s="86">
        <f t="shared" si="613"/>
        <v>0</v>
      </c>
      <c r="Q1725" s="293">
        <f t="shared" si="624"/>
        <v>40444</v>
      </c>
      <c r="R1725" s="23">
        <f t="shared" si="625"/>
        <v>0</v>
      </c>
      <c r="S1725" s="86">
        <f t="shared" si="625"/>
        <v>40444</v>
      </c>
    </row>
    <row r="1726" spans="2:19" x14ac:dyDescent="0.2">
      <c r="B1726" s="83">
        <f t="shared" si="608"/>
        <v>46</v>
      </c>
      <c r="C1726" s="7"/>
      <c r="D1726" s="7"/>
      <c r="E1726" s="7"/>
      <c r="F1726" s="25" t="s">
        <v>58</v>
      </c>
      <c r="G1726" s="7">
        <v>620</v>
      </c>
      <c r="H1726" s="7" t="s">
        <v>136</v>
      </c>
      <c r="I1726" s="23">
        <v>15209</v>
      </c>
      <c r="J1726" s="23"/>
      <c r="K1726" s="23">
        <f t="shared" si="612"/>
        <v>15209</v>
      </c>
      <c r="M1726" s="23"/>
      <c r="N1726" s="23"/>
      <c r="O1726" s="86">
        <f t="shared" si="613"/>
        <v>0</v>
      </c>
      <c r="Q1726" s="293">
        <f t="shared" si="624"/>
        <v>15209</v>
      </c>
      <c r="R1726" s="23">
        <f t="shared" si="625"/>
        <v>0</v>
      </c>
      <c r="S1726" s="86">
        <f t="shared" si="625"/>
        <v>15209</v>
      </c>
    </row>
    <row r="1727" spans="2:19" x14ac:dyDescent="0.2">
      <c r="B1727" s="83">
        <f t="shared" si="608"/>
        <v>47</v>
      </c>
      <c r="C1727" s="7"/>
      <c r="D1727" s="7"/>
      <c r="E1727" s="7"/>
      <c r="F1727" s="25" t="s">
        <v>58</v>
      </c>
      <c r="G1727" s="7">
        <v>630</v>
      </c>
      <c r="H1727" s="7" t="s">
        <v>133</v>
      </c>
      <c r="I1727" s="23">
        <f>I1732+I1731+I1730+I1729+I1728</f>
        <v>17529</v>
      </c>
      <c r="J1727" s="23">
        <f t="shared" ref="J1727" si="630">J1732+J1731+J1730+J1729+J1728</f>
        <v>0</v>
      </c>
      <c r="K1727" s="23">
        <f t="shared" si="612"/>
        <v>17529</v>
      </c>
      <c r="M1727" s="23"/>
      <c r="N1727" s="23"/>
      <c r="O1727" s="86">
        <f t="shared" si="613"/>
        <v>0</v>
      </c>
      <c r="Q1727" s="293">
        <f t="shared" si="624"/>
        <v>17529</v>
      </c>
      <c r="R1727" s="23">
        <f t="shared" si="625"/>
        <v>0</v>
      </c>
      <c r="S1727" s="86">
        <f t="shared" si="625"/>
        <v>17529</v>
      </c>
    </row>
    <row r="1728" spans="2:19" x14ac:dyDescent="0.2">
      <c r="B1728" s="83">
        <f t="shared" si="608"/>
        <v>48</v>
      </c>
      <c r="C1728" s="3"/>
      <c r="D1728" s="3"/>
      <c r="E1728" s="3"/>
      <c r="F1728" s="26" t="s">
        <v>58</v>
      </c>
      <c r="G1728" s="3">
        <v>631</v>
      </c>
      <c r="H1728" s="3" t="s">
        <v>139</v>
      </c>
      <c r="I1728" s="19">
        <v>102</v>
      </c>
      <c r="J1728" s="19"/>
      <c r="K1728" s="19">
        <f t="shared" si="612"/>
        <v>102</v>
      </c>
      <c r="M1728" s="19"/>
      <c r="N1728" s="19"/>
      <c r="O1728" s="87">
        <f t="shared" si="613"/>
        <v>0</v>
      </c>
      <c r="Q1728" s="294">
        <f t="shared" si="624"/>
        <v>102</v>
      </c>
      <c r="R1728" s="19">
        <f t="shared" si="625"/>
        <v>0</v>
      </c>
      <c r="S1728" s="87">
        <f t="shared" si="625"/>
        <v>102</v>
      </c>
    </row>
    <row r="1729" spans="2:19" x14ac:dyDescent="0.2">
      <c r="B1729" s="83">
        <f t="shared" si="608"/>
        <v>49</v>
      </c>
      <c r="C1729" s="3"/>
      <c r="D1729" s="3"/>
      <c r="E1729" s="3"/>
      <c r="F1729" s="26" t="s">
        <v>58</v>
      </c>
      <c r="G1729" s="3">
        <v>632</v>
      </c>
      <c r="H1729" s="3" t="s">
        <v>146</v>
      </c>
      <c r="I1729" s="19">
        <v>6518</v>
      </c>
      <c r="J1729" s="19"/>
      <c r="K1729" s="19">
        <f t="shared" si="612"/>
        <v>6518</v>
      </c>
      <c r="M1729" s="19"/>
      <c r="N1729" s="19"/>
      <c r="O1729" s="87">
        <f t="shared" si="613"/>
        <v>0</v>
      </c>
      <c r="Q1729" s="294">
        <f t="shared" si="624"/>
        <v>6518</v>
      </c>
      <c r="R1729" s="19">
        <f t="shared" si="625"/>
        <v>0</v>
      </c>
      <c r="S1729" s="87">
        <f t="shared" si="625"/>
        <v>6518</v>
      </c>
    </row>
    <row r="1730" spans="2:19" x14ac:dyDescent="0.2">
      <c r="B1730" s="83">
        <f t="shared" si="608"/>
        <v>50</v>
      </c>
      <c r="C1730" s="3"/>
      <c r="D1730" s="3"/>
      <c r="E1730" s="3"/>
      <c r="F1730" s="26" t="s">
        <v>58</v>
      </c>
      <c r="G1730" s="3">
        <v>633</v>
      </c>
      <c r="H1730" s="3" t="s">
        <v>137</v>
      </c>
      <c r="I1730" s="19">
        <v>1085</v>
      </c>
      <c r="J1730" s="19"/>
      <c r="K1730" s="19">
        <f t="shared" si="612"/>
        <v>1085</v>
      </c>
      <c r="M1730" s="19"/>
      <c r="N1730" s="19"/>
      <c r="O1730" s="87">
        <f t="shared" si="613"/>
        <v>0</v>
      </c>
      <c r="Q1730" s="294">
        <f t="shared" si="624"/>
        <v>1085</v>
      </c>
      <c r="R1730" s="19">
        <f t="shared" ref="R1730:S1745" si="631">J1730+N1730</f>
        <v>0</v>
      </c>
      <c r="S1730" s="87">
        <f t="shared" si="631"/>
        <v>1085</v>
      </c>
    </row>
    <row r="1731" spans="2:19" x14ac:dyDescent="0.2">
      <c r="B1731" s="83">
        <f t="shared" si="608"/>
        <v>51</v>
      </c>
      <c r="C1731" s="3"/>
      <c r="D1731" s="3"/>
      <c r="E1731" s="3"/>
      <c r="F1731" s="26" t="s">
        <v>58</v>
      </c>
      <c r="G1731" s="3">
        <v>635</v>
      </c>
      <c r="H1731" s="3" t="s">
        <v>145</v>
      </c>
      <c r="I1731" s="19">
        <v>1100</v>
      </c>
      <c r="J1731" s="19"/>
      <c r="K1731" s="19">
        <f t="shared" si="612"/>
        <v>1100</v>
      </c>
      <c r="M1731" s="19"/>
      <c r="N1731" s="19"/>
      <c r="O1731" s="87">
        <f t="shared" si="613"/>
        <v>0</v>
      </c>
      <c r="Q1731" s="294">
        <f t="shared" si="624"/>
        <v>1100</v>
      </c>
      <c r="R1731" s="19">
        <f t="shared" si="631"/>
        <v>0</v>
      </c>
      <c r="S1731" s="87">
        <f t="shared" si="631"/>
        <v>1100</v>
      </c>
    </row>
    <row r="1732" spans="2:19" x14ac:dyDescent="0.2">
      <c r="B1732" s="83">
        <f t="shared" si="608"/>
        <v>52</v>
      </c>
      <c r="C1732" s="3"/>
      <c r="D1732" s="3"/>
      <c r="E1732" s="3"/>
      <c r="F1732" s="26" t="s">
        <v>58</v>
      </c>
      <c r="G1732" s="3">
        <v>637</v>
      </c>
      <c r="H1732" s="3" t="s">
        <v>134</v>
      </c>
      <c r="I1732" s="19">
        <v>8724</v>
      </c>
      <c r="J1732" s="19"/>
      <c r="K1732" s="19">
        <f t="shared" si="612"/>
        <v>8724</v>
      </c>
      <c r="M1732" s="19"/>
      <c r="N1732" s="19"/>
      <c r="O1732" s="87">
        <f t="shared" si="613"/>
        <v>0</v>
      </c>
      <c r="Q1732" s="294">
        <f t="shared" si="624"/>
        <v>8724</v>
      </c>
      <c r="R1732" s="19">
        <f t="shared" si="631"/>
        <v>0</v>
      </c>
      <c r="S1732" s="87">
        <f t="shared" si="631"/>
        <v>8724</v>
      </c>
    </row>
    <row r="1733" spans="2:19" ht="15" x14ac:dyDescent="0.2">
      <c r="B1733" s="83">
        <f t="shared" si="608"/>
        <v>53</v>
      </c>
      <c r="C1733" s="268">
        <v>5</v>
      </c>
      <c r="D1733" s="360" t="s">
        <v>191</v>
      </c>
      <c r="E1733" s="361"/>
      <c r="F1733" s="361"/>
      <c r="G1733" s="361"/>
      <c r="H1733" s="362"/>
      <c r="I1733" s="36">
        <f>I1756+I1744+I1734</f>
        <v>619728</v>
      </c>
      <c r="J1733" s="36">
        <f>J1756+J1744+J1734</f>
        <v>1270</v>
      </c>
      <c r="K1733" s="36">
        <f t="shared" si="612"/>
        <v>620998</v>
      </c>
      <c r="M1733" s="36">
        <v>0</v>
      </c>
      <c r="N1733" s="36">
        <v>0</v>
      </c>
      <c r="O1733" s="84">
        <f t="shared" si="613"/>
        <v>0</v>
      </c>
      <c r="Q1733" s="291">
        <f t="shared" si="624"/>
        <v>619728</v>
      </c>
      <c r="R1733" s="36">
        <f t="shared" si="631"/>
        <v>1270</v>
      </c>
      <c r="S1733" s="84">
        <f t="shared" si="631"/>
        <v>620998</v>
      </c>
    </row>
    <row r="1734" spans="2:19" ht="15" x14ac:dyDescent="0.25">
      <c r="B1734" s="83">
        <f t="shared" si="608"/>
        <v>54</v>
      </c>
      <c r="C1734" s="267"/>
      <c r="D1734" s="267">
        <v>1</v>
      </c>
      <c r="E1734" s="368" t="s">
        <v>190</v>
      </c>
      <c r="F1734" s="361"/>
      <c r="G1734" s="361"/>
      <c r="H1734" s="362"/>
      <c r="I1734" s="37">
        <f>I1735+I1739</f>
        <v>8391</v>
      </c>
      <c r="J1734" s="37">
        <f t="shared" ref="J1734" si="632">J1735+J1739</f>
        <v>500</v>
      </c>
      <c r="K1734" s="37">
        <f t="shared" si="612"/>
        <v>8891</v>
      </c>
      <c r="M1734" s="37"/>
      <c r="N1734" s="37"/>
      <c r="O1734" s="85">
        <f t="shared" si="613"/>
        <v>0</v>
      </c>
      <c r="Q1734" s="292">
        <f t="shared" si="624"/>
        <v>8391</v>
      </c>
      <c r="R1734" s="37">
        <f t="shared" si="631"/>
        <v>500</v>
      </c>
      <c r="S1734" s="85">
        <f t="shared" si="631"/>
        <v>8891</v>
      </c>
    </row>
    <row r="1735" spans="2:19" x14ac:dyDescent="0.2">
      <c r="B1735" s="83">
        <f t="shared" si="608"/>
        <v>55</v>
      </c>
      <c r="C1735" s="7"/>
      <c r="D1735" s="7"/>
      <c r="E1735" s="7"/>
      <c r="F1735" s="25" t="s">
        <v>85</v>
      </c>
      <c r="G1735" s="7">
        <v>630</v>
      </c>
      <c r="H1735" s="7" t="s">
        <v>133</v>
      </c>
      <c r="I1735" s="23">
        <f>SUM(I1736:I1738)</f>
        <v>6161</v>
      </c>
      <c r="J1735" s="23">
        <f t="shared" ref="J1735" si="633">SUM(J1736:J1738)</f>
        <v>500</v>
      </c>
      <c r="K1735" s="23">
        <f t="shared" si="612"/>
        <v>6661</v>
      </c>
      <c r="M1735" s="23"/>
      <c r="N1735" s="23"/>
      <c r="O1735" s="86">
        <f t="shared" si="613"/>
        <v>0</v>
      </c>
      <c r="Q1735" s="293">
        <f t="shared" si="624"/>
        <v>6161</v>
      </c>
      <c r="R1735" s="23">
        <f t="shared" si="631"/>
        <v>500</v>
      </c>
      <c r="S1735" s="86">
        <f t="shared" si="631"/>
        <v>6661</v>
      </c>
    </row>
    <row r="1736" spans="2:19" x14ac:dyDescent="0.2">
      <c r="B1736" s="83">
        <f t="shared" si="608"/>
        <v>56</v>
      </c>
      <c r="C1736" s="3"/>
      <c r="D1736" s="3"/>
      <c r="E1736" s="3"/>
      <c r="F1736" s="26" t="s">
        <v>85</v>
      </c>
      <c r="G1736" s="3">
        <v>633</v>
      </c>
      <c r="H1736" s="3" t="s">
        <v>137</v>
      </c>
      <c r="I1736" s="19">
        <v>3183</v>
      </c>
      <c r="J1736" s="19">
        <v>500</v>
      </c>
      <c r="K1736" s="19">
        <f t="shared" si="612"/>
        <v>3683</v>
      </c>
      <c r="M1736" s="19"/>
      <c r="N1736" s="19"/>
      <c r="O1736" s="87">
        <f t="shared" si="613"/>
        <v>0</v>
      </c>
      <c r="Q1736" s="294">
        <f t="shared" si="624"/>
        <v>3183</v>
      </c>
      <c r="R1736" s="19">
        <f t="shared" si="631"/>
        <v>500</v>
      </c>
      <c r="S1736" s="87">
        <f t="shared" si="631"/>
        <v>3683</v>
      </c>
    </row>
    <row r="1737" spans="2:19" x14ac:dyDescent="0.2">
      <c r="B1737" s="83">
        <f t="shared" si="608"/>
        <v>57</v>
      </c>
      <c r="C1737" s="3"/>
      <c r="D1737" s="3"/>
      <c r="E1737" s="3"/>
      <c r="F1737" s="26" t="s">
        <v>85</v>
      </c>
      <c r="G1737" s="3">
        <v>634</v>
      </c>
      <c r="H1737" s="3" t="s">
        <v>144</v>
      </c>
      <c r="I1737" s="19">
        <v>350</v>
      </c>
      <c r="J1737" s="19"/>
      <c r="K1737" s="19">
        <f t="shared" si="612"/>
        <v>350</v>
      </c>
      <c r="M1737" s="19"/>
      <c r="N1737" s="19"/>
      <c r="O1737" s="87">
        <f t="shared" si="613"/>
        <v>0</v>
      </c>
      <c r="Q1737" s="294">
        <f t="shared" si="624"/>
        <v>350</v>
      </c>
      <c r="R1737" s="19">
        <f t="shared" si="631"/>
        <v>0</v>
      </c>
      <c r="S1737" s="87">
        <f t="shared" si="631"/>
        <v>350</v>
      </c>
    </row>
    <row r="1738" spans="2:19" x14ac:dyDescent="0.2">
      <c r="B1738" s="83">
        <f t="shared" si="608"/>
        <v>58</v>
      </c>
      <c r="C1738" s="3"/>
      <c r="D1738" s="3"/>
      <c r="E1738" s="3"/>
      <c r="F1738" s="26" t="s">
        <v>85</v>
      </c>
      <c r="G1738" s="3">
        <v>637</v>
      </c>
      <c r="H1738" s="3" t="s">
        <v>134</v>
      </c>
      <c r="I1738" s="19">
        <v>2628</v>
      </c>
      <c r="J1738" s="19"/>
      <c r="K1738" s="19">
        <f t="shared" si="612"/>
        <v>2628</v>
      </c>
      <c r="M1738" s="19"/>
      <c r="N1738" s="19"/>
      <c r="O1738" s="87">
        <f t="shared" si="613"/>
        <v>0</v>
      </c>
      <c r="Q1738" s="294">
        <f t="shared" si="624"/>
        <v>2628</v>
      </c>
      <c r="R1738" s="19">
        <f t="shared" si="631"/>
        <v>0</v>
      </c>
      <c r="S1738" s="87">
        <f t="shared" si="631"/>
        <v>2628</v>
      </c>
    </row>
    <row r="1739" spans="2:19" x14ac:dyDescent="0.2">
      <c r="B1739" s="83">
        <f t="shared" si="608"/>
        <v>59</v>
      </c>
      <c r="C1739" s="7"/>
      <c r="D1739" s="7"/>
      <c r="E1739" s="7"/>
      <c r="F1739" s="25" t="s">
        <v>82</v>
      </c>
      <c r="G1739" s="7">
        <v>640</v>
      </c>
      <c r="H1739" s="7" t="s">
        <v>141</v>
      </c>
      <c r="I1739" s="23">
        <f>I1740</f>
        <v>2230</v>
      </c>
      <c r="J1739" s="23">
        <f t="shared" ref="J1739" si="634">J1740</f>
        <v>0</v>
      </c>
      <c r="K1739" s="23">
        <f t="shared" si="612"/>
        <v>2230</v>
      </c>
      <c r="M1739" s="23"/>
      <c r="N1739" s="23"/>
      <c r="O1739" s="86">
        <f t="shared" si="613"/>
        <v>0</v>
      </c>
      <c r="Q1739" s="293">
        <f t="shared" si="624"/>
        <v>2230</v>
      </c>
      <c r="R1739" s="23">
        <f t="shared" si="631"/>
        <v>0</v>
      </c>
      <c r="S1739" s="86">
        <f t="shared" si="631"/>
        <v>2230</v>
      </c>
    </row>
    <row r="1740" spans="2:19" x14ac:dyDescent="0.2">
      <c r="B1740" s="83">
        <f t="shared" si="608"/>
        <v>60</v>
      </c>
      <c r="C1740" s="3"/>
      <c r="D1740" s="3"/>
      <c r="E1740" s="3"/>
      <c r="F1740" s="26" t="s">
        <v>82</v>
      </c>
      <c r="G1740" s="3">
        <v>642</v>
      </c>
      <c r="H1740" s="3" t="s">
        <v>142</v>
      </c>
      <c r="I1740" s="19">
        <f>I1743+I1742+I1741</f>
        <v>2230</v>
      </c>
      <c r="J1740" s="19">
        <f t="shared" ref="J1740" si="635">J1743+J1742+J1741</f>
        <v>0</v>
      </c>
      <c r="K1740" s="19">
        <f t="shared" si="612"/>
        <v>2230</v>
      </c>
      <c r="M1740" s="19"/>
      <c r="N1740" s="19"/>
      <c r="O1740" s="87">
        <f t="shared" si="613"/>
        <v>0</v>
      </c>
      <c r="Q1740" s="294">
        <f t="shared" si="624"/>
        <v>2230</v>
      </c>
      <c r="R1740" s="19">
        <f t="shared" si="631"/>
        <v>0</v>
      </c>
      <c r="S1740" s="87">
        <f t="shared" si="631"/>
        <v>2230</v>
      </c>
    </row>
    <row r="1741" spans="2:19" x14ac:dyDescent="0.2">
      <c r="B1741" s="83">
        <f t="shared" si="608"/>
        <v>61</v>
      </c>
      <c r="C1741" s="4"/>
      <c r="D1741" s="4"/>
      <c r="E1741" s="4"/>
      <c r="F1741" s="27"/>
      <c r="G1741" s="4"/>
      <c r="H1741" s="4" t="s">
        <v>249</v>
      </c>
      <c r="I1741" s="21">
        <v>500</v>
      </c>
      <c r="J1741" s="21"/>
      <c r="K1741" s="21">
        <f t="shared" si="612"/>
        <v>500</v>
      </c>
      <c r="M1741" s="21"/>
      <c r="N1741" s="21"/>
      <c r="O1741" s="88">
        <f t="shared" si="613"/>
        <v>0</v>
      </c>
      <c r="Q1741" s="308">
        <f t="shared" si="624"/>
        <v>500</v>
      </c>
      <c r="R1741" s="21">
        <f t="shared" si="631"/>
        <v>0</v>
      </c>
      <c r="S1741" s="88">
        <f t="shared" si="631"/>
        <v>500</v>
      </c>
    </row>
    <row r="1742" spans="2:19" x14ac:dyDescent="0.2">
      <c r="B1742" s="83">
        <f t="shared" si="608"/>
        <v>62</v>
      </c>
      <c r="C1742" s="4"/>
      <c r="D1742" s="4"/>
      <c r="E1742" s="4"/>
      <c r="F1742" s="27"/>
      <c r="G1742" s="4"/>
      <c r="H1742" s="4" t="s">
        <v>250</v>
      </c>
      <c r="I1742" s="21">
        <v>1500</v>
      </c>
      <c r="J1742" s="21"/>
      <c r="K1742" s="21">
        <f t="shared" si="612"/>
        <v>1500</v>
      </c>
      <c r="M1742" s="21"/>
      <c r="N1742" s="21"/>
      <c r="O1742" s="88">
        <f t="shared" si="613"/>
        <v>0</v>
      </c>
      <c r="Q1742" s="308">
        <f t="shared" si="624"/>
        <v>1500</v>
      </c>
      <c r="R1742" s="21">
        <f t="shared" si="631"/>
        <v>0</v>
      </c>
      <c r="S1742" s="88">
        <f t="shared" si="631"/>
        <v>1500</v>
      </c>
    </row>
    <row r="1743" spans="2:19" x14ac:dyDescent="0.2">
      <c r="B1743" s="83">
        <f t="shared" si="608"/>
        <v>63</v>
      </c>
      <c r="C1743" s="4"/>
      <c r="D1743" s="4"/>
      <c r="E1743" s="4"/>
      <c r="F1743" s="27"/>
      <c r="G1743" s="4"/>
      <c r="H1743" s="4" t="s">
        <v>6</v>
      </c>
      <c r="I1743" s="21">
        <v>230</v>
      </c>
      <c r="J1743" s="21"/>
      <c r="K1743" s="21">
        <f t="shared" si="612"/>
        <v>230</v>
      </c>
      <c r="M1743" s="21"/>
      <c r="N1743" s="21"/>
      <c r="O1743" s="88">
        <f t="shared" si="613"/>
        <v>0</v>
      </c>
      <c r="Q1743" s="308">
        <f t="shared" si="624"/>
        <v>230</v>
      </c>
      <c r="R1743" s="21">
        <f t="shared" si="631"/>
        <v>0</v>
      </c>
      <c r="S1743" s="88">
        <f t="shared" si="631"/>
        <v>230</v>
      </c>
    </row>
    <row r="1744" spans="2:19" ht="15" x14ac:dyDescent="0.25">
      <c r="B1744" s="83">
        <f t="shared" si="608"/>
        <v>64</v>
      </c>
      <c r="C1744" s="267"/>
      <c r="D1744" s="267">
        <v>2</v>
      </c>
      <c r="E1744" s="368" t="s">
        <v>66</v>
      </c>
      <c r="F1744" s="361"/>
      <c r="G1744" s="361"/>
      <c r="H1744" s="362"/>
      <c r="I1744" s="37">
        <f>I1745</f>
        <v>587622</v>
      </c>
      <c r="J1744" s="37">
        <f t="shared" ref="J1744" si="636">J1745</f>
        <v>770</v>
      </c>
      <c r="K1744" s="37">
        <f t="shared" si="612"/>
        <v>588392</v>
      </c>
      <c r="M1744" s="37">
        <v>0</v>
      </c>
      <c r="N1744" s="37">
        <v>0</v>
      </c>
      <c r="O1744" s="85">
        <f t="shared" si="613"/>
        <v>0</v>
      </c>
      <c r="Q1744" s="292">
        <f t="shared" si="624"/>
        <v>587622</v>
      </c>
      <c r="R1744" s="37">
        <f t="shared" si="631"/>
        <v>770</v>
      </c>
      <c r="S1744" s="85">
        <f t="shared" si="631"/>
        <v>588392</v>
      </c>
    </row>
    <row r="1745" spans="2:19" ht="15" x14ac:dyDescent="0.25">
      <c r="B1745" s="83">
        <f t="shared" si="608"/>
        <v>65</v>
      </c>
      <c r="C1745" s="10"/>
      <c r="D1745" s="10"/>
      <c r="E1745" s="10">
        <v>5</v>
      </c>
      <c r="F1745" s="28"/>
      <c r="G1745" s="10"/>
      <c r="H1745" s="10" t="s">
        <v>116</v>
      </c>
      <c r="I1745" s="38">
        <f>I1746+I1747+I1748</f>
        <v>587622</v>
      </c>
      <c r="J1745" s="38">
        <f>J1746+J1747+J1748+J1755</f>
        <v>770</v>
      </c>
      <c r="K1745" s="38">
        <f t="shared" si="612"/>
        <v>588392</v>
      </c>
      <c r="M1745" s="38"/>
      <c r="N1745" s="38"/>
      <c r="O1745" s="94">
        <f t="shared" si="613"/>
        <v>0</v>
      </c>
      <c r="Q1745" s="307">
        <f t="shared" si="624"/>
        <v>587622</v>
      </c>
      <c r="R1745" s="38">
        <f t="shared" si="631"/>
        <v>770</v>
      </c>
      <c r="S1745" s="94">
        <f t="shared" si="631"/>
        <v>588392</v>
      </c>
    </row>
    <row r="1746" spans="2:19" x14ac:dyDescent="0.2">
      <c r="B1746" s="83">
        <f t="shared" ref="B1746:B1761" si="637">B1745+1</f>
        <v>66</v>
      </c>
      <c r="C1746" s="7"/>
      <c r="D1746" s="7"/>
      <c r="E1746" s="7"/>
      <c r="F1746" s="25" t="s">
        <v>85</v>
      </c>
      <c r="G1746" s="7">
        <v>610</v>
      </c>
      <c r="H1746" s="7" t="s">
        <v>143</v>
      </c>
      <c r="I1746" s="23">
        <v>279799</v>
      </c>
      <c r="J1746" s="23"/>
      <c r="K1746" s="23">
        <f t="shared" si="612"/>
        <v>279799</v>
      </c>
      <c r="M1746" s="23"/>
      <c r="N1746" s="23"/>
      <c r="O1746" s="86">
        <f t="shared" si="613"/>
        <v>0</v>
      </c>
      <c r="Q1746" s="293">
        <f t="shared" ref="Q1746:Q1778" si="638">I1746+M1746</f>
        <v>279799</v>
      </c>
      <c r="R1746" s="23">
        <f t="shared" ref="R1746:S1762" si="639">J1746+N1746</f>
        <v>0</v>
      </c>
      <c r="S1746" s="86">
        <f t="shared" si="639"/>
        <v>279799</v>
      </c>
    </row>
    <row r="1747" spans="2:19" x14ac:dyDescent="0.2">
      <c r="B1747" s="83">
        <f t="shared" si="637"/>
        <v>67</v>
      </c>
      <c r="C1747" s="7"/>
      <c r="D1747" s="7"/>
      <c r="E1747" s="7"/>
      <c r="F1747" s="25" t="s">
        <v>85</v>
      </c>
      <c r="G1747" s="7">
        <v>620</v>
      </c>
      <c r="H1747" s="7" t="s">
        <v>136</v>
      </c>
      <c r="I1747" s="23">
        <v>101730</v>
      </c>
      <c r="J1747" s="23"/>
      <c r="K1747" s="23">
        <f t="shared" ref="K1747:K1811" si="640">I1747+J1747</f>
        <v>101730</v>
      </c>
      <c r="M1747" s="23"/>
      <c r="N1747" s="23"/>
      <c r="O1747" s="86">
        <f t="shared" ref="O1747:O1811" si="641">M1747+N1747</f>
        <v>0</v>
      </c>
      <c r="Q1747" s="293">
        <f t="shared" si="638"/>
        <v>101730</v>
      </c>
      <c r="R1747" s="23">
        <f t="shared" si="639"/>
        <v>0</v>
      </c>
      <c r="S1747" s="86">
        <f t="shared" si="639"/>
        <v>101730</v>
      </c>
    </row>
    <row r="1748" spans="2:19" x14ac:dyDescent="0.2">
      <c r="B1748" s="83">
        <f t="shared" si="637"/>
        <v>68</v>
      </c>
      <c r="C1748" s="7"/>
      <c r="D1748" s="7"/>
      <c r="E1748" s="7"/>
      <c r="F1748" s="25" t="s">
        <v>85</v>
      </c>
      <c r="G1748" s="7">
        <v>630</v>
      </c>
      <c r="H1748" s="7" t="s">
        <v>133</v>
      </c>
      <c r="I1748" s="23">
        <f>I1754+I1753+I1752+I1751+I1750+I1749</f>
        <v>206093</v>
      </c>
      <c r="J1748" s="23">
        <f t="shared" ref="J1748" si="642">J1754+J1753+J1752+J1751+J1750+J1749</f>
        <v>770</v>
      </c>
      <c r="K1748" s="23">
        <f t="shared" si="640"/>
        <v>206863</v>
      </c>
      <c r="M1748" s="23"/>
      <c r="N1748" s="23"/>
      <c r="O1748" s="86">
        <f t="shared" si="641"/>
        <v>0</v>
      </c>
      <c r="Q1748" s="293">
        <f t="shared" si="638"/>
        <v>206093</v>
      </c>
      <c r="R1748" s="23">
        <f t="shared" si="639"/>
        <v>770</v>
      </c>
      <c r="S1748" s="86">
        <f t="shared" si="639"/>
        <v>206863</v>
      </c>
    </row>
    <row r="1749" spans="2:19" x14ac:dyDescent="0.2">
      <c r="B1749" s="83">
        <f t="shared" si="637"/>
        <v>69</v>
      </c>
      <c r="C1749" s="3"/>
      <c r="D1749" s="3"/>
      <c r="E1749" s="3"/>
      <c r="F1749" s="26" t="s">
        <v>85</v>
      </c>
      <c r="G1749" s="3">
        <v>631</v>
      </c>
      <c r="H1749" s="3" t="s">
        <v>139</v>
      </c>
      <c r="I1749" s="19">
        <v>200</v>
      </c>
      <c r="J1749" s="19"/>
      <c r="K1749" s="19">
        <f t="shared" si="640"/>
        <v>200</v>
      </c>
      <c r="M1749" s="19"/>
      <c r="N1749" s="19"/>
      <c r="O1749" s="87">
        <f t="shared" si="641"/>
        <v>0</v>
      </c>
      <c r="Q1749" s="294">
        <f t="shared" si="638"/>
        <v>200</v>
      </c>
      <c r="R1749" s="19">
        <f t="shared" si="639"/>
        <v>0</v>
      </c>
      <c r="S1749" s="87">
        <f t="shared" si="639"/>
        <v>200</v>
      </c>
    </row>
    <row r="1750" spans="2:19" x14ac:dyDescent="0.2">
      <c r="B1750" s="83">
        <f t="shared" si="637"/>
        <v>70</v>
      </c>
      <c r="C1750" s="3"/>
      <c r="D1750" s="3"/>
      <c r="E1750" s="3"/>
      <c r="F1750" s="26" t="s">
        <v>85</v>
      </c>
      <c r="G1750" s="3">
        <v>632</v>
      </c>
      <c r="H1750" s="3" t="s">
        <v>146</v>
      </c>
      <c r="I1750" s="19">
        <v>55750</v>
      </c>
      <c r="J1750" s="19"/>
      <c r="K1750" s="19">
        <f t="shared" si="640"/>
        <v>55750</v>
      </c>
      <c r="M1750" s="19"/>
      <c r="N1750" s="19"/>
      <c r="O1750" s="87">
        <f t="shared" si="641"/>
        <v>0</v>
      </c>
      <c r="Q1750" s="294">
        <f t="shared" si="638"/>
        <v>55750</v>
      </c>
      <c r="R1750" s="19">
        <f t="shared" si="639"/>
        <v>0</v>
      </c>
      <c r="S1750" s="87">
        <f t="shared" si="639"/>
        <v>55750</v>
      </c>
    </row>
    <row r="1751" spans="2:19" x14ac:dyDescent="0.2">
      <c r="B1751" s="83">
        <f t="shared" si="637"/>
        <v>71</v>
      </c>
      <c r="C1751" s="3"/>
      <c r="D1751" s="3"/>
      <c r="E1751" s="3"/>
      <c r="F1751" s="26" t="s">
        <v>85</v>
      </c>
      <c r="G1751" s="3">
        <v>633</v>
      </c>
      <c r="H1751" s="3" t="s">
        <v>137</v>
      </c>
      <c r="I1751" s="19">
        <v>21472</v>
      </c>
      <c r="J1751" s="19">
        <v>770</v>
      </c>
      <c r="K1751" s="19">
        <f t="shared" si="640"/>
        <v>22242</v>
      </c>
      <c r="M1751" s="19"/>
      <c r="N1751" s="19"/>
      <c r="O1751" s="87">
        <f t="shared" si="641"/>
        <v>0</v>
      </c>
      <c r="Q1751" s="294">
        <f t="shared" si="638"/>
        <v>21472</v>
      </c>
      <c r="R1751" s="19">
        <f t="shared" si="639"/>
        <v>770</v>
      </c>
      <c r="S1751" s="87">
        <f t="shared" si="639"/>
        <v>22242</v>
      </c>
    </row>
    <row r="1752" spans="2:19" x14ac:dyDescent="0.2">
      <c r="B1752" s="83">
        <f t="shared" si="637"/>
        <v>72</v>
      </c>
      <c r="C1752" s="3"/>
      <c r="D1752" s="3"/>
      <c r="E1752" s="3"/>
      <c r="F1752" s="26" t="s">
        <v>85</v>
      </c>
      <c r="G1752" s="3">
        <v>634</v>
      </c>
      <c r="H1752" s="3" t="s">
        <v>144</v>
      </c>
      <c r="I1752" s="19">
        <v>2350</v>
      </c>
      <c r="J1752" s="19"/>
      <c r="K1752" s="19">
        <f t="shared" si="640"/>
        <v>2350</v>
      </c>
      <c r="M1752" s="19"/>
      <c r="N1752" s="19"/>
      <c r="O1752" s="87">
        <f t="shared" si="641"/>
        <v>0</v>
      </c>
      <c r="Q1752" s="294">
        <f t="shared" si="638"/>
        <v>2350</v>
      </c>
      <c r="R1752" s="19">
        <f t="shared" si="639"/>
        <v>0</v>
      </c>
      <c r="S1752" s="87">
        <f t="shared" si="639"/>
        <v>2350</v>
      </c>
    </row>
    <row r="1753" spans="2:19" x14ac:dyDescent="0.2">
      <c r="B1753" s="83">
        <f t="shared" si="637"/>
        <v>73</v>
      </c>
      <c r="C1753" s="3"/>
      <c r="D1753" s="3"/>
      <c r="E1753" s="3"/>
      <c r="F1753" s="26" t="s">
        <v>85</v>
      </c>
      <c r="G1753" s="3">
        <v>635</v>
      </c>
      <c r="H1753" s="3" t="s">
        <v>145</v>
      </c>
      <c r="I1753" s="19">
        <v>22274</v>
      </c>
      <c r="J1753" s="19"/>
      <c r="K1753" s="19">
        <f t="shared" si="640"/>
        <v>22274</v>
      </c>
      <c r="M1753" s="19"/>
      <c r="N1753" s="19"/>
      <c r="O1753" s="87">
        <f t="shared" si="641"/>
        <v>0</v>
      </c>
      <c r="Q1753" s="294">
        <f t="shared" si="638"/>
        <v>22274</v>
      </c>
      <c r="R1753" s="19">
        <f t="shared" si="639"/>
        <v>0</v>
      </c>
      <c r="S1753" s="87">
        <f t="shared" si="639"/>
        <v>22274</v>
      </c>
    </row>
    <row r="1754" spans="2:19" x14ac:dyDescent="0.2">
      <c r="B1754" s="83">
        <f t="shared" si="637"/>
        <v>74</v>
      </c>
      <c r="C1754" s="3"/>
      <c r="D1754" s="3"/>
      <c r="E1754" s="3"/>
      <c r="F1754" s="26" t="s">
        <v>85</v>
      </c>
      <c r="G1754" s="3">
        <v>637</v>
      </c>
      <c r="H1754" s="3" t="s">
        <v>134</v>
      </c>
      <c r="I1754" s="19">
        <v>104047</v>
      </c>
      <c r="J1754" s="19"/>
      <c r="K1754" s="19">
        <f t="shared" si="640"/>
        <v>104047</v>
      </c>
      <c r="M1754" s="19"/>
      <c r="N1754" s="19"/>
      <c r="O1754" s="87">
        <f t="shared" si="641"/>
        <v>0</v>
      </c>
      <c r="Q1754" s="294">
        <f t="shared" si="638"/>
        <v>104047</v>
      </c>
      <c r="R1754" s="19">
        <f t="shared" si="639"/>
        <v>0</v>
      </c>
      <c r="S1754" s="87">
        <f t="shared" si="639"/>
        <v>104047</v>
      </c>
    </row>
    <row r="1755" spans="2:19" x14ac:dyDescent="0.2">
      <c r="B1755" s="83">
        <f t="shared" si="637"/>
        <v>75</v>
      </c>
      <c r="C1755" s="3"/>
      <c r="D1755" s="3"/>
      <c r="E1755" s="136"/>
      <c r="F1755" s="25" t="s">
        <v>83</v>
      </c>
      <c r="G1755" s="7">
        <v>640</v>
      </c>
      <c r="H1755" s="7" t="s">
        <v>141</v>
      </c>
      <c r="I1755" s="23">
        <v>0</v>
      </c>
      <c r="J1755" s="23"/>
      <c r="K1755" s="23">
        <f t="shared" si="640"/>
        <v>0</v>
      </c>
      <c r="M1755" s="23"/>
      <c r="N1755" s="23"/>
      <c r="O1755" s="86">
        <f t="shared" si="641"/>
        <v>0</v>
      </c>
      <c r="Q1755" s="293">
        <f t="shared" si="638"/>
        <v>0</v>
      </c>
      <c r="R1755" s="23">
        <f t="shared" si="639"/>
        <v>0</v>
      </c>
      <c r="S1755" s="86">
        <f t="shared" si="639"/>
        <v>0</v>
      </c>
    </row>
    <row r="1756" spans="2:19" ht="15" x14ac:dyDescent="0.25">
      <c r="B1756" s="83">
        <f t="shared" si="637"/>
        <v>76</v>
      </c>
      <c r="C1756" s="267"/>
      <c r="D1756" s="267">
        <v>3</v>
      </c>
      <c r="E1756" s="368" t="s">
        <v>7</v>
      </c>
      <c r="F1756" s="361"/>
      <c r="G1756" s="361"/>
      <c r="H1756" s="362"/>
      <c r="I1756" s="37">
        <f>I1757+I1762</f>
        <v>23715</v>
      </c>
      <c r="J1756" s="37">
        <f t="shared" ref="J1756" si="643">J1757+J1762</f>
        <v>0</v>
      </c>
      <c r="K1756" s="37">
        <f t="shared" si="640"/>
        <v>23715</v>
      </c>
      <c r="M1756" s="37">
        <v>0</v>
      </c>
      <c r="N1756" s="37">
        <v>0</v>
      </c>
      <c r="O1756" s="85">
        <f t="shared" si="641"/>
        <v>0</v>
      </c>
      <c r="Q1756" s="292">
        <f t="shared" si="638"/>
        <v>23715</v>
      </c>
      <c r="R1756" s="37">
        <f t="shared" si="639"/>
        <v>0</v>
      </c>
      <c r="S1756" s="85">
        <f t="shared" si="639"/>
        <v>23715</v>
      </c>
    </row>
    <row r="1757" spans="2:19" x14ac:dyDescent="0.2">
      <c r="B1757" s="83">
        <f t="shared" si="637"/>
        <v>77</v>
      </c>
      <c r="C1757" s="7"/>
      <c r="D1757" s="7"/>
      <c r="E1757" s="7"/>
      <c r="F1757" s="25" t="s">
        <v>85</v>
      </c>
      <c r="G1757" s="7">
        <v>630</v>
      </c>
      <c r="H1757" s="7" t="s">
        <v>133</v>
      </c>
      <c r="I1757" s="23">
        <f>SUM(I1758:I1761)</f>
        <v>21565</v>
      </c>
      <c r="J1757" s="23">
        <f t="shared" ref="J1757" si="644">SUM(J1758:J1761)</f>
        <v>0</v>
      </c>
      <c r="K1757" s="23">
        <f t="shared" si="640"/>
        <v>21565</v>
      </c>
      <c r="M1757" s="23"/>
      <c r="N1757" s="23"/>
      <c r="O1757" s="86">
        <f t="shared" si="641"/>
        <v>0</v>
      </c>
      <c r="Q1757" s="293">
        <f t="shared" si="638"/>
        <v>21565</v>
      </c>
      <c r="R1757" s="23">
        <f t="shared" si="639"/>
        <v>0</v>
      </c>
      <c r="S1757" s="86">
        <f t="shared" si="639"/>
        <v>21565</v>
      </c>
    </row>
    <row r="1758" spans="2:19" x14ac:dyDescent="0.2">
      <c r="B1758" s="83">
        <f t="shared" si="637"/>
        <v>78</v>
      </c>
      <c r="C1758" s="7"/>
      <c r="D1758" s="7"/>
      <c r="E1758" s="7"/>
      <c r="F1758" s="26" t="s">
        <v>85</v>
      </c>
      <c r="G1758" s="3">
        <v>632</v>
      </c>
      <c r="H1758" s="3" t="s">
        <v>146</v>
      </c>
      <c r="I1758" s="20">
        <f>16850-110</f>
        <v>16740</v>
      </c>
      <c r="J1758" s="20"/>
      <c r="K1758" s="20">
        <f t="shared" si="640"/>
        <v>16740</v>
      </c>
      <c r="M1758" s="23"/>
      <c r="N1758" s="23"/>
      <c r="O1758" s="86">
        <f t="shared" si="641"/>
        <v>0</v>
      </c>
      <c r="Q1758" s="310">
        <f t="shared" si="638"/>
        <v>16740</v>
      </c>
      <c r="R1758" s="20">
        <f t="shared" si="639"/>
        <v>0</v>
      </c>
      <c r="S1758" s="124">
        <f t="shared" si="639"/>
        <v>16740</v>
      </c>
    </row>
    <row r="1759" spans="2:19" x14ac:dyDescent="0.2">
      <c r="B1759" s="83">
        <f t="shared" si="637"/>
        <v>79</v>
      </c>
      <c r="C1759" s="3"/>
      <c r="D1759" s="3"/>
      <c r="E1759" s="3"/>
      <c r="F1759" s="26" t="s">
        <v>85</v>
      </c>
      <c r="G1759" s="3">
        <v>633</v>
      </c>
      <c r="H1759" s="3" t="s">
        <v>137</v>
      </c>
      <c r="I1759" s="19">
        <f>1000+200-100</f>
        <v>1100</v>
      </c>
      <c r="J1759" s="19"/>
      <c r="K1759" s="19">
        <f t="shared" si="640"/>
        <v>1100</v>
      </c>
      <c r="M1759" s="19"/>
      <c r="N1759" s="19"/>
      <c r="O1759" s="87">
        <f t="shared" si="641"/>
        <v>0</v>
      </c>
      <c r="Q1759" s="294">
        <f t="shared" si="638"/>
        <v>1100</v>
      </c>
      <c r="R1759" s="19">
        <f t="shared" si="639"/>
        <v>0</v>
      </c>
      <c r="S1759" s="87">
        <f t="shared" si="639"/>
        <v>1100</v>
      </c>
    </row>
    <row r="1760" spans="2:19" x14ac:dyDescent="0.2">
      <c r="B1760" s="83">
        <f t="shared" si="637"/>
        <v>80</v>
      </c>
      <c r="C1760" s="3"/>
      <c r="D1760" s="3"/>
      <c r="E1760" s="3"/>
      <c r="F1760" s="26" t="s">
        <v>85</v>
      </c>
      <c r="G1760" s="3">
        <v>635</v>
      </c>
      <c r="H1760" s="3" t="s">
        <v>145</v>
      </c>
      <c r="I1760" s="19">
        <f>1200+2100-200</f>
        <v>3100</v>
      </c>
      <c r="J1760" s="19"/>
      <c r="K1760" s="19">
        <f t="shared" si="640"/>
        <v>3100</v>
      </c>
      <c r="M1760" s="19"/>
      <c r="N1760" s="19"/>
      <c r="O1760" s="87">
        <f t="shared" si="641"/>
        <v>0</v>
      </c>
      <c r="Q1760" s="294">
        <f t="shared" si="638"/>
        <v>3100</v>
      </c>
      <c r="R1760" s="19">
        <f t="shared" si="639"/>
        <v>0</v>
      </c>
      <c r="S1760" s="87">
        <f t="shared" si="639"/>
        <v>3100</v>
      </c>
    </row>
    <row r="1761" spans="2:19" x14ac:dyDescent="0.2">
      <c r="B1761" s="83">
        <f t="shared" si="637"/>
        <v>81</v>
      </c>
      <c r="C1761" s="3"/>
      <c r="D1761" s="3"/>
      <c r="E1761" s="3"/>
      <c r="F1761" s="26" t="s">
        <v>85</v>
      </c>
      <c r="G1761" s="3">
        <v>637</v>
      </c>
      <c r="H1761" s="3" t="s">
        <v>134</v>
      </c>
      <c r="I1761" s="19">
        <f>325+400-100</f>
        <v>625</v>
      </c>
      <c r="J1761" s="19"/>
      <c r="K1761" s="19">
        <f t="shared" si="640"/>
        <v>625</v>
      </c>
      <c r="M1761" s="19"/>
      <c r="N1761" s="19"/>
      <c r="O1761" s="87">
        <f t="shared" si="641"/>
        <v>0</v>
      </c>
      <c r="Q1761" s="294">
        <f t="shared" si="638"/>
        <v>625</v>
      </c>
      <c r="R1761" s="19">
        <f t="shared" si="639"/>
        <v>0</v>
      </c>
      <c r="S1761" s="87">
        <f t="shared" si="639"/>
        <v>625</v>
      </c>
    </row>
    <row r="1762" spans="2:19" ht="15" x14ac:dyDescent="0.25">
      <c r="B1762" s="83">
        <f t="shared" ref="B1762:B1810" si="645">B1761+1</f>
        <v>82</v>
      </c>
      <c r="C1762" s="10"/>
      <c r="D1762" s="10"/>
      <c r="E1762" s="10">
        <v>2</v>
      </c>
      <c r="F1762" s="28"/>
      <c r="G1762" s="10"/>
      <c r="H1762" s="10" t="s">
        <v>415</v>
      </c>
      <c r="I1762" s="38">
        <f>I1763</f>
        <v>2150</v>
      </c>
      <c r="J1762" s="38">
        <f t="shared" ref="J1762:J1763" si="646">J1763</f>
        <v>0</v>
      </c>
      <c r="K1762" s="38">
        <f t="shared" si="640"/>
        <v>2150</v>
      </c>
      <c r="M1762" s="38">
        <v>0</v>
      </c>
      <c r="N1762" s="38">
        <v>0</v>
      </c>
      <c r="O1762" s="94">
        <f t="shared" si="641"/>
        <v>0</v>
      </c>
      <c r="Q1762" s="307">
        <f t="shared" si="638"/>
        <v>2150</v>
      </c>
      <c r="R1762" s="38">
        <f t="shared" si="639"/>
        <v>0</v>
      </c>
      <c r="S1762" s="94">
        <f t="shared" si="639"/>
        <v>2150</v>
      </c>
    </row>
    <row r="1763" spans="2:19" x14ac:dyDescent="0.2">
      <c r="B1763" s="83">
        <f t="shared" si="645"/>
        <v>83</v>
      </c>
      <c r="C1763" s="7"/>
      <c r="D1763" s="7"/>
      <c r="E1763" s="7"/>
      <c r="F1763" s="25" t="s">
        <v>85</v>
      </c>
      <c r="G1763" s="7">
        <v>630</v>
      </c>
      <c r="H1763" s="7" t="s">
        <v>133</v>
      </c>
      <c r="I1763" s="23">
        <f>I1764</f>
        <v>2150</v>
      </c>
      <c r="J1763" s="23">
        <f t="shared" si="646"/>
        <v>0</v>
      </c>
      <c r="K1763" s="23">
        <f t="shared" si="640"/>
        <v>2150</v>
      </c>
      <c r="M1763" s="23"/>
      <c r="N1763" s="23"/>
      <c r="O1763" s="86">
        <f t="shared" si="641"/>
        <v>0</v>
      </c>
      <c r="Q1763" s="293">
        <f t="shared" si="638"/>
        <v>2150</v>
      </c>
      <c r="R1763" s="23">
        <f t="shared" ref="R1763:S1778" si="647">J1763+N1763</f>
        <v>0</v>
      </c>
      <c r="S1763" s="86">
        <f t="shared" si="647"/>
        <v>2150</v>
      </c>
    </row>
    <row r="1764" spans="2:19" x14ac:dyDescent="0.2">
      <c r="B1764" s="83">
        <f t="shared" si="645"/>
        <v>84</v>
      </c>
      <c r="C1764" s="3"/>
      <c r="D1764" s="3"/>
      <c r="E1764" s="3"/>
      <c r="F1764" s="26" t="s">
        <v>85</v>
      </c>
      <c r="G1764" s="3">
        <v>632</v>
      </c>
      <c r="H1764" s="3" t="s">
        <v>146</v>
      </c>
      <c r="I1764" s="19">
        <v>2150</v>
      </c>
      <c r="J1764" s="19"/>
      <c r="K1764" s="19">
        <f t="shared" si="640"/>
        <v>2150</v>
      </c>
      <c r="M1764" s="19"/>
      <c r="N1764" s="19"/>
      <c r="O1764" s="87">
        <f t="shared" si="641"/>
        <v>0</v>
      </c>
      <c r="Q1764" s="294">
        <f t="shared" si="638"/>
        <v>2150</v>
      </c>
      <c r="R1764" s="19">
        <f t="shared" si="647"/>
        <v>0</v>
      </c>
      <c r="S1764" s="87">
        <f t="shared" si="647"/>
        <v>2150</v>
      </c>
    </row>
    <row r="1765" spans="2:19" ht="15" x14ac:dyDescent="0.2">
      <c r="B1765" s="83">
        <f t="shared" si="645"/>
        <v>85</v>
      </c>
      <c r="C1765" s="268">
        <v>6</v>
      </c>
      <c r="D1765" s="360" t="s">
        <v>244</v>
      </c>
      <c r="E1765" s="361"/>
      <c r="F1765" s="361"/>
      <c r="G1765" s="361"/>
      <c r="H1765" s="362"/>
      <c r="I1765" s="36">
        <f>I1766+I1767+I1769+I1771</f>
        <v>1335537</v>
      </c>
      <c r="J1765" s="36">
        <f t="shared" ref="J1765" si="648">J1766+J1767+J1769+J1771</f>
        <v>1530</v>
      </c>
      <c r="K1765" s="36">
        <f t="shared" si="640"/>
        <v>1337067</v>
      </c>
      <c r="M1765" s="36">
        <f>M1771</f>
        <v>7000</v>
      </c>
      <c r="N1765" s="36">
        <f t="shared" ref="N1765" si="649">N1771</f>
        <v>0</v>
      </c>
      <c r="O1765" s="84">
        <f t="shared" si="641"/>
        <v>7000</v>
      </c>
      <c r="Q1765" s="291">
        <f t="shared" si="638"/>
        <v>1342537</v>
      </c>
      <c r="R1765" s="36">
        <f t="shared" si="647"/>
        <v>1530</v>
      </c>
      <c r="S1765" s="84">
        <f t="shared" si="647"/>
        <v>1344067</v>
      </c>
    </row>
    <row r="1766" spans="2:19" x14ac:dyDescent="0.2">
      <c r="B1766" s="83">
        <f t="shared" si="645"/>
        <v>86</v>
      </c>
      <c r="C1766" s="7"/>
      <c r="D1766" s="7"/>
      <c r="E1766" s="7"/>
      <c r="F1766" s="25" t="s">
        <v>85</v>
      </c>
      <c r="G1766" s="7">
        <v>620</v>
      </c>
      <c r="H1766" s="7" t="s">
        <v>136</v>
      </c>
      <c r="I1766" s="23">
        <v>600</v>
      </c>
      <c r="J1766" s="23"/>
      <c r="K1766" s="23">
        <f t="shared" si="640"/>
        <v>600</v>
      </c>
      <c r="M1766" s="23"/>
      <c r="N1766" s="23"/>
      <c r="O1766" s="86">
        <f t="shared" si="641"/>
        <v>0</v>
      </c>
      <c r="Q1766" s="293">
        <f t="shared" si="638"/>
        <v>600</v>
      </c>
      <c r="R1766" s="23">
        <f t="shared" si="647"/>
        <v>0</v>
      </c>
      <c r="S1766" s="86">
        <f t="shared" si="647"/>
        <v>600</v>
      </c>
    </row>
    <row r="1767" spans="2:19" x14ac:dyDescent="0.2">
      <c r="B1767" s="83">
        <f t="shared" si="645"/>
        <v>87</v>
      </c>
      <c r="C1767" s="7"/>
      <c r="D1767" s="7"/>
      <c r="E1767" s="7"/>
      <c r="F1767" s="25" t="s">
        <v>85</v>
      </c>
      <c r="G1767" s="7">
        <v>630</v>
      </c>
      <c r="H1767" s="7" t="s">
        <v>133</v>
      </c>
      <c r="I1767" s="23">
        <f>I1768</f>
        <v>3000</v>
      </c>
      <c r="J1767" s="23">
        <f t="shared" ref="J1767" si="650">J1768</f>
        <v>0</v>
      </c>
      <c r="K1767" s="23">
        <f t="shared" si="640"/>
        <v>3000</v>
      </c>
      <c r="M1767" s="23"/>
      <c r="N1767" s="23"/>
      <c r="O1767" s="86">
        <f t="shared" si="641"/>
        <v>0</v>
      </c>
      <c r="Q1767" s="293">
        <f t="shared" si="638"/>
        <v>3000</v>
      </c>
      <c r="R1767" s="23">
        <f t="shared" si="647"/>
        <v>0</v>
      </c>
      <c r="S1767" s="86">
        <f t="shared" si="647"/>
        <v>3000</v>
      </c>
    </row>
    <row r="1768" spans="2:19" x14ac:dyDescent="0.2">
      <c r="B1768" s="83">
        <f t="shared" si="645"/>
        <v>88</v>
      </c>
      <c r="C1768" s="3"/>
      <c r="D1768" s="3"/>
      <c r="E1768" s="3"/>
      <c r="F1768" s="26" t="s">
        <v>85</v>
      </c>
      <c r="G1768" s="3">
        <v>637</v>
      </c>
      <c r="H1768" s="3" t="s">
        <v>134</v>
      </c>
      <c r="I1768" s="19">
        <v>3000</v>
      </c>
      <c r="J1768" s="19"/>
      <c r="K1768" s="19">
        <f t="shared" si="640"/>
        <v>3000</v>
      </c>
      <c r="M1768" s="19"/>
      <c r="N1768" s="19"/>
      <c r="O1768" s="87">
        <f t="shared" si="641"/>
        <v>0</v>
      </c>
      <c r="Q1768" s="294">
        <f t="shared" si="638"/>
        <v>3000</v>
      </c>
      <c r="R1768" s="19">
        <f t="shared" si="647"/>
        <v>0</v>
      </c>
      <c r="S1768" s="87">
        <f t="shared" si="647"/>
        <v>3000</v>
      </c>
    </row>
    <row r="1769" spans="2:19" x14ac:dyDescent="0.2">
      <c r="B1769" s="83">
        <f t="shared" si="645"/>
        <v>89</v>
      </c>
      <c r="C1769" s="7"/>
      <c r="D1769" s="7"/>
      <c r="E1769" s="7"/>
      <c r="F1769" s="25" t="s">
        <v>85</v>
      </c>
      <c r="G1769" s="7">
        <v>640</v>
      </c>
      <c r="H1769" s="7" t="s">
        <v>141</v>
      </c>
      <c r="I1769" s="23">
        <f>I1770</f>
        <v>16500</v>
      </c>
      <c r="J1769" s="23">
        <f t="shared" ref="J1769" si="651">J1770</f>
        <v>0</v>
      </c>
      <c r="K1769" s="23">
        <f t="shared" si="640"/>
        <v>16500</v>
      </c>
      <c r="M1769" s="23"/>
      <c r="N1769" s="23"/>
      <c r="O1769" s="86">
        <f t="shared" si="641"/>
        <v>0</v>
      </c>
      <c r="Q1769" s="293">
        <f t="shared" si="638"/>
        <v>16500</v>
      </c>
      <c r="R1769" s="23">
        <f t="shared" si="647"/>
        <v>0</v>
      </c>
      <c r="S1769" s="86">
        <f t="shared" si="647"/>
        <v>16500</v>
      </c>
    </row>
    <row r="1770" spans="2:19" x14ac:dyDescent="0.2">
      <c r="B1770" s="83">
        <f t="shared" si="645"/>
        <v>90</v>
      </c>
      <c r="C1770" s="3"/>
      <c r="D1770" s="3"/>
      <c r="E1770" s="3"/>
      <c r="F1770" s="26" t="s">
        <v>85</v>
      </c>
      <c r="G1770" s="3">
        <v>642</v>
      </c>
      <c r="H1770" s="3" t="s">
        <v>142</v>
      </c>
      <c r="I1770" s="19">
        <v>16500</v>
      </c>
      <c r="J1770" s="19"/>
      <c r="K1770" s="19">
        <f t="shared" si="640"/>
        <v>16500</v>
      </c>
      <c r="M1770" s="19"/>
      <c r="N1770" s="19"/>
      <c r="O1770" s="87">
        <f t="shared" si="641"/>
        <v>0</v>
      </c>
      <c r="Q1770" s="294">
        <f t="shared" si="638"/>
        <v>16500</v>
      </c>
      <c r="R1770" s="19">
        <f t="shared" si="647"/>
        <v>0</v>
      </c>
      <c r="S1770" s="87">
        <f t="shared" si="647"/>
        <v>16500</v>
      </c>
    </row>
    <row r="1771" spans="2:19" ht="15" x14ac:dyDescent="0.25">
      <c r="B1771" s="83">
        <f t="shared" si="645"/>
        <v>91</v>
      </c>
      <c r="C1771" s="10"/>
      <c r="D1771" s="10"/>
      <c r="E1771" s="10">
        <v>5</v>
      </c>
      <c r="F1771" s="28"/>
      <c r="G1771" s="10"/>
      <c r="H1771" s="10" t="s">
        <v>116</v>
      </c>
      <c r="I1771" s="38">
        <f>I1772+I1773+I1774+I1781+I1782</f>
        <v>1315437</v>
      </c>
      <c r="J1771" s="38">
        <f t="shared" ref="J1771" si="652">J1772+J1773+J1774+J1781+J1782</f>
        <v>1530</v>
      </c>
      <c r="K1771" s="38">
        <f t="shared" si="640"/>
        <v>1316967</v>
      </c>
      <c r="M1771" s="38">
        <f>M1782</f>
        <v>7000</v>
      </c>
      <c r="N1771" s="38">
        <f t="shared" ref="N1771" si="653">N1782</f>
        <v>0</v>
      </c>
      <c r="O1771" s="94">
        <f t="shared" si="641"/>
        <v>7000</v>
      </c>
      <c r="Q1771" s="307">
        <f t="shared" si="638"/>
        <v>1322437</v>
      </c>
      <c r="R1771" s="38">
        <f t="shared" si="647"/>
        <v>1530</v>
      </c>
      <c r="S1771" s="94">
        <f t="shared" si="647"/>
        <v>1323967</v>
      </c>
    </row>
    <row r="1772" spans="2:19" x14ac:dyDescent="0.2">
      <c r="B1772" s="83">
        <f t="shared" si="645"/>
        <v>92</v>
      </c>
      <c r="C1772" s="7"/>
      <c r="D1772" s="7"/>
      <c r="E1772" s="7"/>
      <c r="F1772" s="25" t="s">
        <v>84</v>
      </c>
      <c r="G1772" s="7">
        <v>610</v>
      </c>
      <c r="H1772" s="7" t="s">
        <v>143</v>
      </c>
      <c r="I1772" s="23">
        <v>621145</v>
      </c>
      <c r="J1772" s="23"/>
      <c r="K1772" s="23">
        <f t="shared" si="640"/>
        <v>621145</v>
      </c>
      <c r="M1772" s="23"/>
      <c r="N1772" s="23"/>
      <c r="O1772" s="86">
        <f t="shared" si="641"/>
        <v>0</v>
      </c>
      <c r="Q1772" s="293">
        <f t="shared" si="638"/>
        <v>621145</v>
      </c>
      <c r="R1772" s="23">
        <f t="shared" si="647"/>
        <v>0</v>
      </c>
      <c r="S1772" s="86">
        <f t="shared" si="647"/>
        <v>621145</v>
      </c>
    </row>
    <row r="1773" spans="2:19" x14ac:dyDescent="0.2">
      <c r="B1773" s="83">
        <f t="shared" si="645"/>
        <v>93</v>
      </c>
      <c r="C1773" s="7"/>
      <c r="D1773" s="7"/>
      <c r="E1773" s="7"/>
      <c r="F1773" s="25" t="s">
        <v>84</v>
      </c>
      <c r="G1773" s="7">
        <v>620</v>
      </c>
      <c r="H1773" s="7" t="s">
        <v>136</v>
      </c>
      <c r="I1773" s="23">
        <v>222288</v>
      </c>
      <c r="J1773" s="23"/>
      <c r="K1773" s="23">
        <f t="shared" si="640"/>
        <v>222288</v>
      </c>
      <c r="M1773" s="23"/>
      <c r="N1773" s="23"/>
      <c r="O1773" s="86">
        <f t="shared" si="641"/>
        <v>0</v>
      </c>
      <c r="Q1773" s="293">
        <f t="shared" si="638"/>
        <v>222288</v>
      </c>
      <c r="R1773" s="23">
        <f t="shared" si="647"/>
        <v>0</v>
      </c>
      <c r="S1773" s="86">
        <f t="shared" si="647"/>
        <v>222288</v>
      </c>
    </row>
    <row r="1774" spans="2:19" x14ac:dyDescent="0.2">
      <c r="B1774" s="83">
        <f t="shared" si="645"/>
        <v>94</v>
      </c>
      <c r="C1774" s="7"/>
      <c r="D1774" s="7"/>
      <c r="E1774" s="7"/>
      <c r="F1774" s="25" t="s">
        <v>84</v>
      </c>
      <c r="G1774" s="7">
        <v>630</v>
      </c>
      <c r="H1774" s="7" t="s">
        <v>133</v>
      </c>
      <c r="I1774" s="23">
        <f>I1780+I1779+I1778+I1777+I1776+I1775</f>
        <v>470968</v>
      </c>
      <c r="J1774" s="23">
        <f t="shared" ref="J1774" si="654">J1780+J1779+J1778+J1777+J1776+J1775</f>
        <v>1530</v>
      </c>
      <c r="K1774" s="23">
        <f t="shared" si="640"/>
        <v>472498</v>
      </c>
      <c r="M1774" s="23"/>
      <c r="N1774" s="23"/>
      <c r="O1774" s="86">
        <f t="shared" si="641"/>
        <v>0</v>
      </c>
      <c r="Q1774" s="293">
        <f t="shared" si="638"/>
        <v>470968</v>
      </c>
      <c r="R1774" s="23">
        <f t="shared" si="647"/>
        <v>1530</v>
      </c>
      <c r="S1774" s="86">
        <f t="shared" si="647"/>
        <v>472498</v>
      </c>
    </row>
    <row r="1775" spans="2:19" x14ac:dyDescent="0.2">
      <c r="B1775" s="83">
        <f t="shared" si="645"/>
        <v>95</v>
      </c>
      <c r="C1775" s="3"/>
      <c r="D1775" s="3"/>
      <c r="E1775" s="3"/>
      <c r="F1775" s="26" t="s">
        <v>84</v>
      </c>
      <c r="G1775" s="3">
        <v>631</v>
      </c>
      <c r="H1775" s="3" t="s">
        <v>139</v>
      </c>
      <c r="I1775" s="19">
        <v>200</v>
      </c>
      <c r="J1775" s="19"/>
      <c r="K1775" s="19">
        <f t="shared" si="640"/>
        <v>200</v>
      </c>
      <c r="M1775" s="19"/>
      <c r="N1775" s="19"/>
      <c r="O1775" s="87">
        <f t="shared" si="641"/>
        <v>0</v>
      </c>
      <c r="Q1775" s="294">
        <f t="shared" si="638"/>
        <v>200</v>
      </c>
      <c r="R1775" s="19">
        <f t="shared" si="647"/>
        <v>0</v>
      </c>
      <c r="S1775" s="87">
        <f t="shared" si="647"/>
        <v>200</v>
      </c>
    </row>
    <row r="1776" spans="2:19" x14ac:dyDescent="0.2">
      <c r="B1776" s="83">
        <f t="shared" si="645"/>
        <v>96</v>
      </c>
      <c r="C1776" s="3"/>
      <c r="D1776" s="3"/>
      <c r="E1776" s="3"/>
      <c r="F1776" s="26" t="s">
        <v>84</v>
      </c>
      <c r="G1776" s="3">
        <v>632</v>
      </c>
      <c r="H1776" s="3" t="s">
        <v>146</v>
      </c>
      <c r="I1776" s="19">
        <v>93750</v>
      </c>
      <c r="J1776" s="19"/>
      <c r="K1776" s="19">
        <f t="shared" si="640"/>
        <v>93750</v>
      </c>
      <c r="M1776" s="19"/>
      <c r="N1776" s="19"/>
      <c r="O1776" s="87">
        <f t="shared" si="641"/>
        <v>0</v>
      </c>
      <c r="Q1776" s="294">
        <f t="shared" si="638"/>
        <v>93750</v>
      </c>
      <c r="R1776" s="19">
        <f t="shared" si="647"/>
        <v>0</v>
      </c>
      <c r="S1776" s="87">
        <f t="shared" si="647"/>
        <v>93750</v>
      </c>
    </row>
    <row r="1777" spans="2:19" x14ac:dyDescent="0.2">
      <c r="B1777" s="83">
        <f t="shared" si="645"/>
        <v>97</v>
      </c>
      <c r="C1777" s="3"/>
      <c r="D1777" s="3"/>
      <c r="E1777" s="3"/>
      <c r="F1777" s="26" t="s">
        <v>84</v>
      </c>
      <c r="G1777" s="3">
        <v>633</v>
      </c>
      <c r="H1777" s="3" t="s">
        <v>137</v>
      </c>
      <c r="I1777" s="19">
        <v>28450</v>
      </c>
      <c r="J1777" s="19">
        <v>1530</v>
      </c>
      <c r="K1777" s="19">
        <f t="shared" si="640"/>
        <v>29980</v>
      </c>
      <c r="M1777" s="19"/>
      <c r="N1777" s="19"/>
      <c r="O1777" s="87">
        <f t="shared" si="641"/>
        <v>0</v>
      </c>
      <c r="Q1777" s="294">
        <f t="shared" si="638"/>
        <v>28450</v>
      </c>
      <c r="R1777" s="19">
        <f t="shared" si="647"/>
        <v>1530</v>
      </c>
      <c r="S1777" s="87">
        <f t="shared" si="647"/>
        <v>29980</v>
      </c>
    </row>
    <row r="1778" spans="2:19" x14ac:dyDescent="0.2">
      <c r="B1778" s="83">
        <f t="shared" si="645"/>
        <v>98</v>
      </c>
      <c r="C1778" s="3"/>
      <c r="D1778" s="3"/>
      <c r="E1778" s="3"/>
      <c r="F1778" s="26" t="s">
        <v>84</v>
      </c>
      <c r="G1778" s="3">
        <v>634</v>
      </c>
      <c r="H1778" s="3" t="s">
        <v>144</v>
      </c>
      <c r="I1778" s="19">
        <v>1900</v>
      </c>
      <c r="J1778" s="19"/>
      <c r="K1778" s="19">
        <f t="shared" si="640"/>
        <v>1900</v>
      </c>
      <c r="M1778" s="19"/>
      <c r="N1778" s="19"/>
      <c r="O1778" s="87">
        <f t="shared" si="641"/>
        <v>0</v>
      </c>
      <c r="Q1778" s="294">
        <f t="shared" si="638"/>
        <v>1900</v>
      </c>
      <c r="R1778" s="19">
        <f t="shared" si="647"/>
        <v>0</v>
      </c>
      <c r="S1778" s="87">
        <f t="shared" si="647"/>
        <v>1900</v>
      </c>
    </row>
    <row r="1779" spans="2:19" x14ac:dyDescent="0.2">
      <c r="B1779" s="83">
        <f t="shared" si="645"/>
        <v>99</v>
      </c>
      <c r="C1779" s="3"/>
      <c r="D1779" s="3"/>
      <c r="E1779" s="3"/>
      <c r="F1779" s="26" t="s">
        <v>84</v>
      </c>
      <c r="G1779" s="3">
        <v>635</v>
      </c>
      <c r="H1779" s="3" t="s">
        <v>145</v>
      </c>
      <c r="I1779" s="19">
        <v>72750</v>
      </c>
      <c r="J1779" s="19"/>
      <c r="K1779" s="19">
        <f t="shared" si="640"/>
        <v>72750</v>
      </c>
      <c r="M1779" s="19"/>
      <c r="N1779" s="19"/>
      <c r="O1779" s="87">
        <f t="shared" si="641"/>
        <v>0</v>
      </c>
      <c r="Q1779" s="294">
        <f t="shared" ref="Q1779:Q1810" si="655">I1779+M1779</f>
        <v>72750</v>
      </c>
      <c r="R1779" s="19">
        <f t="shared" ref="R1779:S1794" si="656">J1779+N1779</f>
        <v>0</v>
      </c>
      <c r="S1779" s="87">
        <f t="shared" si="656"/>
        <v>72750</v>
      </c>
    </row>
    <row r="1780" spans="2:19" x14ac:dyDescent="0.2">
      <c r="B1780" s="83">
        <f t="shared" si="645"/>
        <v>100</v>
      </c>
      <c r="C1780" s="3"/>
      <c r="D1780" s="3"/>
      <c r="E1780" s="3"/>
      <c r="F1780" s="26" t="s">
        <v>84</v>
      </c>
      <c r="G1780" s="3">
        <v>637</v>
      </c>
      <c r="H1780" s="3" t="s">
        <v>134</v>
      </c>
      <c r="I1780" s="19">
        <v>273918</v>
      </c>
      <c r="J1780" s="19"/>
      <c r="K1780" s="19">
        <f t="shared" si="640"/>
        <v>273918</v>
      </c>
      <c r="M1780" s="19"/>
      <c r="N1780" s="19"/>
      <c r="O1780" s="87">
        <f t="shared" si="641"/>
        <v>0</v>
      </c>
      <c r="Q1780" s="294">
        <f t="shared" si="655"/>
        <v>273918</v>
      </c>
      <c r="R1780" s="19">
        <f t="shared" si="656"/>
        <v>0</v>
      </c>
      <c r="S1780" s="87">
        <f t="shared" si="656"/>
        <v>273918</v>
      </c>
    </row>
    <row r="1781" spans="2:19" x14ac:dyDescent="0.2">
      <c r="B1781" s="83">
        <f t="shared" si="645"/>
        <v>101</v>
      </c>
      <c r="C1781" s="7"/>
      <c r="D1781" s="7"/>
      <c r="E1781" s="7"/>
      <c r="F1781" s="25" t="s">
        <v>84</v>
      </c>
      <c r="G1781" s="7">
        <v>640</v>
      </c>
      <c r="H1781" s="7" t="s">
        <v>141</v>
      </c>
      <c r="I1781" s="23">
        <v>1036</v>
      </c>
      <c r="J1781" s="23"/>
      <c r="K1781" s="23">
        <f t="shared" si="640"/>
        <v>1036</v>
      </c>
      <c r="M1781" s="23"/>
      <c r="N1781" s="23"/>
      <c r="O1781" s="86">
        <f t="shared" si="641"/>
        <v>0</v>
      </c>
      <c r="Q1781" s="293">
        <f t="shared" si="655"/>
        <v>1036</v>
      </c>
      <c r="R1781" s="23">
        <f t="shared" si="656"/>
        <v>0</v>
      </c>
      <c r="S1781" s="86">
        <f t="shared" si="656"/>
        <v>1036</v>
      </c>
    </row>
    <row r="1782" spans="2:19" x14ac:dyDescent="0.2">
      <c r="B1782" s="83">
        <f t="shared" si="645"/>
        <v>102</v>
      </c>
      <c r="C1782" s="7"/>
      <c r="D1782" s="7"/>
      <c r="E1782" s="7"/>
      <c r="F1782" s="25" t="s">
        <v>84</v>
      </c>
      <c r="G1782" s="7">
        <v>710</v>
      </c>
      <c r="H1782" s="7" t="s">
        <v>188</v>
      </c>
      <c r="I1782" s="23"/>
      <c r="J1782" s="23"/>
      <c r="K1782" s="23">
        <f t="shared" si="640"/>
        <v>0</v>
      </c>
      <c r="M1782" s="23">
        <f>M1783</f>
        <v>7000</v>
      </c>
      <c r="N1782" s="23"/>
      <c r="O1782" s="86">
        <f t="shared" si="641"/>
        <v>7000</v>
      </c>
      <c r="Q1782" s="293">
        <f t="shared" si="655"/>
        <v>7000</v>
      </c>
      <c r="R1782" s="23">
        <f t="shared" si="656"/>
        <v>0</v>
      </c>
      <c r="S1782" s="86">
        <f t="shared" si="656"/>
        <v>7000</v>
      </c>
    </row>
    <row r="1783" spans="2:19" x14ac:dyDescent="0.2">
      <c r="B1783" s="83">
        <f t="shared" si="645"/>
        <v>103</v>
      </c>
      <c r="C1783" s="7"/>
      <c r="D1783" s="7"/>
      <c r="E1783" s="7"/>
      <c r="F1783" s="26" t="s">
        <v>84</v>
      </c>
      <c r="G1783" s="3">
        <v>716</v>
      </c>
      <c r="H1783" s="3" t="s">
        <v>232</v>
      </c>
      <c r="I1783" s="19"/>
      <c r="J1783" s="19"/>
      <c r="K1783" s="19">
        <f t="shared" si="640"/>
        <v>0</v>
      </c>
      <c r="M1783" s="19">
        <f>M1784</f>
        <v>7000</v>
      </c>
      <c r="N1783" s="19">
        <f t="shared" ref="N1783" si="657">N1784</f>
        <v>0</v>
      </c>
      <c r="O1783" s="87">
        <f t="shared" si="641"/>
        <v>7000</v>
      </c>
      <c r="Q1783" s="294">
        <f t="shared" si="655"/>
        <v>7000</v>
      </c>
      <c r="R1783" s="19">
        <f t="shared" si="656"/>
        <v>0</v>
      </c>
      <c r="S1783" s="87">
        <f t="shared" si="656"/>
        <v>7000</v>
      </c>
    </row>
    <row r="1784" spans="2:19" x14ac:dyDescent="0.2">
      <c r="B1784" s="83">
        <f t="shared" si="645"/>
        <v>104</v>
      </c>
      <c r="C1784" s="7"/>
      <c r="D1784" s="7"/>
      <c r="E1784" s="7"/>
      <c r="F1784" s="31"/>
      <c r="G1784" s="4"/>
      <c r="H1784" s="13" t="s">
        <v>514</v>
      </c>
      <c r="I1784" s="21"/>
      <c r="J1784" s="21"/>
      <c r="K1784" s="21">
        <f t="shared" si="640"/>
        <v>0</v>
      </c>
      <c r="M1784" s="21">
        <v>7000</v>
      </c>
      <c r="N1784" s="21"/>
      <c r="O1784" s="88">
        <f t="shared" si="641"/>
        <v>7000</v>
      </c>
      <c r="Q1784" s="308">
        <f t="shared" si="655"/>
        <v>7000</v>
      </c>
      <c r="R1784" s="21">
        <f t="shared" si="656"/>
        <v>0</v>
      </c>
      <c r="S1784" s="88">
        <f t="shared" si="656"/>
        <v>7000</v>
      </c>
    </row>
    <row r="1785" spans="2:19" ht="15" x14ac:dyDescent="0.2">
      <c r="B1785" s="83">
        <f t="shared" si="645"/>
        <v>105</v>
      </c>
      <c r="C1785" s="268">
        <v>7</v>
      </c>
      <c r="D1785" s="360" t="s">
        <v>57</v>
      </c>
      <c r="E1785" s="361"/>
      <c r="F1785" s="361"/>
      <c r="G1785" s="361"/>
      <c r="H1785" s="362"/>
      <c r="I1785" s="36">
        <f>I1786</f>
        <v>714956</v>
      </c>
      <c r="J1785" s="36">
        <f t="shared" ref="J1785" si="658">J1786</f>
        <v>0</v>
      </c>
      <c r="K1785" s="36">
        <f t="shared" si="640"/>
        <v>714956</v>
      </c>
      <c r="M1785" s="36">
        <v>0</v>
      </c>
      <c r="N1785" s="36">
        <v>0</v>
      </c>
      <c r="O1785" s="84">
        <f t="shared" si="641"/>
        <v>0</v>
      </c>
      <c r="Q1785" s="291">
        <f t="shared" si="655"/>
        <v>714956</v>
      </c>
      <c r="R1785" s="36">
        <f t="shared" si="656"/>
        <v>0</v>
      </c>
      <c r="S1785" s="84">
        <f t="shared" si="656"/>
        <v>714956</v>
      </c>
    </row>
    <row r="1786" spans="2:19" ht="15" x14ac:dyDescent="0.25">
      <c r="B1786" s="83">
        <f t="shared" si="645"/>
        <v>106</v>
      </c>
      <c r="C1786" s="10"/>
      <c r="D1786" s="10"/>
      <c r="E1786" s="10">
        <v>5</v>
      </c>
      <c r="F1786" s="28"/>
      <c r="G1786" s="10"/>
      <c r="H1786" s="10" t="s">
        <v>116</v>
      </c>
      <c r="I1786" s="38">
        <f>I1787+I1788+I1789+I1794</f>
        <v>714956</v>
      </c>
      <c r="J1786" s="38">
        <f t="shared" ref="J1786" si="659">J1787+J1788+J1789+J1794</f>
        <v>0</v>
      </c>
      <c r="K1786" s="38">
        <f t="shared" si="640"/>
        <v>714956</v>
      </c>
      <c r="M1786" s="38"/>
      <c r="N1786" s="38"/>
      <c r="O1786" s="94">
        <f t="shared" si="641"/>
        <v>0</v>
      </c>
      <c r="Q1786" s="307">
        <f t="shared" si="655"/>
        <v>714956</v>
      </c>
      <c r="R1786" s="38">
        <f t="shared" si="656"/>
        <v>0</v>
      </c>
      <c r="S1786" s="94">
        <f t="shared" si="656"/>
        <v>714956</v>
      </c>
    </row>
    <row r="1787" spans="2:19" x14ac:dyDescent="0.2">
      <c r="B1787" s="83">
        <f t="shared" si="645"/>
        <v>107</v>
      </c>
      <c r="C1787" s="7"/>
      <c r="D1787" s="7"/>
      <c r="E1787" s="7"/>
      <c r="F1787" s="25" t="s">
        <v>84</v>
      </c>
      <c r="G1787" s="7">
        <v>610</v>
      </c>
      <c r="H1787" s="7" t="s">
        <v>143</v>
      </c>
      <c r="I1787" s="23">
        <v>486013</v>
      </c>
      <c r="J1787" s="23"/>
      <c r="K1787" s="23">
        <f t="shared" si="640"/>
        <v>486013</v>
      </c>
      <c r="M1787" s="23"/>
      <c r="N1787" s="23"/>
      <c r="O1787" s="86">
        <f t="shared" si="641"/>
        <v>0</v>
      </c>
      <c r="Q1787" s="293">
        <f t="shared" si="655"/>
        <v>486013</v>
      </c>
      <c r="R1787" s="23">
        <f t="shared" si="656"/>
        <v>0</v>
      </c>
      <c r="S1787" s="86">
        <f t="shared" si="656"/>
        <v>486013</v>
      </c>
    </row>
    <row r="1788" spans="2:19" x14ac:dyDescent="0.2">
      <c r="B1788" s="83">
        <f t="shared" si="645"/>
        <v>108</v>
      </c>
      <c r="C1788" s="7"/>
      <c r="D1788" s="7"/>
      <c r="E1788" s="7"/>
      <c r="F1788" s="25" t="s">
        <v>84</v>
      </c>
      <c r="G1788" s="7">
        <v>620</v>
      </c>
      <c r="H1788" s="7" t="s">
        <v>136</v>
      </c>
      <c r="I1788" s="23">
        <v>170372</v>
      </c>
      <c r="J1788" s="23"/>
      <c r="K1788" s="23">
        <f t="shared" si="640"/>
        <v>170372</v>
      </c>
      <c r="M1788" s="23"/>
      <c r="N1788" s="23"/>
      <c r="O1788" s="86">
        <f t="shared" si="641"/>
        <v>0</v>
      </c>
      <c r="Q1788" s="293">
        <f t="shared" si="655"/>
        <v>170372</v>
      </c>
      <c r="R1788" s="23">
        <f t="shared" si="656"/>
        <v>0</v>
      </c>
      <c r="S1788" s="86">
        <f t="shared" si="656"/>
        <v>170372</v>
      </c>
    </row>
    <row r="1789" spans="2:19" x14ac:dyDescent="0.2">
      <c r="B1789" s="83">
        <f t="shared" si="645"/>
        <v>109</v>
      </c>
      <c r="C1789" s="7"/>
      <c r="D1789" s="7"/>
      <c r="E1789" s="7"/>
      <c r="F1789" s="25" t="s">
        <v>84</v>
      </c>
      <c r="G1789" s="7">
        <v>630</v>
      </c>
      <c r="H1789" s="7" t="s">
        <v>133</v>
      </c>
      <c r="I1789" s="23">
        <f>SUM(I1790:I1793)</f>
        <v>57401</v>
      </c>
      <c r="J1789" s="23">
        <f t="shared" ref="J1789" si="660">SUM(J1790:J1793)</f>
        <v>0</v>
      </c>
      <c r="K1789" s="23">
        <f t="shared" si="640"/>
        <v>57401</v>
      </c>
      <c r="M1789" s="23"/>
      <c r="N1789" s="23"/>
      <c r="O1789" s="86">
        <f t="shared" si="641"/>
        <v>0</v>
      </c>
      <c r="Q1789" s="293">
        <f t="shared" si="655"/>
        <v>57401</v>
      </c>
      <c r="R1789" s="23">
        <f t="shared" si="656"/>
        <v>0</v>
      </c>
      <c r="S1789" s="86">
        <f t="shared" si="656"/>
        <v>57401</v>
      </c>
    </row>
    <row r="1790" spans="2:19" x14ac:dyDescent="0.2">
      <c r="B1790" s="83">
        <f t="shared" si="645"/>
        <v>110</v>
      </c>
      <c r="C1790" s="3"/>
      <c r="D1790" s="3"/>
      <c r="E1790" s="3"/>
      <c r="F1790" s="26" t="s">
        <v>84</v>
      </c>
      <c r="G1790" s="3">
        <v>632</v>
      </c>
      <c r="H1790" s="3" t="s">
        <v>146</v>
      </c>
      <c r="I1790" s="19">
        <v>720</v>
      </c>
      <c r="J1790" s="19"/>
      <c r="K1790" s="19">
        <f t="shared" si="640"/>
        <v>720</v>
      </c>
      <c r="M1790" s="19"/>
      <c r="N1790" s="19"/>
      <c r="O1790" s="87">
        <f t="shared" si="641"/>
        <v>0</v>
      </c>
      <c r="Q1790" s="294">
        <f t="shared" si="655"/>
        <v>720</v>
      </c>
      <c r="R1790" s="19">
        <f t="shared" si="656"/>
        <v>0</v>
      </c>
      <c r="S1790" s="87">
        <f t="shared" si="656"/>
        <v>720</v>
      </c>
    </row>
    <row r="1791" spans="2:19" x14ac:dyDescent="0.2">
      <c r="B1791" s="83">
        <f t="shared" si="645"/>
        <v>111</v>
      </c>
      <c r="C1791" s="3"/>
      <c r="D1791" s="3"/>
      <c r="E1791" s="3"/>
      <c r="F1791" s="26" t="s">
        <v>84</v>
      </c>
      <c r="G1791" s="3">
        <v>633</v>
      </c>
      <c r="H1791" s="3" t="s">
        <v>137</v>
      </c>
      <c r="I1791" s="19">
        <v>2700</v>
      </c>
      <c r="J1791" s="19"/>
      <c r="K1791" s="19">
        <f t="shared" si="640"/>
        <v>2700</v>
      </c>
      <c r="M1791" s="19"/>
      <c r="N1791" s="19"/>
      <c r="O1791" s="87">
        <f t="shared" si="641"/>
        <v>0</v>
      </c>
      <c r="Q1791" s="294">
        <f t="shared" si="655"/>
        <v>2700</v>
      </c>
      <c r="R1791" s="19">
        <f t="shared" si="656"/>
        <v>0</v>
      </c>
      <c r="S1791" s="87">
        <f t="shared" si="656"/>
        <v>2700</v>
      </c>
    </row>
    <row r="1792" spans="2:19" x14ac:dyDescent="0.2">
      <c r="B1792" s="83">
        <f t="shared" si="645"/>
        <v>112</v>
      </c>
      <c r="C1792" s="3"/>
      <c r="D1792" s="3"/>
      <c r="E1792" s="3"/>
      <c r="F1792" s="26" t="s">
        <v>84</v>
      </c>
      <c r="G1792" s="3">
        <v>634</v>
      </c>
      <c r="H1792" s="3" t="s">
        <v>144</v>
      </c>
      <c r="I1792" s="19">
        <v>4901</v>
      </c>
      <c r="J1792" s="19"/>
      <c r="K1792" s="19">
        <f t="shared" si="640"/>
        <v>4901</v>
      </c>
      <c r="M1792" s="19"/>
      <c r="N1792" s="19"/>
      <c r="O1792" s="87">
        <f t="shared" si="641"/>
        <v>0</v>
      </c>
      <c r="Q1792" s="294">
        <f t="shared" si="655"/>
        <v>4901</v>
      </c>
      <c r="R1792" s="19">
        <f t="shared" si="656"/>
        <v>0</v>
      </c>
      <c r="S1792" s="87">
        <f t="shared" si="656"/>
        <v>4901</v>
      </c>
    </row>
    <row r="1793" spans="2:19" x14ac:dyDescent="0.2">
      <c r="B1793" s="83">
        <f t="shared" si="645"/>
        <v>113</v>
      </c>
      <c r="C1793" s="3"/>
      <c r="D1793" s="3"/>
      <c r="E1793" s="3"/>
      <c r="F1793" s="26" t="s">
        <v>84</v>
      </c>
      <c r="G1793" s="3">
        <v>637</v>
      </c>
      <c r="H1793" s="3" t="s">
        <v>134</v>
      </c>
      <c r="I1793" s="19">
        <v>49080</v>
      </c>
      <c r="J1793" s="19"/>
      <c r="K1793" s="19">
        <f t="shared" si="640"/>
        <v>49080</v>
      </c>
      <c r="M1793" s="19"/>
      <c r="N1793" s="19"/>
      <c r="O1793" s="87">
        <f t="shared" si="641"/>
        <v>0</v>
      </c>
      <c r="Q1793" s="294">
        <f t="shared" si="655"/>
        <v>49080</v>
      </c>
      <c r="R1793" s="19">
        <f t="shared" si="656"/>
        <v>0</v>
      </c>
      <c r="S1793" s="87">
        <f t="shared" si="656"/>
        <v>49080</v>
      </c>
    </row>
    <row r="1794" spans="2:19" x14ac:dyDescent="0.2">
      <c r="B1794" s="83">
        <f t="shared" si="645"/>
        <v>114</v>
      </c>
      <c r="C1794" s="7"/>
      <c r="D1794" s="7"/>
      <c r="E1794" s="7"/>
      <c r="F1794" s="25" t="s">
        <v>84</v>
      </c>
      <c r="G1794" s="7">
        <v>640</v>
      </c>
      <c r="H1794" s="7" t="s">
        <v>141</v>
      </c>
      <c r="I1794" s="23">
        <v>1170</v>
      </c>
      <c r="J1794" s="23"/>
      <c r="K1794" s="23">
        <f t="shared" si="640"/>
        <v>1170</v>
      </c>
      <c r="M1794" s="23"/>
      <c r="N1794" s="23"/>
      <c r="O1794" s="86">
        <f t="shared" si="641"/>
        <v>0</v>
      </c>
      <c r="Q1794" s="293">
        <f t="shared" si="655"/>
        <v>1170</v>
      </c>
      <c r="R1794" s="23">
        <f t="shared" si="656"/>
        <v>0</v>
      </c>
      <c r="S1794" s="86">
        <f t="shared" si="656"/>
        <v>1170</v>
      </c>
    </row>
    <row r="1795" spans="2:19" ht="15" x14ac:dyDescent="0.2">
      <c r="B1795" s="83">
        <f t="shared" si="645"/>
        <v>115</v>
      </c>
      <c r="C1795" s="268">
        <v>8</v>
      </c>
      <c r="D1795" s="360" t="s">
        <v>210</v>
      </c>
      <c r="E1795" s="361"/>
      <c r="F1795" s="361"/>
      <c r="G1795" s="361"/>
      <c r="H1795" s="362"/>
      <c r="I1795" s="36">
        <f>I1796</f>
        <v>4000</v>
      </c>
      <c r="J1795" s="36">
        <f t="shared" ref="J1795:J1796" si="661">J1796</f>
        <v>0</v>
      </c>
      <c r="K1795" s="36">
        <f t="shared" si="640"/>
        <v>4000</v>
      </c>
      <c r="M1795" s="36">
        <v>0</v>
      </c>
      <c r="N1795" s="36">
        <v>0</v>
      </c>
      <c r="O1795" s="84">
        <f t="shared" si="641"/>
        <v>0</v>
      </c>
      <c r="Q1795" s="291">
        <f t="shared" si="655"/>
        <v>4000</v>
      </c>
      <c r="R1795" s="36">
        <f t="shared" ref="R1795:S1810" si="662">J1795+N1795</f>
        <v>0</v>
      </c>
      <c r="S1795" s="84">
        <f t="shared" si="662"/>
        <v>4000</v>
      </c>
    </row>
    <row r="1796" spans="2:19" x14ac:dyDescent="0.2">
      <c r="B1796" s="83">
        <f t="shared" si="645"/>
        <v>116</v>
      </c>
      <c r="C1796" s="7"/>
      <c r="D1796" s="7"/>
      <c r="E1796" s="7"/>
      <c r="F1796" s="25" t="s">
        <v>156</v>
      </c>
      <c r="G1796" s="7">
        <v>630</v>
      </c>
      <c r="H1796" s="7" t="s">
        <v>133</v>
      </c>
      <c r="I1796" s="23">
        <f>I1797</f>
        <v>4000</v>
      </c>
      <c r="J1796" s="23">
        <f t="shared" si="661"/>
        <v>0</v>
      </c>
      <c r="K1796" s="23">
        <f t="shared" si="640"/>
        <v>4000</v>
      </c>
      <c r="M1796" s="23"/>
      <c r="N1796" s="23"/>
      <c r="O1796" s="86">
        <f t="shared" si="641"/>
        <v>0</v>
      </c>
      <c r="Q1796" s="293">
        <f t="shared" si="655"/>
        <v>4000</v>
      </c>
      <c r="R1796" s="23">
        <f t="shared" si="662"/>
        <v>0</v>
      </c>
      <c r="S1796" s="86">
        <f t="shared" si="662"/>
        <v>4000</v>
      </c>
    </row>
    <row r="1797" spans="2:19" x14ac:dyDescent="0.2">
      <c r="B1797" s="83">
        <f t="shared" si="645"/>
        <v>117</v>
      </c>
      <c r="C1797" s="3"/>
      <c r="D1797" s="3"/>
      <c r="E1797" s="3"/>
      <c r="F1797" s="26" t="s">
        <v>156</v>
      </c>
      <c r="G1797" s="3">
        <v>637</v>
      </c>
      <c r="H1797" s="3" t="s">
        <v>134</v>
      </c>
      <c r="I1797" s="19">
        <v>4000</v>
      </c>
      <c r="J1797" s="19"/>
      <c r="K1797" s="19">
        <f t="shared" si="640"/>
        <v>4000</v>
      </c>
      <c r="M1797" s="19"/>
      <c r="N1797" s="19"/>
      <c r="O1797" s="87">
        <f t="shared" si="641"/>
        <v>0</v>
      </c>
      <c r="Q1797" s="294">
        <f t="shared" si="655"/>
        <v>4000</v>
      </c>
      <c r="R1797" s="19">
        <f t="shared" si="662"/>
        <v>0</v>
      </c>
      <c r="S1797" s="87">
        <f t="shared" si="662"/>
        <v>4000</v>
      </c>
    </row>
    <row r="1798" spans="2:19" ht="15" x14ac:dyDescent="0.2">
      <c r="B1798" s="83">
        <f t="shared" si="645"/>
        <v>118</v>
      </c>
      <c r="C1798" s="268">
        <v>9</v>
      </c>
      <c r="D1798" s="360" t="s">
        <v>186</v>
      </c>
      <c r="E1798" s="361"/>
      <c r="F1798" s="361"/>
      <c r="G1798" s="361"/>
      <c r="H1798" s="362"/>
      <c r="I1798" s="36">
        <f>I1799+I1801</f>
        <v>19000</v>
      </c>
      <c r="J1798" s="36">
        <f t="shared" ref="J1798" si="663">J1799+J1801</f>
        <v>-680</v>
      </c>
      <c r="K1798" s="36">
        <f t="shared" si="640"/>
        <v>18320</v>
      </c>
      <c r="M1798" s="36">
        <v>0</v>
      </c>
      <c r="N1798" s="36">
        <v>0</v>
      </c>
      <c r="O1798" s="84">
        <f t="shared" si="641"/>
        <v>0</v>
      </c>
      <c r="Q1798" s="291">
        <f t="shared" si="655"/>
        <v>19000</v>
      </c>
      <c r="R1798" s="36">
        <f t="shared" si="662"/>
        <v>-680</v>
      </c>
      <c r="S1798" s="84">
        <f t="shared" si="662"/>
        <v>18320</v>
      </c>
    </row>
    <row r="1799" spans="2:19" x14ac:dyDescent="0.2">
      <c r="B1799" s="83">
        <f t="shared" si="645"/>
        <v>119</v>
      </c>
      <c r="C1799" s="7"/>
      <c r="D1799" s="7"/>
      <c r="E1799" s="7"/>
      <c r="F1799" s="25" t="s">
        <v>83</v>
      </c>
      <c r="G1799" s="7">
        <v>630</v>
      </c>
      <c r="H1799" s="7" t="s">
        <v>133</v>
      </c>
      <c r="I1799" s="23">
        <f>I1800</f>
        <v>14000</v>
      </c>
      <c r="J1799" s="23">
        <f t="shared" ref="J1799" si="664">J1800</f>
        <v>0</v>
      </c>
      <c r="K1799" s="23">
        <f t="shared" si="640"/>
        <v>14000</v>
      </c>
      <c r="M1799" s="23"/>
      <c r="N1799" s="23"/>
      <c r="O1799" s="86">
        <f t="shared" si="641"/>
        <v>0</v>
      </c>
      <c r="Q1799" s="293">
        <f t="shared" si="655"/>
        <v>14000</v>
      </c>
      <c r="R1799" s="23">
        <f t="shared" si="662"/>
        <v>0</v>
      </c>
      <c r="S1799" s="86">
        <f t="shared" si="662"/>
        <v>14000</v>
      </c>
    </row>
    <row r="1800" spans="2:19" x14ac:dyDescent="0.2">
      <c r="B1800" s="83">
        <f t="shared" si="645"/>
        <v>120</v>
      </c>
      <c r="C1800" s="3"/>
      <c r="D1800" s="3"/>
      <c r="E1800" s="3"/>
      <c r="F1800" s="26" t="s">
        <v>83</v>
      </c>
      <c r="G1800" s="3">
        <v>637</v>
      </c>
      <c r="H1800" s="3" t="s">
        <v>134</v>
      </c>
      <c r="I1800" s="19">
        <v>14000</v>
      </c>
      <c r="J1800" s="19"/>
      <c r="K1800" s="19">
        <f t="shared" si="640"/>
        <v>14000</v>
      </c>
      <c r="M1800" s="19"/>
      <c r="N1800" s="19"/>
      <c r="O1800" s="87">
        <f t="shared" si="641"/>
        <v>0</v>
      </c>
      <c r="Q1800" s="294">
        <f t="shared" si="655"/>
        <v>14000</v>
      </c>
      <c r="R1800" s="19">
        <f t="shared" si="662"/>
        <v>0</v>
      </c>
      <c r="S1800" s="87">
        <f t="shared" si="662"/>
        <v>14000</v>
      </c>
    </row>
    <row r="1801" spans="2:19" x14ac:dyDescent="0.2">
      <c r="B1801" s="83">
        <f t="shared" si="645"/>
        <v>121</v>
      </c>
      <c r="C1801" s="7"/>
      <c r="D1801" s="7"/>
      <c r="E1801" s="7"/>
      <c r="F1801" s="25" t="s">
        <v>83</v>
      </c>
      <c r="G1801" s="7">
        <v>640</v>
      </c>
      <c r="H1801" s="7" t="s">
        <v>141</v>
      </c>
      <c r="I1801" s="23">
        <f>I1802</f>
        <v>5000</v>
      </c>
      <c r="J1801" s="23">
        <f t="shared" ref="J1801" si="665">J1802</f>
        <v>-680</v>
      </c>
      <c r="K1801" s="23">
        <f t="shared" si="640"/>
        <v>4320</v>
      </c>
      <c r="M1801" s="23"/>
      <c r="N1801" s="23"/>
      <c r="O1801" s="86">
        <f t="shared" si="641"/>
        <v>0</v>
      </c>
      <c r="Q1801" s="293">
        <f t="shared" si="655"/>
        <v>5000</v>
      </c>
      <c r="R1801" s="23">
        <f t="shared" si="662"/>
        <v>-680</v>
      </c>
      <c r="S1801" s="86">
        <f t="shared" si="662"/>
        <v>4320</v>
      </c>
    </row>
    <row r="1802" spans="2:19" x14ac:dyDescent="0.2">
      <c r="B1802" s="83">
        <f t="shared" si="645"/>
        <v>122</v>
      </c>
      <c r="C1802" s="3"/>
      <c r="D1802" s="3"/>
      <c r="E1802" s="3"/>
      <c r="F1802" s="26" t="s">
        <v>83</v>
      </c>
      <c r="G1802" s="3">
        <v>642</v>
      </c>
      <c r="H1802" s="3" t="s">
        <v>142</v>
      </c>
      <c r="I1802" s="19">
        <v>5000</v>
      </c>
      <c r="J1802" s="19">
        <v>-680</v>
      </c>
      <c r="K1802" s="19">
        <f t="shared" si="640"/>
        <v>4320</v>
      </c>
      <c r="M1802" s="19"/>
      <c r="N1802" s="19"/>
      <c r="O1802" s="87">
        <f t="shared" si="641"/>
        <v>0</v>
      </c>
      <c r="Q1802" s="294">
        <f t="shared" si="655"/>
        <v>5000</v>
      </c>
      <c r="R1802" s="19">
        <f t="shared" si="662"/>
        <v>-680</v>
      </c>
      <c r="S1802" s="87">
        <f t="shared" si="662"/>
        <v>4320</v>
      </c>
    </row>
    <row r="1803" spans="2:19" ht="15" x14ac:dyDescent="0.2">
      <c r="B1803" s="83">
        <f t="shared" si="645"/>
        <v>123</v>
      </c>
      <c r="C1803" s="268">
        <v>10</v>
      </c>
      <c r="D1803" s="360" t="s">
        <v>187</v>
      </c>
      <c r="E1803" s="361"/>
      <c r="F1803" s="361"/>
      <c r="G1803" s="361"/>
      <c r="H1803" s="362"/>
      <c r="I1803" s="36">
        <f>I1804</f>
        <v>14417</v>
      </c>
      <c r="J1803" s="36">
        <f t="shared" ref="J1803" si="666">J1804</f>
        <v>0</v>
      </c>
      <c r="K1803" s="36">
        <f t="shared" si="640"/>
        <v>14417</v>
      </c>
      <c r="M1803" s="36">
        <v>0</v>
      </c>
      <c r="N1803" s="36">
        <v>0</v>
      </c>
      <c r="O1803" s="84">
        <f t="shared" si="641"/>
        <v>0</v>
      </c>
      <c r="Q1803" s="291">
        <f t="shared" si="655"/>
        <v>14417</v>
      </c>
      <c r="R1803" s="36">
        <f t="shared" si="662"/>
        <v>0</v>
      </c>
      <c r="S1803" s="84">
        <f t="shared" si="662"/>
        <v>14417</v>
      </c>
    </row>
    <row r="1804" spans="2:19" ht="15" x14ac:dyDescent="0.25">
      <c r="B1804" s="83">
        <f t="shared" si="645"/>
        <v>124</v>
      </c>
      <c r="C1804" s="10"/>
      <c r="D1804" s="10"/>
      <c r="E1804" s="10">
        <v>5</v>
      </c>
      <c r="F1804" s="28"/>
      <c r="G1804" s="10"/>
      <c r="H1804" s="10" t="s">
        <v>116</v>
      </c>
      <c r="I1804" s="38">
        <f>I1805+I1806+I1807</f>
        <v>14417</v>
      </c>
      <c r="J1804" s="38">
        <f t="shared" ref="J1804" si="667">J1805+J1806+J1807</f>
        <v>0</v>
      </c>
      <c r="K1804" s="38">
        <f t="shared" si="640"/>
        <v>14417</v>
      </c>
      <c r="M1804" s="38"/>
      <c r="N1804" s="38"/>
      <c r="O1804" s="94">
        <f t="shared" si="641"/>
        <v>0</v>
      </c>
      <c r="Q1804" s="307">
        <f t="shared" si="655"/>
        <v>14417</v>
      </c>
      <c r="R1804" s="38">
        <f t="shared" si="662"/>
        <v>0</v>
      </c>
      <c r="S1804" s="94">
        <f t="shared" si="662"/>
        <v>14417</v>
      </c>
    </row>
    <row r="1805" spans="2:19" x14ac:dyDescent="0.2">
      <c r="B1805" s="83">
        <f t="shared" si="645"/>
        <v>125</v>
      </c>
      <c r="C1805" s="7"/>
      <c r="D1805" s="7"/>
      <c r="E1805" s="7"/>
      <c r="F1805" s="25" t="s">
        <v>84</v>
      </c>
      <c r="G1805" s="7">
        <v>610</v>
      </c>
      <c r="H1805" s="7" t="s">
        <v>143</v>
      </c>
      <c r="I1805" s="23">
        <v>8208</v>
      </c>
      <c r="J1805" s="23"/>
      <c r="K1805" s="23">
        <f t="shared" si="640"/>
        <v>8208</v>
      </c>
      <c r="M1805" s="23"/>
      <c r="N1805" s="23"/>
      <c r="O1805" s="86">
        <f t="shared" si="641"/>
        <v>0</v>
      </c>
      <c r="Q1805" s="293">
        <f t="shared" si="655"/>
        <v>8208</v>
      </c>
      <c r="R1805" s="23">
        <f t="shared" si="662"/>
        <v>0</v>
      </c>
      <c r="S1805" s="86">
        <f t="shared" si="662"/>
        <v>8208</v>
      </c>
    </row>
    <row r="1806" spans="2:19" x14ac:dyDescent="0.2">
      <c r="B1806" s="83">
        <f t="shared" si="645"/>
        <v>126</v>
      </c>
      <c r="C1806" s="7"/>
      <c r="D1806" s="7"/>
      <c r="E1806" s="7"/>
      <c r="F1806" s="25" t="s">
        <v>84</v>
      </c>
      <c r="G1806" s="7">
        <v>620</v>
      </c>
      <c r="H1806" s="7" t="s">
        <v>136</v>
      </c>
      <c r="I1806" s="23">
        <v>2873</v>
      </c>
      <c r="J1806" s="23"/>
      <c r="K1806" s="23">
        <f t="shared" si="640"/>
        <v>2873</v>
      </c>
      <c r="M1806" s="23"/>
      <c r="N1806" s="23"/>
      <c r="O1806" s="86">
        <f t="shared" si="641"/>
        <v>0</v>
      </c>
      <c r="Q1806" s="293">
        <f t="shared" si="655"/>
        <v>2873</v>
      </c>
      <c r="R1806" s="23">
        <f t="shared" si="662"/>
        <v>0</v>
      </c>
      <c r="S1806" s="86">
        <f t="shared" si="662"/>
        <v>2873</v>
      </c>
    </row>
    <row r="1807" spans="2:19" x14ac:dyDescent="0.2">
      <c r="B1807" s="83">
        <f t="shared" si="645"/>
        <v>127</v>
      </c>
      <c r="C1807" s="7"/>
      <c r="D1807" s="7"/>
      <c r="E1807" s="7"/>
      <c r="F1807" s="25" t="s">
        <v>84</v>
      </c>
      <c r="G1807" s="7">
        <v>630</v>
      </c>
      <c r="H1807" s="7" t="s">
        <v>133</v>
      </c>
      <c r="I1807" s="23">
        <f>I1811+I1810+I1809+I1808</f>
        <v>3336</v>
      </c>
      <c r="J1807" s="23">
        <f t="shared" ref="J1807" si="668">J1811+J1810+J1809+J1808</f>
        <v>0</v>
      </c>
      <c r="K1807" s="23">
        <f t="shared" si="640"/>
        <v>3336</v>
      </c>
      <c r="M1807" s="23"/>
      <c r="N1807" s="23"/>
      <c r="O1807" s="86">
        <f t="shared" si="641"/>
        <v>0</v>
      </c>
      <c r="Q1807" s="293">
        <f t="shared" si="655"/>
        <v>3336</v>
      </c>
      <c r="R1807" s="23">
        <f t="shared" si="662"/>
        <v>0</v>
      </c>
      <c r="S1807" s="86">
        <f t="shared" si="662"/>
        <v>3336</v>
      </c>
    </row>
    <row r="1808" spans="2:19" x14ac:dyDescent="0.2">
      <c r="B1808" s="83">
        <f t="shared" si="645"/>
        <v>128</v>
      </c>
      <c r="C1808" s="3"/>
      <c r="D1808" s="3"/>
      <c r="E1808" s="3"/>
      <c r="F1808" s="26" t="s">
        <v>84</v>
      </c>
      <c r="G1808" s="3">
        <v>632</v>
      </c>
      <c r="H1808" s="3" t="s">
        <v>146</v>
      </c>
      <c r="I1808" s="19">
        <v>70</v>
      </c>
      <c r="J1808" s="19"/>
      <c r="K1808" s="19">
        <f t="shared" si="640"/>
        <v>70</v>
      </c>
      <c r="M1808" s="19"/>
      <c r="N1808" s="19"/>
      <c r="O1808" s="87">
        <f t="shared" si="641"/>
        <v>0</v>
      </c>
      <c r="Q1808" s="294">
        <f t="shared" si="655"/>
        <v>70</v>
      </c>
      <c r="R1808" s="19">
        <f t="shared" si="662"/>
        <v>0</v>
      </c>
      <c r="S1808" s="87">
        <f t="shared" si="662"/>
        <v>70</v>
      </c>
    </row>
    <row r="1809" spans="2:19" x14ac:dyDescent="0.2">
      <c r="B1809" s="83">
        <f t="shared" si="645"/>
        <v>129</v>
      </c>
      <c r="C1809" s="3"/>
      <c r="D1809" s="3"/>
      <c r="E1809" s="3"/>
      <c r="F1809" s="26" t="s">
        <v>84</v>
      </c>
      <c r="G1809" s="3">
        <v>633</v>
      </c>
      <c r="H1809" s="3" t="s">
        <v>137</v>
      </c>
      <c r="I1809" s="19">
        <v>60</v>
      </c>
      <c r="J1809" s="19"/>
      <c r="K1809" s="19">
        <f t="shared" si="640"/>
        <v>60</v>
      </c>
      <c r="M1809" s="19"/>
      <c r="N1809" s="19"/>
      <c r="O1809" s="87">
        <f t="shared" si="641"/>
        <v>0</v>
      </c>
      <c r="Q1809" s="294">
        <f t="shared" si="655"/>
        <v>60</v>
      </c>
      <c r="R1809" s="19">
        <f t="shared" si="662"/>
        <v>0</v>
      </c>
      <c r="S1809" s="87">
        <f t="shared" si="662"/>
        <v>60</v>
      </c>
    </row>
    <row r="1810" spans="2:19" x14ac:dyDescent="0.2">
      <c r="B1810" s="83">
        <f t="shared" si="645"/>
        <v>130</v>
      </c>
      <c r="C1810" s="3"/>
      <c r="D1810" s="3"/>
      <c r="E1810" s="3"/>
      <c r="F1810" s="26" t="s">
        <v>84</v>
      </c>
      <c r="G1810" s="3">
        <v>634</v>
      </c>
      <c r="H1810" s="3" t="s">
        <v>144</v>
      </c>
      <c r="I1810" s="19">
        <v>2400</v>
      </c>
      <c r="J1810" s="19"/>
      <c r="K1810" s="19">
        <f t="shared" si="640"/>
        <v>2400</v>
      </c>
      <c r="M1810" s="19"/>
      <c r="N1810" s="19"/>
      <c r="O1810" s="87">
        <f t="shared" si="641"/>
        <v>0</v>
      </c>
      <c r="Q1810" s="294">
        <f t="shared" si="655"/>
        <v>2400</v>
      </c>
      <c r="R1810" s="19">
        <f t="shared" si="662"/>
        <v>0</v>
      </c>
      <c r="S1810" s="87">
        <f t="shared" si="662"/>
        <v>2400</v>
      </c>
    </row>
    <row r="1811" spans="2:19" x14ac:dyDescent="0.2">
      <c r="B1811" s="83">
        <f t="shared" ref="B1811:B1822" si="669">B1810+1</f>
        <v>131</v>
      </c>
      <c r="C1811" s="3"/>
      <c r="D1811" s="3"/>
      <c r="E1811" s="3"/>
      <c r="F1811" s="26" t="s">
        <v>84</v>
      </c>
      <c r="G1811" s="3">
        <v>637</v>
      </c>
      <c r="H1811" s="3" t="s">
        <v>134</v>
      </c>
      <c r="I1811" s="19">
        <v>806</v>
      </c>
      <c r="J1811" s="19"/>
      <c r="K1811" s="19">
        <f t="shared" si="640"/>
        <v>806</v>
      </c>
      <c r="M1811" s="19"/>
      <c r="N1811" s="19"/>
      <c r="O1811" s="87">
        <f t="shared" si="641"/>
        <v>0</v>
      </c>
      <c r="Q1811" s="294">
        <f t="shared" ref="Q1811:Q1822" si="670">I1811+M1811</f>
        <v>806</v>
      </c>
      <c r="R1811" s="19">
        <f t="shared" ref="R1811:S1822" si="671">J1811+N1811</f>
        <v>0</v>
      </c>
      <c r="S1811" s="87">
        <f t="shared" si="671"/>
        <v>806</v>
      </c>
    </row>
    <row r="1812" spans="2:19" ht="15" x14ac:dyDescent="0.2">
      <c r="B1812" s="83">
        <f t="shared" si="669"/>
        <v>132</v>
      </c>
      <c r="C1812" s="268">
        <v>11</v>
      </c>
      <c r="D1812" s="360" t="s">
        <v>79</v>
      </c>
      <c r="E1812" s="361"/>
      <c r="F1812" s="361"/>
      <c r="G1812" s="361"/>
      <c r="H1812" s="362"/>
      <c r="I1812" s="36">
        <f>I1813</f>
        <v>159194</v>
      </c>
      <c r="J1812" s="36">
        <f t="shared" ref="J1812" si="672">J1813</f>
        <v>0</v>
      </c>
      <c r="K1812" s="36">
        <f t="shared" ref="K1812:K1822" si="673">I1812+J1812</f>
        <v>159194</v>
      </c>
      <c r="M1812" s="36">
        <v>0</v>
      </c>
      <c r="N1812" s="36">
        <v>0</v>
      </c>
      <c r="O1812" s="84">
        <f t="shared" ref="O1812:O1822" si="674">M1812+N1812</f>
        <v>0</v>
      </c>
      <c r="Q1812" s="291">
        <f t="shared" si="670"/>
        <v>159194</v>
      </c>
      <c r="R1812" s="36">
        <f t="shared" si="671"/>
        <v>0</v>
      </c>
      <c r="S1812" s="84">
        <f t="shared" si="671"/>
        <v>159194</v>
      </c>
    </row>
    <row r="1813" spans="2:19" ht="15" x14ac:dyDescent="0.25">
      <c r="B1813" s="83">
        <f t="shared" si="669"/>
        <v>133</v>
      </c>
      <c r="C1813" s="10"/>
      <c r="D1813" s="10"/>
      <c r="E1813" s="10">
        <v>5</v>
      </c>
      <c r="F1813" s="28"/>
      <c r="G1813" s="10"/>
      <c r="H1813" s="10" t="s">
        <v>116</v>
      </c>
      <c r="I1813" s="38">
        <f>I1814+I1815+I1816</f>
        <v>159194</v>
      </c>
      <c r="J1813" s="38">
        <f t="shared" ref="J1813" si="675">J1814+J1815+J1816</f>
        <v>0</v>
      </c>
      <c r="K1813" s="38">
        <f t="shared" si="673"/>
        <v>159194</v>
      </c>
      <c r="M1813" s="38"/>
      <c r="N1813" s="38"/>
      <c r="O1813" s="94">
        <f t="shared" si="674"/>
        <v>0</v>
      </c>
      <c r="Q1813" s="307">
        <f t="shared" si="670"/>
        <v>159194</v>
      </c>
      <c r="R1813" s="38">
        <f t="shared" si="671"/>
        <v>0</v>
      </c>
      <c r="S1813" s="94">
        <f t="shared" si="671"/>
        <v>159194</v>
      </c>
    </row>
    <row r="1814" spans="2:19" x14ac:dyDescent="0.2">
      <c r="B1814" s="83">
        <f t="shared" si="669"/>
        <v>134</v>
      </c>
      <c r="C1814" s="7"/>
      <c r="D1814" s="7"/>
      <c r="E1814" s="7"/>
      <c r="F1814" s="25" t="s">
        <v>68</v>
      </c>
      <c r="G1814" s="7">
        <v>610</v>
      </c>
      <c r="H1814" s="7" t="s">
        <v>143</v>
      </c>
      <c r="I1814" s="23">
        <v>93673</v>
      </c>
      <c r="J1814" s="23"/>
      <c r="K1814" s="23">
        <f t="shared" si="673"/>
        <v>93673</v>
      </c>
      <c r="M1814" s="23"/>
      <c r="N1814" s="23"/>
      <c r="O1814" s="86">
        <f t="shared" si="674"/>
        <v>0</v>
      </c>
      <c r="Q1814" s="293">
        <f t="shared" si="670"/>
        <v>93673</v>
      </c>
      <c r="R1814" s="23">
        <f t="shared" si="671"/>
        <v>0</v>
      </c>
      <c r="S1814" s="86">
        <f t="shared" si="671"/>
        <v>93673</v>
      </c>
    </row>
    <row r="1815" spans="2:19" x14ac:dyDescent="0.2">
      <c r="B1815" s="83">
        <f t="shared" si="669"/>
        <v>135</v>
      </c>
      <c r="C1815" s="7"/>
      <c r="D1815" s="7"/>
      <c r="E1815" s="7"/>
      <c r="F1815" s="25" t="s">
        <v>68</v>
      </c>
      <c r="G1815" s="7">
        <v>620</v>
      </c>
      <c r="H1815" s="7" t="s">
        <v>136</v>
      </c>
      <c r="I1815" s="23">
        <v>34186</v>
      </c>
      <c r="J1815" s="23"/>
      <c r="K1815" s="23">
        <f t="shared" si="673"/>
        <v>34186</v>
      </c>
      <c r="M1815" s="23"/>
      <c r="N1815" s="23"/>
      <c r="O1815" s="86">
        <f t="shared" si="674"/>
        <v>0</v>
      </c>
      <c r="Q1815" s="293">
        <f t="shared" si="670"/>
        <v>34186</v>
      </c>
      <c r="R1815" s="23">
        <f t="shared" si="671"/>
        <v>0</v>
      </c>
      <c r="S1815" s="86">
        <f t="shared" si="671"/>
        <v>34186</v>
      </c>
    </row>
    <row r="1816" spans="2:19" x14ac:dyDescent="0.2">
      <c r="B1816" s="83">
        <f t="shared" si="669"/>
        <v>136</v>
      </c>
      <c r="C1816" s="7"/>
      <c r="D1816" s="7"/>
      <c r="E1816" s="7"/>
      <c r="F1816" s="25" t="s">
        <v>68</v>
      </c>
      <c r="G1816" s="7">
        <v>630</v>
      </c>
      <c r="H1816" s="7" t="s">
        <v>133</v>
      </c>
      <c r="I1816" s="23">
        <f>I1822+I1821+I1820+I1819+I1818+I1817</f>
        <v>31335</v>
      </c>
      <c r="J1816" s="23">
        <f t="shared" ref="J1816" si="676">J1822+J1821+J1820+J1819+J1818+J1817</f>
        <v>0</v>
      </c>
      <c r="K1816" s="23">
        <f t="shared" si="673"/>
        <v>31335</v>
      </c>
      <c r="M1816" s="23"/>
      <c r="N1816" s="23"/>
      <c r="O1816" s="86">
        <f t="shared" si="674"/>
        <v>0</v>
      </c>
      <c r="Q1816" s="293">
        <f t="shared" si="670"/>
        <v>31335</v>
      </c>
      <c r="R1816" s="23">
        <f t="shared" si="671"/>
        <v>0</v>
      </c>
      <c r="S1816" s="86">
        <f t="shared" si="671"/>
        <v>31335</v>
      </c>
    </row>
    <row r="1817" spans="2:19" x14ac:dyDescent="0.2">
      <c r="B1817" s="83">
        <f t="shared" si="669"/>
        <v>137</v>
      </c>
      <c r="C1817" s="3"/>
      <c r="D1817" s="3"/>
      <c r="E1817" s="3"/>
      <c r="F1817" s="26" t="s">
        <v>68</v>
      </c>
      <c r="G1817" s="3">
        <v>631</v>
      </c>
      <c r="H1817" s="3" t="s">
        <v>139</v>
      </c>
      <c r="I1817" s="19">
        <v>300</v>
      </c>
      <c r="J1817" s="19"/>
      <c r="K1817" s="19">
        <f t="shared" si="673"/>
        <v>300</v>
      </c>
      <c r="M1817" s="19"/>
      <c r="N1817" s="19"/>
      <c r="O1817" s="87">
        <f t="shared" si="674"/>
        <v>0</v>
      </c>
      <c r="Q1817" s="294">
        <f t="shared" si="670"/>
        <v>300</v>
      </c>
      <c r="R1817" s="19">
        <f t="shared" si="671"/>
        <v>0</v>
      </c>
      <c r="S1817" s="87">
        <f t="shared" si="671"/>
        <v>300</v>
      </c>
    </row>
    <row r="1818" spans="2:19" x14ac:dyDescent="0.2">
      <c r="B1818" s="83">
        <f t="shared" si="669"/>
        <v>138</v>
      </c>
      <c r="C1818" s="3"/>
      <c r="D1818" s="3"/>
      <c r="E1818" s="3"/>
      <c r="F1818" s="26" t="s">
        <v>68</v>
      </c>
      <c r="G1818" s="3">
        <v>632</v>
      </c>
      <c r="H1818" s="3" t="s">
        <v>146</v>
      </c>
      <c r="I1818" s="19">
        <v>2300</v>
      </c>
      <c r="J1818" s="19"/>
      <c r="K1818" s="19">
        <f t="shared" si="673"/>
        <v>2300</v>
      </c>
      <c r="M1818" s="19"/>
      <c r="N1818" s="19"/>
      <c r="O1818" s="87">
        <f t="shared" si="674"/>
        <v>0</v>
      </c>
      <c r="Q1818" s="294">
        <f t="shared" si="670"/>
        <v>2300</v>
      </c>
      <c r="R1818" s="19">
        <f t="shared" si="671"/>
        <v>0</v>
      </c>
      <c r="S1818" s="87">
        <f t="shared" si="671"/>
        <v>2300</v>
      </c>
    </row>
    <row r="1819" spans="2:19" x14ac:dyDescent="0.2">
      <c r="B1819" s="83">
        <f t="shared" si="669"/>
        <v>139</v>
      </c>
      <c r="C1819" s="3"/>
      <c r="D1819" s="3"/>
      <c r="E1819" s="3"/>
      <c r="F1819" s="26" t="s">
        <v>68</v>
      </c>
      <c r="G1819" s="3">
        <v>633</v>
      </c>
      <c r="H1819" s="3" t="s">
        <v>137</v>
      </c>
      <c r="I1819" s="19">
        <v>4360</v>
      </c>
      <c r="J1819" s="19"/>
      <c r="K1819" s="19">
        <f t="shared" si="673"/>
        <v>4360</v>
      </c>
      <c r="M1819" s="19"/>
      <c r="N1819" s="19"/>
      <c r="O1819" s="87">
        <f t="shared" si="674"/>
        <v>0</v>
      </c>
      <c r="Q1819" s="294">
        <f t="shared" si="670"/>
        <v>4360</v>
      </c>
      <c r="R1819" s="19">
        <f t="shared" si="671"/>
        <v>0</v>
      </c>
      <c r="S1819" s="87">
        <f t="shared" si="671"/>
        <v>4360</v>
      </c>
    </row>
    <row r="1820" spans="2:19" x14ac:dyDescent="0.2">
      <c r="B1820" s="83">
        <f t="shared" si="669"/>
        <v>140</v>
      </c>
      <c r="C1820" s="3"/>
      <c r="D1820" s="3"/>
      <c r="E1820" s="3"/>
      <c r="F1820" s="26" t="s">
        <v>68</v>
      </c>
      <c r="G1820" s="3">
        <v>634</v>
      </c>
      <c r="H1820" s="3" t="s">
        <v>144</v>
      </c>
      <c r="I1820" s="19">
        <v>1488</v>
      </c>
      <c r="J1820" s="19"/>
      <c r="K1820" s="19">
        <f t="shared" si="673"/>
        <v>1488</v>
      </c>
      <c r="M1820" s="19"/>
      <c r="N1820" s="19"/>
      <c r="O1820" s="87">
        <f t="shared" si="674"/>
        <v>0</v>
      </c>
      <c r="Q1820" s="294">
        <f t="shared" si="670"/>
        <v>1488</v>
      </c>
      <c r="R1820" s="19">
        <f t="shared" si="671"/>
        <v>0</v>
      </c>
      <c r="S1820" s="87">
        <f t="shared" si="671"/>
        <v>1488</v>
      </c>
    </row>
    <row r="1821" spans="2:19" x14ac:dyDescent="0.2">
      <c r="B1821" s="83">
        <f t="shared" si="669"/>
        <v>141</v>
      </c>
      <c r="C1821" s="3"/>
      <c r="D1821" s="3"/>
      <c r="E1821" s="3"/>
      <c r="F1821" s="26" t="s">
        <v>68</v>
      </c>
      <c r="G1821" s="3">
        <v>635</v>
      </c>
      <c r="H1821" s="3" t="s">
        <v>145</v>
      </c>
      <c r="I1821" s="19">
        <v>1600</v>
      </c>
      <c r="J1821" s="19"/>
      <c r="K1821" s="19">
        <f t="shared" si="673"/>
        <v>1600</v>
      </c>
      <c r="M1821" s="19"/>
      <c r="N1821" s="19"/>
      <c r="O1821" s="87">
        <f t="shared" si="674"/>
        <v>0</v>
      </c>
      <c r="Q1821" s="294">
        <f t="shared" si="670"/>
        <v>1600</v>
      </c>
      <c r="R1821" s="19">
        <f t="shared" si="671"/>
        <v>0</v>
      </c>
      <c r="S1821" s="87">
        <f t="shared" si="671"/>
        <v>1600</v>
      </c>
    </row>
    <row r="1822" spans="2:19" ht="13.5" thickBot="1" x14ac:dyDescent="0.25">
      <c r="B1822" s="89">
        <f t="shared" si="669"/>
        <v>142</v>
      </c>
      <c r="C1822" s="14"/>
      <c r="D1822" s="14"/>
      <c r="E1822" s="14"/>
      <c r="F1822" s="90" t="s">
        <v>68</v>
      </c>
      <c r="G1822" s="14">
        <v>637</v>
      </c>
      <c r="H1822" s="14" t="s">
        <v>134</v>
      </c>
      <c r="I1822" s="24">
        <v>21287</v>
      </c>
      <c r="J1822" s="24"/>
      <c r="K1822" s="24">
        <f t="shared" si="673"/>
        <v>21287</v>
      </c>
      <c r="L1822" s="270"/>
      <c r="M1822" s="24"/>
      <c r="N1822" s="24"/>
      <c r="O1822" s="91">
        <f t="shared" si="674"/>
        <v>0</v>
      </c>
      <c r="Q1822" s="311">
        <f t="shared" si="670"/>
        <v>21287</v>
      </c>
      <c r="R1822" s="24">
        <f t="shared" si="671"/>
        <v>0</v>
      </c>
      <c r="S1822" s="91">
        <f t="shared" si="671"/>
        <v>21287</v>
      </c>
    </row>
    <row r="1834" spans="2:19" ht="27.75" thickBot="1" x14ac:dyDescent="0.4">
      <c r="B1834" s="352" t="s">
        <v>32</v>
      </c>
      <c r="C1834" s="353"/>
      <c r="D1834" s="353"/>
      <c r="E1834" s="353"/>
      <c r="F1834" s="353"/>
      <c r="G1834" s="353"/>
      <c r="H1834" s="353"/>
      <c r="I1834" s="353"/>
      <c r="J1834" s="353"/>
      <c r="K1834" s="353"/>
      <c r="L1834" s="353"/>
      <c r="M1834" s="353"/>
      <c r="N1834" s="353"/>
      <c r="O1834" s="353"/>
      <c r="P1834" s="353"/>
      <c r="Q1834" s="353"/>
    </row>
    <row r="1835" spans="2:19" ht="13.5" customHeight="1" thickBot="1" x14ac:dyDescent="0.25">
      <c r="B1835" s="378" t="s">
        <v>364</v>
      </c>
      <c r="C1835" s="379"/>
      <c r="D1835" s="379"/>
      <c r="E1835" s="379"/>
      <c r="F1835" s="379"/>
      <c r="G1835" s="379"/>
      <c r="H1835" s="379"/>
      <c r="I1835" s="379"/>
      <c r="J1835" s="379"/>
      <c r="K1835" s="379"/>
      <c r="L1835" s="379"/>
      <c r="M1835" s="379"/>
      <c r="N1835" s="379"/>
      <c r="O1835" s="380"/>
      <c r="P1835" s="271"/>
      <c r="Q1835" s="354" t="s">
        <v>571</v>
      </c>
      <c r="R1835" s="392" t="s">
        <v>565</v>
      </c>
      <c r="S1835" s="395" t="s">
        <v>569</v>
      </c>
    </row>
    <row r="1836" spans="2:19" ht="13.5" customHeight="1" thickBot="1" x14ac:dyDescent="0.25">
      <c r="B1836" s="366"/>
      <c r="C1836" s="357" t="s">
        <v>126</v>
      </c>
      <c r="D1836" s="357" t="s">
        <v>127</v>
      </c>
      <c r="E1836" s="357"/>
      <c r="F1836" s="357" t="s">
        <v>128</v>
      </c>
      <c r="G1836" s="371" t="s">
        <v>129</v>
      </c>
      <c r="H1836" s="374" t="s">
        <v>130</v>
      </c>
      <c r="I1836" s="363" t="s">
        <v>566</v>
      </c>
      <c r="J1836" s="377" t="s">
        <v>565</v>
      </c>
      <c r="K1836" s="376" t="s">
        <v>567</v>
      </c>
      <c r="M1836" s="363" t="s">
        <v>568</v>
      </c>
      <c r="N1836" s="377" t="s">
        <v>565</v>
      </c>
      <c r="O1836" s="376" t="s">
        <v>570</v>
      </c>
      <c r="Q1836" s="355"/>
      <c r="R1836" s="393"/>
      <c r="S1836" s="396"/>
    </row>
    <row r="1837" spans="2:19" ht="13.5" thickBot="1" x14ac:dyDescent="0.25">
      <c r="B1837" s="367"/>
      <c r="C1837" s="358"/>
      <c r="D1837" s="358"/>
      <c r="E1837" s="358"/>
      <c r="F1837" s="358"/>
      <c r="G1837" s="372"/>
      <c r="H1837" s="375"/>
      <c r="I1837" s="363"/>
      <c r="J1837" s="377"/>
      <c r="K1837" s="376"/>
      <c r="M1837" s="363"/>
      <c r="N1837" s="377"/>
      <c r="O1837" s="376"/>
      <c r="Q1837" s="355"/>
      <c r="R1837" s="393"/>
      <c r="S1837" s="396"/>
    </row>
    <row r="1838" spans="2:19" ht="13.5" thickBot="1" x14ac:dyDescent="0.25">
      <c r="B1838" s="367"/>
      <c r="C1838" s="358"/>
      <c r="D1838" s="358"/>
      <c r="E1838" s="358"/>
      <c r="F1838" s="358"/>
      <c r="G1838" s="372"/>
      <c r="H1838" s="375"/>
      <c r="I1838" s="363"/>
      <c r="J1838" s="377"/>
      <c r="K1838" s="376"/>
      <c r="M1838" s="363"/>
      <c r="N1838" s="377"/>
      <c r="O1838" s="376"/>
      <c r="Q1838" s="355"/>
      <c r="R1838" s="393"/>
      <c r="S1838" s="396"/>
    </row>
    <row r="1839" spans="2:19" ht="13.5" thickBot="1" x14ac:dyDescent="0.25">
      <c r="B1839" s="367"/>
      <c r="C1839" s="359"/>
      <c r="D1839" s="359"/>
      <c r="E1839" s="359"/>
      <c r="F1839" s="359"/>
      <c r="G1839" s="373"/>
      <c r="H1839" s="375"/>
      <c r="I1839" s="363"/>
      <c r="J1839" s="377"/>
      <c r="K1839" s="376"/>
      <c r="M1839" s="363"/>
      <c r="N1839" s="377"/>
      <c r="O1839" s="376"/>
      <c r="Q1839" s="356"/>
      <c r="R1839" s="394"/>
      <c r="S1839" s="397"/>
    </row>
    <row r="1840" spans="2:19" ht="16.5" thickTop="1" x14ac:dyDescent="0.2">
      <c r="B1840" s="83">
        <f t="shared" ref="B1840:B1860" si="677">B1839+1</f>
        <v>1</v>
      </c>
      <c r="C1840" s="385" t="s">
        <v>32</v>
      </c>
      <c r="D1840" s="390"/>
      <c r="E1840" s="390"/>
      <c r="F1840" s="390"/>
      <c r="G1840" s="390"/>
      <c r="H1840" s="391"/>
      <c r="I1840" s="35">
        <f>I1841</f>
        <v>282050</v>
      </c>
      <c r="J1840" s="35">
        <f t="shared" ref="J1840" si="678">J1841</f>
        <v>0</v>
      </c>
      <c r="K1840" s="35">
        <f>I1840+J1840</f>
        <v>282050</v>
      </c>
      <c r="M1840" s="35">
        <f>M1841</f>
        <v>3538555</v>
      </c>
      <c r="N1840" s="35">
        <f t="shared" ref="N1840:P1840" si="679">N1841</f>
        <v>0</v>
      </c>
      <c r="O1840" s="93">
        <f>M1840+N1840</f>
        <v>3538555</v>
      </c>
      <c r="P1840" s="300">
        <f t="shared" si="679"/>
        <v>3538555</v>
      </c>
      <c r="Q1840" s="290">
        <f t="shared" ref="Q1840:Q1860" si="680">I1840+M1840</f>
        <v>3820605</v>
      </c>
      <c r="R1840" s="35">
        <f t="shared" ref="R1840:S1855" si="681">J1840+N1840</f>
        <v>0</v>
      </c>
      <c r="S1840" s="93">
        <f t="shared" si="681"/>
        <v>3820605</v>
      </c>
    </row>
    <row r="1841" spans="2:19" ht="15" x14ac:dyDescent="0.2">
      <c r="B1841" s="83">
        <f t="shared" si="677"/>
        <v>2</v>
      </c>
      <c r="C1841" s="268">
        <v>1</v>
      </c>
      <c r="D1841" s="360" t="s">
        <v>167</v>
      </c>
      <c r="E1841" s="361"/>
      <c r="F1841" s="361"/>
      <c r="G1841" s="361"/>
      <c r="H1841" s="362"/>
      <c r="I1841" s="36">
        <f>I1842+I1849</f>
        <v>282050</v>
      </c>
      <c r="J1841" s="36">
        <f t="shared" ref="J1841" si="682">J1842+J1849</f>
        <v>0</v>
      </c>
      <c r="K1841" s="36">
        <f t="shared" ref="K1841:K1858" si="683">I1841+J1841</f>
        <v>282050</v>
      </c>
      <c r="M1841" s="36">
        <f>M1842+M1848+M1849</f>
        <v>3538555</v>
      </c>
      <c r="N1841" s="36">
        <f t="shared" ref="N1841:P1841" si="684">N1842+N1848+N1849</f>
        <v>0</v>
      </c>
      <c r="O1841" s="84">
        <f t="shared" ref="O1841:O1860" si="685">M1841+N1841</f>
        <v>3538555</v>
      </c>
      <c r="P1841" s="301">
        <f t="shared" si="684"/>
        <v>3538555</v>
      </c>
      <c r="Q1841" s="291">
        <f t="shared" si="680"/>
        <v>3820605</v>
      </c>
      <c r="R1841" s="36">
        <f t="shared" si="681"/>
        <v>0</v>
      </c>
      <c r="S1841" s="84">
        <f t="shared" si="681"/>
        <v>3820605</v>
      </c>
    </row>
    <row r="1842" spans="2:19" ht="15" x14ac:dyDescent="0.25">
      <c r="B1842" s="83">
        <f t="shared" si="677"/>
        <v>3</v>
      </c>
      <c r="C1842" s="267"/>
      <c r="D1842" s="267">
        <v>1</v>
      </c>
      <c r="E1842" s="368" t="s">
        <v>166</v>
      </c>
      <c r="F1842" s="361"/>
      <c r="G1842" s="361"/>
      <c r="H1842" s="362"/>
      <c r="I1842" s="37">
        <f>I1843+I1846</f>
        <v>244600</v>
      </c>
      <c r="J1842" s="37">
        <f t="shared" ref="J1842" si="686">J1843+J1846</f>
        <v>0</v>
      </c>
      <c r="K1842" s="37">
        <f t="shared" si="683"/>
        <v>244600</v>
      </c>
      <c r="M1842" s="37">
        <v>0</v>
      </c>
      <c r="N1842" s="37">
        <v>0</v>
      </c>
      <c r="O1842" s="85">
        <f t="shared" si="685"/>
        <v>0</v>
      </c>
      <c r="P1842" s="302">
        <v>0</v>
      </c>
      <c r="Q1842" s="292">
        <f t="shared" si="680"/>
        <v>244600</v>
      </c>
      <c r="R1842" s="37">
        <f t="shared" si="681"/>
        <v>0</v>
      </c>
      <c r="S1842" s="85">
        <f t="shared" si="681"/>
        <v>244600</v>
      </c>
    </row>
    <row r="1843" spans="2:19" x14ac:dyDescent="0.2">
      <c r="B1843" s="83">
        <f t="shared" si="677"/>
        <v>4</v>
      </c>
      <c r="C1843" s="7"/>
      <c r="D1843" s="7"/>
      <c r="E1843" s="7"/>
      <c r="F1843" s="25" t="s">
        <v>165</v>
      </c>
      <c r="G1843" s="7">
        <v>630</v>
      </c>
      <c r="H1843" s="7" t="s">
        <v>133</v>
      </c>
      <c r="I1843" s="23">
        <f>I1845+I1844</f>
        <v>186100</v>
      </c>
      <c r="J1843" s="23">
        <f t="shared" ref="J1843" si="687">J1845+J1844</f>
        <v>0</v>
      </c>
      <c r="K1843" s="23">
        <f t="shared" si="683"/>
        <v>186100</v>
      </c>
      <c r="M1843" s="23"/>
      <c r="N1843" s="23"/>
      <c r="O1843" s="86">
        <f t="shared" si="685"/>
        <v>0</v>
      </c>
      <c r="P1843" s="303"/>
      <c r="Q1843" s="293">
        <f t="shared" si="680"/>
        <v>186100</v>
      </c>
      <c r="R1843" s="23">
        <f t="shared" si="681"/>
        <v>0</v>
      </c>
      <c r="S1843" s="86">
        <f t="shared" si="681"/>
        <v>186100</v>
      </c>
    </row>
    <row r="1844" spans="2:19" x14ac:dyDescent="0.2">
      <c r="B1844" s="83">
        <f t="shared" si="677"/>
        <v>5</v>
      </c>
      <c r="C1844" s="3"/>
      <c r="D1844" s="3"/>
      <c r="E1844" s="3"/>
      <c r="F1844" s="26" t="s">
        <v>165</v>
      </c>
      <c r="G1844" s="3">
        <v>636</v>
      </c>
      <c r="H1844" s="3" t="s">
        <v>138</v>
      </c>
      <c r="I1844" s="19">
        <v>29800</v>
      </c>
      <c r="J1844" s="19"/>
      <c r="K1844" s="19">
        <f t="shared" si="683"/>
        <v>29800</v>
      </c>
      <c r="M1844" s="19"/>
      <c r="N1844" s="19"/>
      <c r="O1844" s="87">
        <f t="shared" si="685"/>
        <v>0</v>
      </c>
      <c r="P1844" s="304"/>
      <c r="Q1844" s="294">
        <f t="shared" si="680"/>
        <v>29800</v>
      </c>
      <c r="R1844" s="19">
        <f t="shared" si="681"/>
        <v>0</v>
      </c>
      <c r="S1844" s="87">
        <f t="shared" si="681"/>
        <v>29800</v>
      </c>
    </row>
    <row r="1845" spans="2:19" x14ac:dyDescent="0.2">
      <c r="B1845" s="83">
        <f t="shared" si="677"/>
        <v>6</v>
      </c>
      <c r="C1845" s="3"/>
      <c r="D1845" s="3"/>
      <c r="E1845" s="3"/>
      <c r="F1845" s="26" t="s">
        <v>165</v>
      </c>
      <c r="G1845" s="3">
        <v>637</v>
      </c>
      <c r="H1845" s="3" t="s">
        <v>134</v>
      </c>
      <c r="I1845" s="19">
        <v>156300</v>
      </c>
      <c r="J1845" s="19"/>
      <c r="K1845" s="19">
        <f t="shared" si="683"/>
        <v>156300</v>
      </c>
      <c r="M1845" s="19"/>
      <c r="N1845" s="19"/>
      <c r="O1845" s="87">
        <f t="shared" si="685"/>
        <v>0</v>
      </c>
      <c r="P1845" s="304"/>
      <c r="Q1845" s="294">
        <f t="shared" si="680"/>
        <v>156300</v>
      </c>
      <c r="R1845" s="19">
        <f t="shared" si="681"/>
        <v>0</v>
      </c>
      <c r="S1845" s="87">
        <f t="shared" si="681"/>
        <v>156300</v>
      </c>
    </row>
    <row r="1846" spans="2:19" x14ac:dyDescent="0.2">
      <c r="B1846" s="83">
        <f t="shared" si="677"/>
        <v>7</v>
      </c>
      <c r="C1846" s="7"/>
      <c r="D1846" s="7"/>
      <c r="E1846" s="7"/>
      <c r="F1846" s="25" t="s">
        <v>165</v>
      </c>
      <c r="G1846" s="7">
        <v>640</v>
      </c>
      <c r="H1846" s="7" t="s">
        <v>141</v>
      </c>
      <c r="I1846" s="23">
        <f>I1847</f>
        <v>58500</v>
      </c>
      <c r="J1846" s="23">
        <f t="shared" ref="J1846" si="688">J1847</f>
        <v>0</v>
      </c>
      <c r="K1846" s="23">
        <f t="shared" si="683"/>
        <v>58500</v>
      </c>
      <c r="M1846" s="23"/>
      <c r="N1846" s="23"/>
      <c r="O1846" s="86">
        <f t="shared" si="685"/>
        <v>0</v>
      </c>
      <c r="P1846" s="303"/>
      <c r="Q1846" s="293">
        <f t="shared" si="680"/>
        <v>58500</v>
      </c>
      <c r="R1846" s="23">
        <f t="shared" si="681"/>
        <v>0</v>
      </c>
      <c r="S1846" s="86">
        <f t="shared" si="681"/>
        <v>58500</v>
      </c>
    </row>
    <row r="1847" spans="2:19" x14ac:dyDescent="0.2">
      <c r="B1847" s="83">
        <f t="shared" si="677"/>
        <v>8</v>
      </c>
      <c r="C1847" s="3"/>
      <c r="D1847" s="3"/>
      <c r="E1847" s="3"/>
      <c r="F1847" s="26" t="s">
        <v>165</v>
      </c>
      <c r="G1847" s="3">
        <v>642</v>
      </c>
      <c r="H1847" s="3" t="s">
        <v>142</v>
      </c>
      <c r="I1847" s="19">
        <f>39000+19500</f>
        <v>58500</v>
      </c>
      <c r="J1847" s="19"/>
      <c r="K1847" s="19">
        <f t="shared" si="683"/>
        <v>58500</v>
      </c>
      <c r="M1847" s="19"/>
      <c r="N1847" s="19"/>
      <c r="O1847" s="87">
        <f t="shared" si="685"/>
        <v>0</v>
      </c>
      <c r="P1847" s="304"/>
      <c r="Q1847" s="294">
        <f t="shared" si="680"/>
        <v>58500</v>
      </c>
      <c r="R1847" s="19">
        <f t="shared" si="681"/>
        <v>0</v>
      </c>
      <c r="S1847" s="87">
        <f t="shared" si="681"/>
        <v>58500</v>
      </c>
    </row>
    <row r="1848" spans="2:19" ht="15" x14ac:dyDescent="0.25">
      <c r="B1848" s="83">
        <f t="shared" si="677"/>
        <v>9</v>
      </c>
      <c r="C1848" s="267"/>
      <c r="D1848" s="267">
        <v>2</v>
      </c>
      <c r="E1848" s="368" t="s">
        <v>356</v>
      </c>
      <c r="F1848" s="361"/>
      <c r="G1848" s="361"/>
      <c r="H1848" s="362"/>
      <c r="I1848" s="37">
        <v>0</v>
      </c>
      <c r="J1848" s="37"/>
      <c r="K1848" s="37">
        <f t="shared" si="683"/>
        <v>0</v>
      </c>
      <c r="M1848" s="37">
        <v>0</v>
      </c>
      <c r="N1848" s="37">
        <v>0</v>
      </c>
      <c r="O1848" s="85">
        <f t="shared" si="685"/>
        <v>0</v>
      </c>
      <c r="P1848" s="302">
        <v>0</v>
      </c>
      <c r="Q1848" s="292">
        <f t="shared" si="680"/>
        <v>0</v>
      </c>
      <c r="R1848" s="37">
        <f t="shared" si="681"/>
        <v>0</v>
      </c>
      <c r="S1848" s="85">
        <f t="shared" si="681"/>
        <v>0</v>
      </c>
    </row>
    <row r="1849" spans="2:19" ht="15" x14ac:dyDescent="0.25">
      <c r="B1849" s="83">
        <f t="shared" si="677"/>
        <v>10</v>
      </c>
      <c r="C1849" s="267"/>
      <c r="D1849" s="267">
        <v>3</v>
      </c>
      <c r="E1849" s="368" t="s">
        <v>202</v>
      </c>
      <c r="F1849" s="361"/>
      <c r="G1849" s="361"/>
      <c r="H1849" s="362"/>
      <c r="I1849" s="37">
        <f>I1850+I1851+I1852+I1857</f>
        <v>37450</v>
      </c>
      <c r="J1849" s="37">
        <f t="shared" ref="J1849" si="689">J1850+J1851+J1852+J1857</f>
        <v>0</v>
      </c>
      <c r="K1849" s="37">
        <f t="shared" si="683"/>
        <v>37450</v>
      </c>
      <c r="M1849" s="37">
        <f>M1857</f>
        <v>3538555</v>
      </c>
      <c r="N1849" s="37">
        <f t="shared" ref="N1849:P1849" si="690">N1857</f>
        <v>0</v>
      </c>
      <c r="O1849" s="85">
        <f t="shared" si="685"/>
        <v>3538555</v>
      </c>
      <c r="P1849" s="302">
        <f t="shared" si="690"/>
        <v>3538555</v>
      </c>
      <c r="Q1849" s="292">
        <f t="shared" si="680"/>
        <v>3576005</v>
      </c>
      <c r="R1849" s="37">
        <f t="shared" si="681"/>
        <v>0</v>
      </c>
      <c r="S1849" s="85">
        <f t="shared" si="681"/>
        <v>3576005</v>
      </c>
    </row>
    <row r="1850" spans="2:19" x14ac:dyDescent="0.2">
      <c r="B1850" s="83">
        <f t="shared" si="677"/>
        <v>11</v>
      </c>
      <c r="C1850" s="7"/>
      <c r="D1850" s="7"/>
      <c r="E1850" s="7"/>
      <c r="F1850" s="25" t="s">
        <v>201</v>
      </c>
      <c r="G1850" s="7">
        <v>610</v>
      </c>
      <c r="H1850" s="7" t="s">
        <v>143</v>
      </c>
      <c r="I1850" s="23">
        <v>25000</v>
      </c>
      <c r="J1850" s="23"/>
      <c r="K1850" s="23">
        <f t="shared" si="683"/>
        <v>25000</v>
      </c>
      <c r="M1850" s="23"/>
      <c r="N1850" s="23"/>
      <c r="O1850" s="86">
        <f t="shared" si="685"/>
        <v>0</v>
      </c>
      <c r="P1850" s="303"/>
      <c r="Q1850" s="293">
        <f t="shared" si="680"/>
        <v>25000</v>
      </c>
      <c r="R1850" s="23">
        <f t="shared" si="681"/>
        <v>0</v>
      </c>
      <c r="S1850" s="86">
        <f t="shared" si="681"/>
        <v>25000</v>
      </c>
    </row>
    <row r="1851" spans="2:19" x14ac:dyDescent="0.2">
      <c r="B1851" s="83">
        <f t="shared" si="677"/>
        <v>12</v>
      </c>
      <c r="C1851" s="7"/>
      <c r="D1851" s="7"/>
      <c r="E1851" s="7"/>
      <c r="F1851" s="25" t="s">
        <v>201</v>
      </c>
      <c r="G1851" s="7">
        <v>620</v>
      </c>
      <c r="H1851" s="7" t="s">
        <v>136</v>
      </c>
      <c r="I1851" s="23">
        <v>9550</v>
      </c>
      <c r="J1851" s="23"/>
      <c r="K1851" s="23">
        <f t="shared" si="683"/>
        <v>9550</v>
      </c>
      <c r="M1851" s="23"/>
      <c r="N1851" s="23"/>
      <c r="O1851" s="86">
        <f t="shared" si="685"/>
        <v>0</v>
      </c>
      <c r="P1851" s="303"/>
      <c r="Q1851" s="293">
        <f t="shared" si="680"/>
        <v>9550</v>
      </c>
      <c r="R1851" s="23">
        <f t="shared" si="681"/>
        <v>0</v>
      </c>
      <c r="S1851" s="86">
        <f t="shared" si="681"/>
        <v>9550</v>
      </c>
    </row>
    <row r="1852" spans="2:19" x14ac:dyDescent="0.2">
      <c r="B1852" s="83">
        <f t="shared" si="677"/>
        <v>13</v>
      </c>
      <c r="C1852" s="7"/>
      <c r="D1852" s="7"/>
      <c r="E1852" s="7"/>
      <c r="F1852" s="25" t="s">
        <v>201</v>
      </c>
      <c r="G1852" s="7">
        <v>630</v>
      </c>
      <c r="H1852" s="7" t="s">
        <v>133</v>
      </c>
      <c r="I1852" s="23">
        <f>SUM(I1853:I1856)</f>
        <v>2900</v>
      </c>
      <c r="J1852" s="23">
        <f t="shared" ref="J1852" si="691">SUM(J1853:J1856)</f>
        <v>0</v>
      </c>
      <c r="K1852" s="23">
        <f t="shared" si="683"/>
        <v>2900</v>
      </c>
      <c r="M1852" s="23"/>
      <c r="N1852" s="23"/>
      <c r="O1852" s="86">
        <f t="shared" si="685"/>
        <v>0</v>
      </c>
      <c r="P1852" s="303"/>
      <c r="Q1852" s="293">
        <f t="shared" si="680"/>
        <v>2900</v>
      </c>
      <c r="R1852" s="23">
        <f t="shared" si="681"/>
        <v>0</v>
      </c>
      <c r="S1852" s="86">
        <f t="shared" si="681"/>
        <v>2900</v>
      </c>
    </row>
    <row r="1853" spans="2:19" x14ac:dyDescent="0.2">
      <c r="B1853" s="83">
        <f t="shared" si="677"/>
        <v>14</v>
      </c>
      <c r="C1853" s="3"/>
      <c r="D1853" s="3"/>
      <c r="E1853" s="3"/>
      <c r="F1853" s="26" t="s">
        <v>201</v>
      </c>
      <c r="G1853" s="3">
        <v>632</v>
      </c>
      <c r="H1853" s="3" t="s">
        <v>146</v>
      </c>
      <c r="I1853" s="19">
        <v>300</v>
      </c>
      <c r="J1853" s="19"/>
      <c r="K1853" s="19">
        <f t="shared" si="683"/>
        <v>300</v>
      </c>
      <c r="M1853" s="19"/>
      <c r="N1853" s="19"/>
      <c r="O1853" s="87">
        <f t="shared" si="685"/>
        <v>0</v>
      </c>
      <c r="P1853" s="304"/>
      <c r="Q1853" s="294">
        <f t="shared" si="680"/>
        <v>300</v>
      </c>
      <c r="R1853" s="19">
        <f t="shared" si="681"/>
        <v>0</v>
      </c>
      <c r="S1853" s="87">
        <f t="shared" si="681"/>
        <v>300</v>
      </c>
    </row>
    <row r="1854" spans="2:19" x14ac:dyDescent="0.2">
      <c r="B1854" s="83">
        <f t="shared" si="677"/>
        <v>15</v>
      </c>
      <c r="C1854" s="3"/>
      <c r="D1854" s="3"/>
      <c r="E1854" s="3"/>
      <c r="F1854" s="26" t="s">
        <v>201</v>
      </c>
      <c r="G1854" s="3">
        <v>633</v>
      </c>
      <c r="H1854" s="3" t="s">
        <v>137</v>
      </c>
      <c r="I1854" s="19">
        <v>500</v>
      </c>
      <c r="J1854" s="19"/>
      <c r="K1854" s="19">
        <f t="shared" si="683"/>
        <v>500</v>
      </c>
      <c r="M1854" s="19"/>
      <c r="N1854" s="19"/>
      <c r="O1854" s="87">
        <f t="shared" si="685"/>
        <v>0</v>
      </c>
      <c r="P1854" s="304"/>
      <c r="Q1854" s="294">
        <f t="shared" si="680"/>
        <v>500</v>
      </c>
      <c r="R1854" s="19">
        <f t="shared" si="681"/>
        <v>0</v>
      </c>
      <c r="S1854" s="87">
        <f t="shared" si="681"/>
        <v>500</v>
      </c>
    </row>
    <row r="1855" spans="2:19" x14ac:dyDescent="0.2">
      <c r="B1855" s="83">
        <f t="shared" si="677"/>
        <v>16</v>
      </c>
      <c r="C1855" s="3"/>
      <c r="D1855" s="3"/>
      <c r="E1855" s="3"/>
      <c r="F1855" s="26" t="s">
        <v>201</v>
      </c>
      <c r="G1855" s="3">
        <v>635</v>
      </c>
      <c r="H1855" s="3" t="s">
        <v>145</v>
      </c>
      <c r="I1855" s="19">
        <v>200</v>
      </c>
      <c r="J1855" s="19"/>
      <c r="K1855" s="19">
        <f t="shared" si="683"/>
        <v>200</v>
      </c>
      <c r="M1855" s="19"/>
      <c r="N1855" s="19"/>
      <c r="O1855" s="87">
        <f t="shared" si="685"/>
        <v>0</v>
      </c>
      <c r="P1855" s="304"/>
      <c r="Q1855" s="294">
        <f t="shared" si="680"/>
        <v>200</v>
      </c>
      <c r="R1855" s="19">
        <f t="shared" si="681"/>
        <v>0</v>
      </c>
      <c r="S1855" s="87">
        <f t="shared" si="681"/>
        <v>200</v>
      </c>
    </row>
    <row r="1856" spans="2:19" x14ac:dyDescent="0.2">
      <c r="B1856" s="83">
        <f t="shared" si="677"/>
        <v>17</v>
      </c>
      <c r="C1856" s="3"/>
      <c r="D1856" s="3"/>
      <c r="E1856" s="3"/>
      <c r="F1856" s="26" t="s">
        <v>201</v>
      </c>
      <c r="G1856" s="3">
        <v>637</v>
      </c>
      <c r="H1856" s="3" t="s">
        <v>134</v>
      </c>
      <c r="I1856" s="19">
        <v>1900</v>
      </c>
      <c r="J1856" s="19"/>
      <c r="K1856" s="19">
        <f t="shared" si="683"/>
        <v>1900</v>
      </c>
      <c r="M1856" s="19"/>
      <c r="N1856" s="19"/>
      <c r="O1856" s="87">
        <f t="shared" si="685"/>
        <v>0</v>
      </c>
      <c r="P1856" s="304"/>
      <c r="Q1856" s="294">
        <f t="shared" si="680"/>
        <v>1900</v>
      </c>
      <c r="R1856" s="19">
        <f t="shared" ref="R1856:S1860" si="692">J1856+N1856</f>
        <v>0</v>
      </c>
      <c r="S1856" s="87">
        <f t="shared" si="692"/>
        <v>1900</v>
      </c>
    </row>
    <row r="1857" spans="2:19" x14ac:dyDescent="0.2">
      <c r="B1857" s="83">
        <f t="shared" si="677"/>
        <v>18</v>
      </c>
      <c r="C1857" s="7"/>
      <c r="D1857" s="7"/>
      <c r="E1857" s="7"/>
      <c r="F1857" s="25" t="s">
        <v>201</v>
      </c>
      <c r="G1857" s="7">
        <v>710</v>
      </c>
      <c r="H1857" s="7" t="s">
        <v>188</v>
      </c>
      <c r="I1857" s="23"/>
      <c r="J1857" s="23"/>
      <c r="K1857" s="23">
        <f t="shared" si="683"/>
        <v>0</v>
      </c>
      <c r="M1857" s="23">
        <f>M1858</f>
        <v>3538555</v>
      </c>
      <c r="N1857" s="23">
        <f t="shared" ref="N1857:P1857" si="693">N1858</f>
        <v>0</v>
      </c>
      <c r="O1857" s="86">
        <f t="shared" si="685"/>
        <v>3538555</v>
      </c>
      <c r="P1857" s="303">
        <f t="shared" si="693"/>
        <v>3538555</v>
      </c>
      <c r="Q1857" s="293">
        <f t="shared" si="680"/>
        <v>3538555</v>
      </c>
      <c r="R1857" s="23">
        <f t="shared" si="692"/>
        <v>0</v>
      </c>
      <c r="S1857" s="86">
        <f t="shared" si="692"/>
        <v>3538555</v>
      </c>
    </row>
    <row r="1858" spans="2:19" x14ac:dyDescent="0.2">
      <c r="B1858" s="83">
        <f t="shared" si="677"/>
        <v>19</v>
      </c>
      <c r="C1858" s="3"/>
      <c r="D1858" s="3"/>
      <c r="E1858" s="3"/>
      <c r="F1858" s="26" t="s">
        <v>201</v>
      </c>
      <c r="G1858" s="3">
        <v>712</v>
      </c>
      <c r="H1858" s="3" t="s">
        <v>65</v>
      </c>
      <c r="I1858" s="19"/>
      <c r="J1858" s="19"/>
      <c r="K1858" s="19">
        <f t="shared" si="683"/>
        <v>0</v>
      </c>
      <c r="M1858" s="19">
        <f>M1859+M1860</f>
        <v>3538555</v>
      </c>
      <c r="N1858" s="19">
        <f t="shared" ref="N1858:P1858" si="694">N1859+N1860</f>
        <v>0</v>
      </c>
      <c r="O1858" s="87">
        <f t="shared" si="685"/>
        <v>3538555</v>
      </c>
      <c r="P1858" s="304">
        <f t="shared" si="694"/>
        <v>3538555</v>
      </c>
      <c r="Q1858" s="294">
        <f t="shared" si="680"/>
        <v>3538555</v>
      </c>
      <c r="R1858" s="19">
        <f t="shared" si="692"/>
        <v>0</v>
      </c>
      <c r="S1858" s="87">
        <f t="shared" si="692"/>
        <v>3538555</v>
      </c>
    </row>
    <row r="1859" spans="2:19" x14ac:dyDescent="0.2">
      <c r="B1859" s="195">
        <f t="shared" si="677"/>
        <v>20</v>
      </c>
      <c r="C1859" s="150"/>
      <c r="D1859" s="150"/>
      <c r="E1859" s="150"/>
      <c r="F1859" s="196"/>
      <c r="G1859" s="150"/>
      <c r="H1859" s="197" t="s">
        <v>386</v>
      </c>
      <c r="I1859" s="198"/>
      <c r="J1859" s="198"/>
      <c r="K1859" s="198"/>
      <c r="M1859" s="199">
        <v>2353615</v>
      </c>
      <c r="N1859" s="199"/>
      <c r="O1859" s="182">
        <f t="shared" si="685"/>
        <v>2353615</v>
      </c>
      <c r="P1859" s="305">
        <v>2353615</v>
      </c>
      <c r="Q1859" s="295">
        <f t="shared" si="680"/>
        <v>2353615</v>
      </c>
      <c r="R1859" s="199">
        <f t="shared" si="692"/>
        <v>0</v>
      </c>
      <c r="S1859" s="182">
        <f t="shared" si="692"/>
        <v>2353615</v>
      </c>
    </row>
    <row r="1860" spans="2:19" ht="13.5" thickBot="1" x14ac:dyDescent="0.25">
      <c r="B1860" s="89">
        <f t="shared" si="677"/>
        <v>21</v>
      </c>
      <c r="C1860" s="95"/>
      <c r="D1860" s="95"/>
      <c r="E1860" s="95"/>
      <c r="F1860" s="96"/>
      <c r="G1860" s="95"/>
      <c r="H1860" s="97" t="s">
        <v>540</v>
      </c>
      <c r="I1860" s="152"/>
      <c r="J1860" s="152"/>
      <c r="K1860" s="152"/>
      <c r="L1860" s="270"/>
      <c r="M1860" s="98">
        <v>1184940</v>
      </c>
      <c r="N1860" s="98"/>
      <c r="O1860" s="99">
        <f t="shared" si="685"/>
        <v>1184940</v>
      </c>
      <c r="P1860" s="305">
        <v>1184940</v>
      </c>
      <c r="Q1860" s="296">
        <f t="shared" si="680"/>
        <v>1184940</v>
      </c>
      <c r="R1860" s="98">
        <f t="shared" si="692"/>
        <v>0</v>
      </c>
      <c r="S1860" s="99">
        <f t="shared" si="692"/>
        <v>1184940</v>
      </c>
    </row>
  </sheetData>
  <mergeCells count="317">
    <mergeCell ref="M1570:M1573"/>
    <mergeCell ref="N1570:N1573"/>
    <mergeCell ref="B1569:O1569"/>
    <mergeCell ref="B1676:O1676"/>
    <mergeCell ref="B1835:O1835"/>
    <mergeCell ref="R1835:R1839"/>
    <mergeCell ref="S1835:S1839"/>
    <mergeCell ref="R1514:R1518"/>
    <mergeCell ref="S1514:S1518"/>
    <mergeCell ref="R1569:R1573"/>
    <mergeCell ref="S1569:S1573"/>
    <mergeCell ref="R1676:R1680"/>
    <mergeCell ref="S1676:S1680"/>
    <mergeCell ref="N1836:N1839"/>
    <mergeCell ref="O1836:O1839"/>
    <mergeCell ref="B1568:Q1568"/>
    <mergeCell ref="Q1569:Q1573"/>
    <mergeCell ref="B1570:B1573"/>
    <mergeCell ref="C1570:C1573"/>
    <mergeCell ref="D1570:D1573"/>
    <mergeCell ref="E1570:E1573"/>
    <mergeCell ref="F1570:F1573"/>
    <mergeCell ref="G1570:G1573"/>
    <mergeCell ref="H1570:H1573"/>
    <mergeCell ref="R592:R596"/>
    <mergeCell ref="S592:S596"/>
    <mergeCell ref="R1357:R1361"/>
    <mergeCell ref="S1357:S1361"/>
    <mergeCell ref="O593:O596"/>
    <mergeCell ref="J1358:J1361"/>
    <mergeCell ref="K1358:K1361"/>
    <mergeCell ref="N1358:N1361"/>
    <mergeCell ref="O1358:O1361"/>
    <mergeCell ref="B592:O592"/>
    <mergeCell ref="B1357:O1357"/>
    <mergeCell ref="C597:H597"/>
    <mergeCell ref="D598:H598"/>
    <mergeCell ref="D761:H761"/>
    <mergeCell ref="D940:H940"/>
    <mergeCell ref="D1044:H1044"/>
    <mergeCell ref="R69:R73"/>
    <mergeCell ref="S69:S73"/>
    <mergeCell ref="R109:R113"/>
    <mergeCell ref="S109:S113"/>
    <mergeCell ref="R215:R219"/>
    <mergeCell ref="S215:S219"/>
    <mergeCell ref="R323:R327"/>
    <mergeCell ref="S323:S327"/>
    <mergeCell ref="R428:R432"/>
    <mergeCell ref="S428:S432"/>
    <mergeCell ref="R4:R8"/>
    <mergeCell ref="S4:S8"/>
    <mergeCell ref="J70:J73"/>
    <mergeCell ref="K70:K73"/>
    <mergeCell ref="N70:N73"/>
    <mergeCell ref="O70:O73"/>
    <mergeCell ref="C1840:H1840"/>
    <mergeCell ref="E1756:H1756"/>
    <mergeCell ref="D1765:H1765"/>
    <mergeCell ref="D1785:H1785"/>
    <mergeCell ref="D1795:H1795"/>
    <mergeCell ref="D1798:H1798"/>
    <mergeCell ref="E1714:H1714"/>
    <mergeCell ref="E1723:H1723"/>
    <mergeCell ref="D1733:H1733"/>
    <mergeCell ref="E1734:H1734"/>
    <mergeCell ref="E1744:H1744"/>
    <mergeCell ref="C1681:H1681"/>
    <mergeCell ref="D1682:H1682"/>
    <mergeCell ref="D1692:H1692"/>
    <mergeCell ref="D1696:H1696"/>
    <mergeCell ref="D1713:H1713"/>
    <mergeCell ref="K324:K327"/>
    <mergeCell ref="N324:N327"/>
    <mergeCell ref="D1841:H1841"/>
    <mergeCell ref="E1842:H1842"/>
    <mergeCell ref="E1848:H1848"/>
    <mergeCell ref="E1849:H1849"/>
    <mergeCell ref="D1803:H1803"/>
    <mergeCell ref="D1812:H1812"/>
    <mergeCell ref="B1834:Q1834"/>
    <mergeCell ref="Q1835:Q1839"/>
    <mergeCell ref="B1836:B1839"/>
    <mergeCell ref="C1836:C1839"/>
    <mergeCell ref="D1836:D1839"/>
    <mergeCell ref="E1836:E1839"/>
    <mergeCell ref="F1836:F1839"/>
    <mergeCell ref="G1836:G1839"/>
    <mergeCell ref="H1836:H1839"/>
    <mergeCell ref="I1836:I1839"/>
    <mergeCell ref="M1836:M1839"/>
    <mergeCell ref="J1836:J1839"/>
    <mergeCell ref="K1836:K1839"/>
    <mergeCell ref="Q1676:Q1680"/>
    <mergeCell ref="B1677:B1680"/>
    <mergeCell ref="C1677:C1680"/>
    <mergeCell ref="D1677:D1680"/>
    <mergeCell ref="E1677:E1680"/>
    <mergeCell ref="F1677:F1680"/>
    <mergeCell ref="G1677:G1680"/>
    <mergeCell ref="H1677:H1680"/>
    <mergeCell ref="I1677:I1680"/>
    <mergeCell ref="M1677:M1680"/>
    <mergeCell ref="J1677:J1680"/>
    <mergeCell ref="K1677:K1680"/>
    <mergeCell ref="N1677:N1680"/>
    <mergeCell ref="O1677:O1680"/>
    <mergeCell ref="D1646:H1646"/>
    <mergeCell ref="D1650:H1650"/>
    <mergeCell ref="D1657:H1657"/>
    <mergeCell ref="B1675:Q1675"/>
    <mergeCell ref="C1574:H1574"/>
    <mergeCell ref="D1575:H1575"/>
    <mergeCell ref="D1610:H1610"/>
    <mergeCell ref="E1611:H1611"/>
    <mergeCell ref="E1623:H1623"/>
    <mergeCell ref="E1382:H1382"/>
    <mergeCell ref="F1515:F1518"/>
    <mergeCell ref="G1515:G1518"/>
    <mergeCell ref="H1515:H1518"/>
    <mergeCell ref="I1515:I1518"/>
    <mergeCell ref="J1515:J1518"/>
    <mergeCell ref="K1515:K1518"/>
    <mergeCell ref="I1570:I1573"/>
    <mergeCell ref="D1629:H1629"/>
    <mergeCell ref="C1519:H1519"/>
    <mergeCell ref="D1520:H1520"/>
    <mergeCell ref="D1536:H1536"/>
    <mergeCell ref="D1541:H1541"/>
    <mergeCell ref="D1555:H1555"/>
    <mergeCell ref="B1513:Q1513"/>
    <mergeCell ref="Q1514:Q1518"/>
    <mergeCell ref="B1515:B1518"/>
    <mergeCell ref="C1515:C1518"/>
    <mergeCell ref="D1515:D1518"/>
    <mergeCell ref="E1515:E1518"/>
    <mergeCell ref="B1514:O1514"/>
    <mergeCell ref="M1515:M1518"/>
    <mergeCell ref="N1515:N1518"/>
    <mergeCell ref="O1515:O1518"/>
    <mergeCell ref="O1570:O1573"/>
    <mergeCell ref="D1283:H1283"/>
    <mergeCell ref="B1356:Q1356"/>
    <mergeCell ref="Q1357:Q1361"/>
    <mergeCell ref="B1358:B1361"/>
    <mergeCell ref="C1358:C1361"/>
    <mergeCell ref="D1358:D1361"/>
    <mergeCell ref="E1358:E1361"/>
    <mergeCell ref="F1358:F1361"/>
    <mergeCell ref="G1358:G1361"/>
    <mergeCell ref="H1358:H1361"/>
    <mergeCell ref="I1358:I1361"/>
    <mergeCell ref="M1358:M1361"/>
    <mergeCell ref="J1570:J1573"/>
    <mergeCell ref="K1570:K1573"/>
    <mergeCell ref="E1386:H1386"/>
    <mergeCell ref="E1396:H1396"/>
    <mergeCell ref="E1412:H1412"/>
    <mergeCell ref="E1431:H1431"/>
    <mergeCell ref="D1441:H1441"/>
    <mergeCell ref="C1362:H1362"/>
    <mergeCell ref="D1363:H1363"/>
    <mergeCell ref="D1367:H1367"/>
    <mergeCell ref="D1381:H1381"/>
    <mergeCell ref="D465:H465"/>
    <mergeCell ref="B591:Q591"/>
    <mergeCell ref="Q592:Q596"/>
    <mergeCell ref="B593:B596"/>
    <mergeCell ref="C593:C596"/>
    <mergeCell ref="D593:D596"/>
    <mergeCell ref="E593:E596"/>
    <mergeCell ref="F593:F596"/>
    <mergeCell ref="G593:G596"/>
    <mergeCell ref="H593:H596"/>
    <mergeCell ref="I593:I596"/>
    <mergeCell ref="M593:M596"/>
    <mergeCell ref="J593:J596"/>
    <mergeCell ref="K593:K596"/>
    <mergeCell ref="N593:N596"/>
    <mergeCell ref="C433:H433"/>
    <mergeCell ref="D434:H434"/>
    <mergeCell ref="D437:H437"/>
    <mergeCell ref="E438:H438"/>
    <mergeCell ref="E455:H455"/>
    <mergeCell ref="D377:H377"/>
    <mergeCell ref="B427:Q427"/>
    <mergeCell ref="Q428:Q432"/>
    <mergeCell ref="B429:B432"/>
    <mergeCell ref="C429:C432"/>
    <mergeCell ref="D429:D432"/>
    <mergeCell ref="E429:E432"/>
    <mergeCell ref="F429:F432"/>
    <mergeCell ref="G429:G432"/>
    <mergeCell ref="H429:H432"/>
    <mergeCell ref="I429:I432"/>
    <mergeCell ref="M429:M432"/>
    <mergeCell ref="J429:J432"/>
    <mergeCell ref="K429:K432"/>
    <mergeCell ref="N429:N432"/>
    <mergeCell ref="O429:O432"/>
    <mergeCell ref="B428:O428"/>
    <mergeCell ref="C328:H328"/>
    <mergeCell ref="D329:H329"/>
    <mergeCell ref="D348:H348"/>
    <mergeCell ref="D368:H368"/>
    <mergeCell ref="D374:H374"/>
    <mergeCell ref="D255:H255"/>
    <mergeCell ref="D266:H266"/>
    <mergeCell ref="D281:H281"/>
    <mergeCell ref="B322:Q322"/>
    <mergeCell ref="Q323:Q327"/>
    <mergeCell ref="B324:B327"/>
    <mergeCell ref="C324:C327"/>
    <mergeCell ref="D324:D327"/>
    <mergeCell ref="E324:E327"/>
    <mergeCell ref="F324:F327"/>
    <mergeCell ref="G324:G327"/>
    <mergeCell ref="H324:H327"/>
    <mergeCell ref="I324:I327"/>
    <mergeCell ref="M324:M327"/>
    <mergeCell ref="J324:J327"/>
    <mergeCell ref="O324:O327"/>
    <mergeCell ref="B323:O323"/>
    <mergeCell ref="C220:H220"/>
    <mergeCell ref="D221:H221"/>
    <mergeCell ref="D226:H226"/>
    <mergeCell ref="D236:H236"/>
    <mergeCell ref="D245:H245"/>
    <mergeCell ref="D179:H179"/>
    <mergeCell ref="D192:H192"/>
    <mergeCell ref="B214:Q214"/>
    <mergeCell ref="Q215:Q219"/>
    <mergeCell ref="B216:B219"/>
    <mergeCell ref="C216:C219"/>
    <mergeCell ref="D216:D219"/>
    <mergeCell ref="E216:E219"/>
    <mergeCell ref="F216:F219"/>
    <mergeCell ref="G216:G219"/>
    <mergeCell ref="H216:H219"/>
    <mergeCell ref="I216:I219"/>
    <mergeCell ref="M216:M219"/>
    <mergeCell ref="J216:J219"/>
    <mergeCell ref="K216:K219"/>
    <mergeCell ref="N216:N219"/>
    <mergeCell ref="O216:O219"/>
    <mergeCell ref="B215:O215"/>
    <mergeCell ref="E128:H128"/>
    <mergeCell ref="D135:H135"/>
    <mergeCell ref="D139:H139"/>
    <mergeCell ref="D158:H158"/>
    <mergeCell ref="D174:H174"/>
    <mergeCell ref="C114:H114"/>
    <mergeCell ref="D115:H115"/>
    <mergeCell ref="D118:H118"/>
    <mergeCell ref="E119:H119"/>
    <mergeCell ref="E122:H122"/>
    <mergeCell ref="C74:H74"/>
    <mergeCell ref="D75:H75"/>
    <mergeCell ref="D85:H85"/>
    <mergeCell ref="B108:Q108"/>
    <mergeCell ref="Q109:Q113"/>
    <mergeCell ref="B110:B113"/>
    <mergeCell ref="C110:C113"/>
    <mergeCell ref="D110:D113"/>
    <mergeCell ref="E110:E113"/>
    <mergeCell ref="F110:F113"/>
    <mergeCell ref="G110:G113"/>
    <mergeCell ref="H110:H113"/>
    <mergeCell ref="I110:I113"/>
    <mergeCell ref="M110:M113"/>
    <mergeCell ref="J110:J113"/>
    <mergeCell ref="K110:K113"/>
    <mergeCell ref="N110:N113"/>
    <mergeCell ref="O110:O113"/>
    <mergeCell ref="B109:O109"/>
    <mergeCell ref="B68:Q68"/>
    <mergeCell ref="Q69:Q73"/>
    <mergeCell ref="B70:B73"/>
    <mergeCell ref="C70:C73"/>
    <mergeCell ref="D70:D73"/>
    <mergeCell ref="E70:E73"/>
    <mergeCell ref="F70:F73"/>
    <mergeCell ref="G70:G73"/>
    <mergeCell ref="H70:H73"/>
    <mergeCell ref="I70:I73"/>
    <mergeCell ref="M70:M73"/>
    <mergeCell ref="B69:O69"/>
    <mergeCell ref="D50:H50"/>
    <mergeCell ref="D52:H52"/>
    <mergeCell ref="D64:H64"/>
    <mergeCell ref="D42:H42"/>
    <mergeCell ref="D53:H53"/>
    <mergeCell ref="D61:H61"/>
    <mergeCell ref="D51:H51"/>
    <mergeCell ref="E11:H11"/>
    <mergeCell ref="J5:J8"/>
    <mergeCell ref="B3:Q3"/>
    <mergeCell ref="Q4:Q8"/>
    <mergeCell ref="F5:F8"/>
    <mergeCell ref="D30:H30"/>
    <mergeCell ref="I5:I8"/>
    <mergeCell ref="D10:H10"/>
    <mergeCell ref="B5:B8"/>
    <mergeCell ref="C5:C8"/>
    <mergeCell ref="D5:D8"/>
    <mergeCell ref="E18:H18"/>
    <mergeCell ref="E21:H21"/>
    <mergeCell ref="E24:H24"/>
    <mergeCell ref="E5:E8"/>
    <mergeCell ref="C9:H9"/>
    <mergeCell ref="G5:G8"/>
    <mergeCell ref="H5:H8"/>
    <mergeCell ref="M5:M8"/>
    <mergeCell ref="K5:K8"/>
    <mergeCell ref="N5:N8"/>
    <mergeCell ref="O5:O8"/>
    <mergeCell ref="B4:O4"/>
  </mergeCells>
  <phoneticPr fontId="1" type="noConversion"/>
  <pageMargins left="0.11811023622047245" right="0.11811023622047245" top="0.15748031496062992" bottom="0.15748031496062992" header="0.31496062992125984" footer="0.31496062992125984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B1:N48"/>
  <sheetViews>
    <sheetView zoomScale="90" zoomScaleNormal="90" workbookViewId="0"/>
  </sheetViews>
  <sheetFormatPr defaultRowHeight="12.75" x14ac:dyDescent="0.2"/>
  <cols>
    <col min="1" max="1" width="4.85546875" customWidth="1"/>
    <col min="2" max="2" width="3.42578125" customWidth="1"/>
    <col min="3" max="3" width="41.5703125" customWidth="1"/>
    <col min="4" max="4" width="15.140625" style="16" customWidth="1"/>
    <col min="5" max="5" width="11" style="16" customWidth="1"/>
    <col min="6" max="6" width="13.7109375" style="16" customWidth="1"/>
    <col min="7" max="7" width="14.85546875" style="16" customWidth="1"/>
    <col min="8" max="8" width="10.7109375" style="16" customWidth="1"/>
    <col min="9" max="9" width="15.140625" style="16" customWidth="1"/>
    <col min="10" max="10" width="12.28515625" style="16" customWidth="1"/>
    <col min="11" max="11" width="11.5703125" customWidth="1"/>
    <col min="12" max="12" width="13.7109375" customWidth="1"/>
    <col min="13" max="14" width="11" bestFit="1" customWidth="1"/>
  </cols>
  <sheetData>
    <row r="1" spans="2:14" ht="8.25" customHeight="1" thickBot="1" x14ac:dyDescent="0.25"/>
    <row r="2" spans="2:14" s="43" customFormat="1" ht="50.25" customHeight="1" thickBot="1" x14ac:dyDescent="0.25">
      <c r="B2" s="398"/>
      <c r="C2" s="399"/>
      <c r="D2" s="325" t="s">
        <v>566</v>
      </c>
      <c r="E2" s="325" t="s">
        <v>580</v>
      </c>
      <c r="F2" s="326" t="s">
        <v>569</v>
      </c>
      <c r="G2" s="327" t="s">
        <v>581</v>
      </c>
      <c r="H2" s="328" t="s">
        <v>580</v>
      </c>
      <c r="I2" s="326" t="s">
        <v>569</v>
      </c>
      <c r="J2" s="329" t="s">
        <v>582</v>
      </c>
      <c r="K2" s="325" t="s">
        <v>580</v>
      </c>
      <c r="L2" s="330" t="s">
        <v>569</v>
      </c>
    </row>
    <row r="3" spans="2:14" ht="5.25" customHeight="1" thickBot="1" x14ac:dyDescent="0.25">
      <c r="D3" s="243"/>
      <c r="E3" s="45"/>
      <c r="F3" s="171"/>
      <c r="G3" s="45"/>
      <c r="H3" s="45"/>
      <c r="I3" s="45"/>
      <c r="J3" s="243"/>
    </row>
    <row r="4" spans="2:14" ht="15.75" x14ac:dyDescent="0.25">
      <c r="B4" s="104">
        <v>1</v>
      </c>
      <c r="C4" s="105" t="s">
        <v>429</v>
      </c>
      <c r="D4" s="244">
        <f>Príjmy!G427</f>
        <v>42933047</v>
      </c>
      <c r="E4" s="106">
        <f>Príjmy!H427</f>
        <v>-460871</v>
      </c>
      <c r="F4" s="176">
        <f>D4+E4</f>
        <v>42472176</v>
      </c>
      <c r="G4" s="237">
        <f>Príjmy!G428</f>
        <v>4309429</v>
      </c>
      <c r="H4" s="205">
        <f>Príjmy!H428</f>
        <v>0</v>
      </c>
      <c r="I4" s="205">
        <f>G4+H4</f>
        <v>4309429</v>
      </c>
      <c r="J4" s="252">
        <f t="shared" ref="J4:J17" si="0">G4+D4</f>
        <v>47242476</v>
      </c>
      <c r="K4" s="106">
        <f t="shared" ref="K4:K17" si="1">H4+E4</f>
        <v>-460871</v>
      </c>
      <c r="L4" s="220">
        <f t="shared" ref="L4:L17" si="2">I4+F4</f>
        <v>46781605</v>
      </c>
    </row>
    <row r="5" spans="2:14" ht="15.75" x14ac:dyDescent="0.25">
      <c r="B5" s="107">
        <v>2</v>
      </c>
      <c r="C5" s="44" t="s">
        <v>430</v>
      </c>
      <c r="D5" s="245">
        <f>SUM(D6:D17)</f>
        <v>40123055</v>
      </c>
      <c r="E5" s="103">
        <f>SUM(E6:E17)</f>
        <v>-52120</v>
      </c>
      <c r="F5" s="177">
        <f t="shared" ref="F5:F18" si="3">D5+E5</f>
        <v>40070935</v>
      </c>
      <c r="G5" s="238">
        <f>SUM(G6:G17)</f>
        <v>16688099</v>
      </c>
      <c r="H5" s="103">
        <f>SUM(H6:H17)</f>
        <v>0</v>
      </c>
      <c r="I5" s="206">
        <f t="shared" ref="I5:I19" si="4">G5+H5</f>
        <v>16688099</v>
      </c>
      <c r="J5" s="253">
        <f t="shared" si="0"/>
        <v>56811154</v>
      </c>
      <c r="K5" s="103">
        <f t="shared" si="1"/>
        <v>-52120</v>
      </c>
      <c r="L5" s="221">
        <f t="shared" si="2"/>
        <v>56759034</v>
      </c>
    </row>
    <row r="6" spans="2:14" ht="14.25" x14ac:dyDescent="0.2">
      <c r="B6" s="108">
        <v>3</v>
      </c>
      <c r="C6" s="102" t="s">
        <v>419</v>
      </c>
      <c r="D6" s="246">
        <f>Výdavky!I9</f>
        <v>516150</v>
      </c>
      <c r="E6" s="42">
        <f>Výdavky!J9</f>
        <v>0</v>
      </c>
      <c r="F6" s="109">
        <f t="shared" si="3"/>
        <v>516150</v>
      </c>
      <c r="G6" s="239">
        <f>Výdavky!M9</f>
        <v>491060</v>
      </c>
      <c r="H6" s="207">
        <f>Výdavky!N9</f>
        <v>0</v>
      </c>
      <c r="I6" s="207">
        <f t="shared" si="4"/>
        <v>491060</v>
      </c>
      <c r="J6" s="254">
        <f t="shared" si="0"/>
        <v>1007210</v>
      </c>
      <c r="K6" s="42">
        <f t="shared" si="1"/>
        <v>0</v>
      </c>
      <c r="L6" s="222">
        <f t="shared" si="2"/>
        <v>1007210</v>
      </c>
    </row>
    <row r="7" spans="2:14" ht="14.25" x14ac:dyDescent="0.2">
      <c r="B7" s="108">
        <v>4</v>
      </c>
      <c r="C7" s="102" t="s">
        <v>420</v>
      </c>
      <c r="D7" s="246">
        <f>Výdavky!I74</f>
        <v>120120</v>
      </c>
      <c r="E7" s="42">
        <f>Výdavky!J74</f>
        <v>0</v>
      </c>
      <c r="F7" s="109">
        <f t="shared" si="3"/>
        <v>120120</v>
      </c>
      <c r="G7" s="239">
        <f>Výdavky!M74</f>
        <v>0</v>
      </c>
      <c r="H7" s="207">
        <f>Výdavky!N74</f>
        <v>0</v>
      </c>
      <c r="I7" s="207">
        <f t="shared" si="4"/>
        <v>0</v>
      </c>
      <c r="J7" s="254">
        <f t="shared" si="0"/>
        <v>120120</v>
      </c>
      <c r="K7" s="42">
        <f t="shared" si="1"/>
        <v>0</v>
      </c>
      <c r="L7" s="222">
        <f t="shared" si="2"/>
        <v>120120</v>
      </c>
    </row>
    <row r="8" spans="2:14" ht="14.25" x14ac:dyDescent="0.2">
      <c r="B8" s="108">
        <v>5</v>
      </c>
      <c r="C8" s="102" t="s">
        <v>421</v>
      </c>
      <c r="D8" s="246">
        <f>Výdavky!I114</f>
        <v>4180908</v>
      </c>
      <c r="E8" s="42">
        <f>Výdavky!J114</f>
        <v>0</v>
      </c>
      <c r="F8" s="109">
        <f t="shared" si="3"/>
        <v>4180908</v>
      </c>
      <c r="G8" s="239">
        <f>Výdavky!M114</f>
        <v>1611767</v>
      </c>
      <c r="H8" s="207">
        <f>Výdavky!N114</f>
        <v>0</v>
      </c>
      <c r="I8" s="207">
        <f t="shared" si="4"/>
        <v>1611767</v>
      </c>
      <c r="J8" s="254">
        <f t="shared" si="0"/>
        <v>5792675</v>
      </c>
      <c r="K8" s="42">
        <f t="shared" si="1"/>
        <v>0</v>
      </c>
      <c r="L8" s="222">
        <f t="shared" si="2"/>
        <v>5792675</v>
      </c>
    </row>
    <row r="9" spans="2:14" ht="14.25" x14ac:dyDescent="0.2">
      <c r="B9" s="108">
        <v>6</v>
      </c>
      <c r="C9" s="102" t="s">
        <v>422</v>
      </c>
      <c r="D9" s="246">
        <f>Výdavky!I220</f>
        <v>609546</v>
      </c>
      <c r="E9" s="42">
        <f>Výdavky!J220</f>
        <v>0</v>
      </c>
      <c r="F9" s="109">
        <f t="shared" si="3"/>
        <v>609546</v>
      </c>
      <c r="G9" s="239">
        <f>Výdavky!M220</f>
        <v>28000</v>
      </c>
      <c r="H9" s="207">
        <f>Výdavky!N220</f>
        <v>0</v>
      </c>
      <c r="I9" s="207">
        <f t="shared" si="4"/>
        <v>28000</v>
      </c>
      <c r="J9" s="254">
        <f t="shared" si="0"/>
        <v>637546</v>
      </c>
      <c r="K9" s="42">
        <f t="shared" si="1"/>
        <v>0</v>
      </c>
      <c r="L9" s="222">
        <f t="shared" si="2"/>
        <v>637546</v>
      </c>
    </row>
    <row r="10" spans="2:14" ht="14.25" x14ac:dyDescent="0.2">
      <c r="B10" s="108">
        <v>7</v>
      </c>
      <c r="C10" s="102" t="s">
        <v>431</v>
      </c>
      <c r="D10" s="246">
        <f>Výdavky!I328</f>
        <v>1827505</v>
      </c>
      <c r="E10" s="42">
        <f>Výdavky!J328</f>
        <v>0</v>
      </c>
      <c r="F10" s="109">
        <f t="shared" si="3"/>
        <v>1827505</v>
      </c>
      <c r="G10" s="239">
        <f>Výdavky!M328</f>
        <v>96050</v>
      </c>
      <c r="H10" s="207">
        <f>Výdavky!N328</f>
        <v>0</v>
      </c>
      <c r="I10" s="207">
        <f t="shared" si="4"/>
        <v>96050</v>
      </c>
      <c r="J10" s="254">
        <f t="shared" si="0"/>
        <v>1923555</v>
      </c>
      <c r="K10" s="42">
        <f t="shared" si="1"/>
        <v>0</v>
      </c>
      <c r="L10" s="222">
        <f t="shared" si="2"/>
        <v>1923555</v>
      </c>
    </row>
    <row r="11" spans="2:14" ht="14.25" x14ac:dyDescent="0.2">
      <c r="B11" s="108">
        <v>8</v>
      </c>
      <c r="C11" s="102" t="s">
        <v>423</v>
      </c>
      <c r="D11" s="246">
        <f>Výdavky!I433</f>
        <v>4410000</v>
      </c>
      <c r="E11" s="42">
        <f>Výdavky!J433</f>
        <v>0</v>
      </c>
      <c r="F11" s="109">
        <f t="shared" si="3"/>
        <v>4410000</v>
      </c>
      <c r="G11" s="239">
        <f>Výdavky!M433</f>
        <v>6482148</v>
      </c>
      <c r="H11" s="207">
        <f>Výdavky!N433</f>
        <v>0</v>
      </c>
      <c r="I11" s="207">
        <f t="shared" si="4"/>
        <v>6482148</v>
      </c>
      <c r="J11" s="254">
        <f t="shared" si="0"/>
        <v>10892148</v>
      </c>
      <c r="K11" s="42">
        <f t="shared" si="1"/>
        <v>0</v>
      </c>
      <c r="L11" s="222">
        <f t="shared" si="2"/>
        <v>10892148</v>
      </c>
    </row>
    <row r="12" spans="2:14" ht="14.25" x14ac:dyDescent="0.2">
      <c r="B12" s="108">
        <v>9</v>
      </c>
      <c r="C12" s="102" t="s">
        <v>432</v>
      </c>
      <c r="D12" s="246">
        <f>Výdavky!I597</f>
        <v>17906140</v>
      </c>
      <c r="E12" s="42">
        <f>Výdavky!J597</f>
        <v>-54820</v>
      </c>
      <c r="F12" s="109">
        <f t="shared" si="3"/>
        <v>17851320</v>
      </c>
      <c r="G12" s="239">
        <f>Výdavky!M597</f>
        <v>2695138</v>
      </c>
      <c r="H12" s="207">
        <f>Výdavky!N597</f>
        <v>0</v>
      </c>
      <c r="I12" s="207">
        <f t="shared" si="4"/>
        <v>2695138</v>
      </c>
      <c r="J12" s="254">
        <f t="shared" si="0"/>
        <v>20601278</v>
      </c>
      <c r="K12" s="42">
        <f t="shared" si="1"/>
        <v>-54820</v>
      </c>
      <c r="L12" s="222">
        <f t="shared" si="2"/>
        <v>20546458</v>
      </c>
    </row>
    <row r="13" spans="2:14" ht="14.25" x14ac:dyDescent="0.2">
      <c r="B13" s="108">
        <v>10</v>
      </c>
      <c r="C13" s="102" t="s">
        <v>424</v>
      </c>
      <c r="D13" s="246">
        <f>Výdavky!I1362</f>
        <v>2153041</v>
      </c>
      <c r="E13" s="42">
        <f>Výdavky!J1362</f>
        <v>0</v>
      </c>
      <c r="F13" s="109">
        <f t="shared" si="3"/>
        <v>2153041</v>
      </c>
      <c r="G13" s="239">
        <f>Výdavky!M1362</f>
        <v>1217495</v>
      </c>
      <c r="H13" s="207">
        <f>Výdavky!N1362</f>
        <v>0</v>
      </c>
      <c r="I13" s="207">
        <f t="shared" si="4"/>
        <v>1217495</v>
      </c>
      <c r="J13" s="254">
        <f t="shared" si="0"/>
        <v>3370536</v>
      </c>
      <c r="K13" s="42">
        <f t="shared" si="1"/>
        <v>0</v>
      </c>
      <c r="L13" s="222">
        <f t="shared" si="2"/>
        <v>3370536</v>
      </c>
    </row>
    <row r="14" spans="2:14" ht="14.25" x14ac:dyDescent="0.2">
      <c r="B14" s="108">
        <v>11</v>
      </c>
      <c r="C14" s="102" t="s">
        <v>425</v>
      </c>
      <c r="D14" s="246">
        <f>Výdavky!I1519</f>
        <v>502920</v>
      </c>
      <c r="E14" s="42">
        <f>Výdavky!J1519</f>
        <v>0</v>
      </c>
      <c r="F14" s="109">
        <f t="shared" si="3"/>
        <v>502920</v>
      </c>
      <c r="G14" s="239">
        <f>Výdavky!M1519</f>
        <v>52320</v>
      </c>
      <c r="H14" s="207">
        <f>Výdavky!N1519</f>
        <v>0</v>
      </c>
      <c r="I14" s="207">
        <f t="shared" si="4"/>
        <v>52320</v>
      </c>
      <c r="J14" s="254">
        <f t="shared" si="0"/>
        <v>555240</v>
      </c>
      <c r="K14" s="42">
        <f t="shared" si="1"/>
        <v>0</v>
      </c>
      <c r="L14" s="222">
        <f t="shared" si="2"/>
        <v>555240</v>
      </c>
    </row>
    <row r="15" spans="2:14" ht="14.25" x14ac:dyDescent="0.2">
      <c r="B15" s="108">
        <v>12</v>
      </c>
      <c r="C15" s="102" t="s">
        <v>426</v>
      </c>
      <c r="D15" s="246">
        <f>Výdavky!I1574</f>
        <v>4313355</v>
      </c>
      <c r="E15" s="42">
        <f>Výdavky!J1574</f>
        <v>0</v>
      </c>
      <c r="F15" s="109">
        <f t="shared" si="3"/>
        <v>4313355</v>
      </c>
      <c r="G15" s="239">
        <f>Výdavky!M1574</f>
        <v>468566</v>
      </c>
      <c r="H15" s="207">
        <f>Výdavky!N1574</f>
        <v>0</v>
      </c>
      <c r="I15" s="207">
        <f t="shared" si="4"/>
        <v>468566</v>
      </c>
      <c r="J15" s="254">
        <f t="shared" si="0"/>
        <v>4781921</v>
      </c>
      <c r="K15" s="42">
        <f t="shared" si="1"/>
        <v>0</v>
      </c>
      <c r="L15" s="222">
        <f t="shared" si="2"/>
        <v>4781921</v>
      </c>
    </row>
    <row r="16" spans="2:14" ht="14.25" x14ac:dyDescent="0.2">
      <c r="B16" s="108">
        <v>13</v>
      </c>
      <c r="C16" s="102" t="s">
        <v>427</v>
      </c>
      <c r="D16" s="246">
        <f>Výdavky!I1681</f>
        <v>3301320</v>
      </c>
      <c r="E16" s="42">
        <f>Výdavky!J1681</f>
        <v>2700</v>
      </c>
      <c r="F16" s="109">
        <f t="shared" si="3"/>
        <v>3304020</v>
      </c>
      <c r="G16" s="239">
        <f>Výdavky!M1681</f>
        <v>7000</v>
      </c>
      <c r="H16" s="207">
        <f>Výdavky!N1681</f>
        <v>0</v>
      </c>
      <c r="I16" s="207">
        <f t="shared" si="4"/>
        <v>7000</v>
      </c>
      <c r="J16" s="254">
        <f t="shared" si="0"/>
        <v>3308320</v>
      </c>
      <c r="K16" s="42">
        <f t="shared" si="1"/>
        <v>2700</v>
      </c>
      <c r="L16" s="222">
        <f t="shared" si="2"/>
        <v>3311020</v>
      </c>
      <c r="N16" s="16"/>
    </row>
    <row r="17" spans="2:14" ht="14.25" x14ac:dyDescent="0.2">
      <c r="B17" s="108">
        <v>14</v>
      </c>
      <c r="C17" s="102" t="s">
        <v>428</v>
      </c>
      <c r="D17" s="246">
        <f>Výdavky!I1840</f>
        <v>282050</v>
      </c>
      <c r="E17" s="42">
        <f>Výdavky!J1840</f>
        <v>0</v>
      </c>
      <c r="F17" s="109">
        <f t="shared" si="3"/>
        <v>282050</v>
      </c>
      <c r="G17" s="239">
        <f>Výdavky!M1840</f>
        <v>3538555</v>
      </c>
      <c r="H17" s="207">
        <f>Výdavky!N1840</f>
        <v>0</v>
      </c>
      <c r="I17" s="207">
        <f t="shared" si="4"/>
        <v>3538555</v>
      </c>
      <c r="J17" s="254">
        <f t="shared" si="0"/>
        <v>3820605</v>
      </c>
      <c r="K17" s="42">
        <f t="shared" si="1"/>
        <v>0</v>
      </c>
      <c r="L17" s="222">
        <f t="shared" si="2"/>
        <v>3820605</v>
      </c>
      <c r="N17" s="16"/>
    </row>
    <row r="18" spans="2:14" s="43" customFormat="1" ht="15" x14ac:dyDescent="0.2">
      <c r="B18" s="139">
        <v>15</v>
      </c>
      <c r="C18" s="145" t="s">
        <v>33</v>
      </c>
      <c r="D18" s="247">
        <f>D4-D5</f>
        <v>2809992</v>
      </c>
      <c r="E18" s="141">
        <f t="shared" ref="E18" si="5">E4-E5</f>
        <v>-408751</v>
      </c>
      <c r="F18" s="248">
        <f t="shared" si="3"/>
        <v>2401241</v>
      </c>
      <c r="G18" s="240"/>
      <c r="H18" s="208"/>
      <c r="I18" s="208">
        <f t="shared" si="4"/>
        <v>0</v>
      </c>
      <c r="J18" s="255"/>
      <c r="K18" s="140"/>
      <c r="L18" s="223"/>
    </row>
    <row r="19" spans="2:14" s="43" customFormat="1" ht="15" x14ac:dyDescent="0.2">
      <c r="B19" s="139">
        <v>16</v>
      </c>
      <c r="C19" s="146" t="s">
        <v>445</v>
      </c>
      <c r="D19" s="249"/>
      <c r="E19" s="140"/>
      <c r="F19" s="142"/>
      <c r="G19" s="241">
        <f>G4-G5</f>
        <v>-12378670</v>
      </c>
      <c r="H19" s="209"/>
      <c r="I19" s="209">
        <f t="shared" si="4"/>
        <v>-12378670</v>
      </c>
      <c r="J19" s="255"/>
      <c r="K19" s="140"/>
      <c r="L19" s="223"/>
    </row>
    <row r="20" spans="2:14" s="43" customFormat="1" ht="15.75" thickBot="1" x14ac:dyDescent="0.25">
      <c r="B20" s="143">
        <v>17</v>
      </c>
      <c r="C20" s="147" t="s">
        <v>446</v>
      </c>
      <c r="D20" s="250"/>
      <c r="E20" s="144"/>
      <c r="F20" s="251"/>
      <c r="G20" s="242"/>
      <c r="H20" s="210"/>
      <c r="I20" s="210"/>
      <c r="J20" s="256">
        <f>J4-J5</f>
        <v>-9568678</v>
      </c>
      <c r="K20" s="227">
        <f t="shared" ref="K20:L20" si="6">K4-K5</f>
        <v>-408751</v>
      </c>
      <c r="L20" s="224">
        <f t="shared" si="6"/>
        <v>-9977429</v>
      </c>
    </row>
    <row r="21" spans="2:14" ht="8.25" customHeight="1" thickBot="1" x14ac:dyDescent="0.25">
      <c r="B21" s="178"/>
      <c r="C21" s="179"/>
      <c r="D21" s="45"/>
      <c r="E21" s="45"/>
      <c r="F21" s="45"/>
      <c r="G21" s="45"/>
      <c r="H21" s="45"/>
      <c r="I21" s="45"/>
      <c r="J21" s="45"/>
      <c r="K21" s="228"/>
    </row>
    <row r="22" spans="2:14" ht="15.75" thickBot="1" x14ac:dyDescent="0.25">
      <c r="B22" s="402" t="s">
        <v>119</v>
      </c>
      <c r="C22" s="403"/>
      <c r="D22" s="403"/>
      <c r="E22" s="403"/>
      <c r="F22" s="403"/>
      <c r="G22" s="403"/>
      <c r="H22" s="403"/>
      <c r="I22" s="403"/>
      <c r="J22" s="403"/>
      <c r="K22" s="229"/>
      <c r="L22" s="225"/>
    </row>
    <row r="23" spans="2:14" ht="15.75" x14ac:dyDescent="0.25">
      <c r="B23" s="110">
        <v>1</v>
      </c>
      <c r="C23" s="404" t="s">
        <v>34</v>
      </c>
      <c r="D23" s="405"/>
      <c r="E23" s="405"/>
      <c r="F23" s="405"/>
      <c r="G23" s="405"/>
      <c r="H23" s="211"/>
      <c r="I23" s="211"/>
      <c r="J23" s="258">
        <f>SUM(J24:J31)</f>
        <v>13059218</v>
      </c>
      <c r="K23" s="230">
        <f t="shared" ref="K23" si="7">SUM(K24:K31)</f>
        <v>408751</v>
      </c>
      <c r="L23" s="214">
        <f>J23+K23</f>
        <v>13467969</v>
      </c>
    </row>
    <row r="24" spans="2:14" x14ac:dyDescent="0.2">
      <c r="B24" s="83">
        <f t="shared" ref="B24:B40" si="8">B23+1</f>
        <v>2</v>
      </c>
      <c r="C24" s="400" t="s">
        <v>360</v>
      </c>
      <c r="D24" s="361"/>
      <c r="E24" s="361"/>
      <c r="F24" s="361"/>
      <c r="G24" s="361"/>
      <c r="H24" s="200"/>
      <c r="I24" s="202"/>
      <c r="J24" s="259">
        <f>1900000+1835100+150000+150000+92200+50160+289035+221000+921418</f>
        <v>5608913</v>
      </c>
      <c r="K24" s="231"/>
      <c r="L24" s="215">
        <f t="shared" ref="L24:L40" si="9">J24+K24</f>
        <v>5608913</v>
      </c>
    </row>
    <row r="25" spans="2:14" x14ac:dyDescent="0.2">
      <c r="B25" s="83">
        <f t="shared" si="8"/>
        <v>3</v>
      </c>
      <c r="C25" s="203" t="s">
        <v>573</v>
      </c>
      <c r="D25" s="202"/>
      <c r="E25" s="202"/>
      <c r="F25" s="202"/>
      <c r="G25" s="202"/>
      <c r="H25" s="202"/>
      <c r="I25" s="202"/>
      <c r="J25" s="259">
        <v>0</v>
      </c>
      <c r="K25" s="231">
        <v>2300</v>
      </c>
      <c r="L25" s="215">
        <f>K25+J25</f>
        <v>2300</v>
      </c>
    </row>
    <row r="26" spans="2:14" x14ac:dyDescent="0.2">
      <c r="B26" s="83">
        <f t="shared" si="8"/>
        <v>4</v>
      </c>
      <c r="C26" s="400" t="s">
        <v>361</v>
      </c>
      <c r="D26" s="361"/>
      <c r="E26" s="361"/>
      <c r="F26" s="361"/>
      <c r="G26" s="361"/>
      <c r="H26" s="200"/>
      <c r="I26" s="202"/>
      <c r="J26" s="260">
        <v>540255</v>
      </c>
      <c r="K26" s="232"/>
      <c r="L26" s="216">
        <f t="shared" si="9"/>
        <v>540255</v>
      </c>
    </row>
    <row r="27" spans="2:14" x14ac:dyDescent="0.2">
      <c r="B27" s="83">
        <f t="shared" si="8"/>
        <v>5</v>
      </c>
      <c r="C27" s="203" t="s">
        <v>575</v>
      </c>
      <c r="D27" s="202"/>
      <c r="E27" s="202"/>
      <c r="F27" s="202"/>
      <c r="G27" s="202"/>
      <c r="H27" s="202"/>
      <c r="I27" s="202"/>
      <c r="J27" s="260">
        <v>0</v>
      </c>
      <c r="K27" s="232">
        <v>406451</v>
      </c>
      <c r="L27" s="216">
        <f t="shared" si="9"/>
        <v>406451</v>
      </c>
    </row>
    <row r="28" spans="2:14" x14ac:dyDescent="0.2">
      <c r="B28" s="83">
        <f t="shared" si="8"/>
        <v>6</v>
      </c>
      <c r="C28" s="400" t="s">
        <v>362</v>
      </c>
      <c r="D28" s="361"/>
      <c r="E28" s="361"/>
      <c r="F28" s="361"/>
      <c r="G28" s="361"/>
      <c r="H28" s="200"/>
      <c r="I28" s="202"/>
      <c r="J28" s="259">
        <f>4360000-150000</f>
        <v>4210000</v>
      </c>
      <c r="K28" s="231"/>
      <c r="L28" s="215">
        <f t="shared" si="9"/>
        <v>4210000</v>
      </c>
    </row>
    <row r="29" spans="2:14" x14ac:dyDescent="0.2">
      <c r="B29" s="83">
        <f t="shared" si="8"/>
        <v>7</v>
      </c>
      <c r="C29" s="400" t="s">
        <v>363</v>
      </c>
      <c r="D29" s="361"/>
      <c r="E29" s="361"/>
      <c r="F29" s="361"/>
      <c r="G29" s="361"/>
      <c r="H29" s="200"/>
      <c r="I29" s="202"/>
      <c r="J29" s="259">
        <v>1529840</v>
      </c>
      <c r="K29" s="231"/>
      <c r="L29" s="215">
        <f t="shared" si="9"/>
        <v>1529840</v>
      </c>
    </row>
    <row r="30" spans="2:14" x14ac:dyDescent="0.2">
      <c r="B30" s="83">
        <f t="shared" si="8"/>
        <v>8</v>
      </c>
      <c r="C30" s="400" t="s">
        <v>541</v>
      </c>
      <c r="D30" s="361"/>
      <c r="E30" s="361"/>
      <c r="F30" s="361"/>
      <c r="G30" s="361"/>
      <c r="H30" s="200"/>
      <c r="I30" s="202"/>
      <c r="J30" s="259">
        <v>770210</v>
      </c>
      <c r="K30" s="231"/>
      <c r="L30" s="215">
        <f t="shared" si="9"/>
        <v>770210</v>
      </c>
    </row>
    <row r="31" spans="2:14" x14ac:dyDescent="0.2">
      <c r="B31" s="83">
        <f t="shared" si="8"/>
        <v>9</v>
      </c>
      <c r="C31" s="58" t="s">
        <v>400</v>
      </c>
      <c r="D31" s="57"/>
      <c r="E31" s="200"/>
      <c r="F31" s="200"/>
      <c r="G31" s="57"/>
      <c r="H31" s="200"/>
      <c r="I31" s="202"/>
      <c r="J31" s="259">
        <v>400000</v>
      </c>
      <c r="K31" s="231"/>
      <c r="L31" s="215">
        <f t="shared" si="9"/>
        <v>400000</v>
      </c>
    </row>
    <row r="32" spans="2:14" ht="15.75" x14ac:dyDescent="0.25">
      <c r="B32" s="83">
        <f t="shared" si="8"/>
        <v>10</v>
      </c>
      <c r="C32" s="401" t="s">
        <v>35</v>
      </c>
      <c r="D32" s="361"/>
      <c r="E32" s="361"/>
      <c r="F32" s="361"/>
      <c r="G32" s="361"/>
      <c r="H32" s="212"/>
      <c r="I32" s="212"/>
      <c r="J32" s="261">
        <f>SUM(J33:J39)</f>
        <v>3490540</v>
      </c>
      <c r="K32" s="233">
        <f t="shared" ref="K32" si="10">SUM(K33:K39)</f>
        <v>0</v>
      </c>
      <c r="L32" s="213">
        <f t="shared" si="9"/>
        <v>3490540</v>
      </c>
      <c r="M32" s="16"/>
    </row>
    <row r="33" spans="2:12" x14ac:dyDescent="0.2">
      <c r="B33" s="83">
        <f t="shared" si="8"/>
        <v>11</v>
      </c>
      <c r="C33" s="400" t="s">
        <v>433</v>
      </c>
      <c r="D33" s="361"/>
      <c r="E33" s="361"/>
      <c r="F33" s="361"/>
      <c r="G33" s="361"/>
      <c r="H33" s="200"/>
      <c r="I33" s="202"/>
      <c r="J33" s="259">
        <v>1883000</v>
      </c>
      <c r="K33" s="231"/>
      <c r="L33" s="215">
        <f t="shared" si="9"/>
        <v>1883000</v>
      </c>
    </row>
    <row r="34" spans="2:12" x14ac:dyDescent="0.2">
      <c r="B34" s="83">
        <f t="shared" si="8"/>
        <v>12</v>
      </c>
      <c r="C34" s="400" t="s">
        <v>434</v>
      </c>
      <c r="D34" s="361"/>
      <c r="E34" s="361"/>
      <c r="F34" s="361"/>
      <c r="G34" s="361"/>
      <c r="H34" s="200"/>
      <c r="I34" s="202"/>
      <c r="J34" s="259">
        <v>925000</v>
      </c>
      <c r="K34" s="231"/>
      <c r="L34" s="215">
        <f t="shared" si="9"/>
        <v>925000</v>
      </c>
    </row>
    <row r="35" spans="2:12" x14ac:dyDescent="0.2">
      <c r="B35" s="83">
        <f t="shared" si="8"/>
        <v>13</v>
      </c>
      <c r="C35" s="400" t="s">
        <v>435</v>
      </c>
      <c r="D35" s="361"/>
      <c r="E35" s="361"/>
      <c r="F35" s="361"/>
      <c r="G35" s="361"/>
      <c r="H35" s="200"/>
      <c r="I35" s="202"/>
      <c r="J35" s="259">
        <f>58700+126000</f>
        <v>184700</v>
      </c>
      <c r="K35" s="231"/>
      <c r="L35" s="215">
        <f t="shared" si="9"/>
        <v>184700</v>
      </c>
    </row>
    <row r="36" spans="2:12" x14ac:dyDescent="0.2">
      <c r="B36" s="83">
        <f t="shared" si="8"/>
        <v>14</v>
      </c>
      <c r="C36" s="400" t="s">
        <v>436</v>
      </c>
      <c r="D36" s="361"/>
      <c r="E36" s="361"/>
      <c r="F36" s="361"/>
      <c r="G36" s="361"/>
      <c r="H36" s="200"/>
      <c r="I36" s="202"/>
      <c r="J36" s="259">
        <v>25000</v>
      </c>
      <c r="K36" s="231"/>
      <c r="L36" s="215">
        <f t="shared" si="9"/>
        <v>25000</v>
      </c>
    </row>
    <row r="37" spans="2:12" x14ac:dyDescent="0.2">
      <c r="B37" s="83">
        <f t="shared" si="8"/>
        <v>15</v>
      </c>
      <c r="C37" s="400" t="s">
        <v>543</v>
      </c>
      <c r="D37" s="361"/>
      <c r="E37" s="361"/>
      <c r="F37" s="361"/>
      <c r="G37" s="361"/>
      <c r="H37" s="200"/>
      <c r="I37" s="202"/>
      <c r="J37" s="259">
        <v>60000</v>
      </c>
      <c r="K37" s="231"/>
      <c r="L37" s="215">
        <f t="shared" si="9"/>
        <v>60000</v>
      </c>
    </row>
    <row r="38" spans="2:12" x14ac:dyDescent="0.2">
      <c r="B38" s="83">
        <f t="shared" si="8"/>
        <v>16</v>
      </c>
      <c r="C38" s="400" t="s">
        <v>542</v>
      </c>
      <c r="D38" s="361"/>
      <c r="E38" s="361"/>
      <c r="F38" s="361"/>
      <c r="G38" s="361"/>
      <c r="H38" s="201"/>
      <c r="I38" s="204"/>
      <c r="J38" s="262">
        <v>12840</v>
      </c>
      <c r="K38" s="234"/>
      <c r="L38" s="217">
        <f t="shared" si="9"/>
        <v>12840</v>
      </c>
    </row>
    <row r="39" spans="2:12" ht="13.5" thickBot="1" x14ac:dyDescent="0.25">
      <c r="B39" s="83">
        <f t="shared" si="8"/>
        <v>17</v>
      </c>
      <c r="C39" s="59" t="s">
        <v>401</v>
      </c>
      <c r="D39" s="60"/>
      <c r="E39" s="201"/>
      <c r="F39" s="201"/>
      <c r="G39" s="60"/>
      <c r="H39" s="201"/>
      <c r="I39" s="257"/>
      <c r="J39" s="263">
        <v>400000</v>
      </c>
      <c r="K39" s="235"/>
      <c r="L39" s="218">
        <f t="shared" si="9"/>
        <v>400000</v>
      </c>
    </row>
    <row r="40" spans="2:12" ht="17.25" thickTop="1" thickBot="1" x14ac:dyDescent="0.3">
      <c r="B40" s="89">
        <f t="shared" si="8"/>
        <v>18</v>
      </c>
      <c r="C40" s="408" t="s">
        <v>36</v>
      </c>
      <c r="D40" s="409"/>
      <c r="E40" s="409"/>
      <c r="F40" s="409"/>
      <c r="G40" s="409"/>
      <c r="H40" s="265"/>
      <c r="I40" s="265"/>
      <c r="J40" s="264">
        <f>J4-J5+J23-J32</f>
        <v>0</v>
      </c>
      <c r="K40" s="236">
        <f t="shared" ref="K40" si="11">K4-K5+K23-K32</f>
        <v>0</v>
      </c>
      <c r="L40" s="226">
        <f t="shared" si="9"/>
        <v>0</v>
      </c>
    </row>
    <row r="42" spans="2:12" ht="42.75" customHeight="1" x14ac:dyDescent="0.2">
      <c r="B42" s="406" t="s">
        <v>505</v>
      </c>
      <c r="C42" s="406"/>
      <c r="D42" s="406"/>
      <c r="E42" s="406"/>
      <c r="F42" s="406"/>
      <c r="G42" s="406"/>
      <c r="H42" s="406"/>
      <c r="I42" s="406"/>
      <c r="J42" s="406"/>
      <c r="K42" s="406"/>
      <c r="L42" s="406"/>
    </row>
    <row r="43" spans="2:12" ht="27" customHeight="1" x14ac:dyDescent="0.2">
      <c r="B43" s="407" t="s">
        <v>513</v>
      </c>
      <c r="C43" s="407"/>
      <c r="D43" s="407"/>
      <c r="E43" s="407"/>
      <c r="F43" s="407"/>
      <c r="G43" s="407"/>
      <c r="H43" s="407"/>
      <c r="I43" s="407"/>
      <c r="J43" s="407"/>
      <c r="K43" s="407"/>
      <c r="L43" s="407"/>
    </row>
    <row r="44" spans="2:12" x14ac:dyDescent="0.2">
      <c r="C44" s="166"/>
      <c r="D44" s="166"/>
      <c r="E44" s="166"/>
      <c r="F44" s="166"/>
      <c r="G44" s="167"/>
      <c r="H44" s="167"/>
      <c r="I44" s="167"/>
      <c r="J44"/>
    </row>
    <row r="45" spans="2:12" x14ac:dyDescent="0.2">
      <c r="J45"/>
    </row>
    <row r="46" spans="2:12" x14ac:dyDescent="0.2">
      <c r="J46"/>
    </row>
    <row r="47" spans="2:12" x14ac:dyDescent="0.2">
      <c r="J47"/>
    </row>
    <row r="48" spans="2:12" x14ac:dyDescent="0.2">
      <c r="J48"/>
    </row>
  </sheetData>
  <mergeCells count="18">
    <mergeCell ref="B42:L42"/>
    <mergeCell ref="B43:L43"/>
    <mergeCell ref="C36:G36"/>
    <mergeCell ref="C37:G37"/>
    <mergeCell ref="C40:G40"/>
    <mergeCell ref="C38:G38"/>
    <mergeCell ref="C33:G33"/>
    <mergeCell ref="C26:G26"/>
    <mergeCell ref="C28:G28"/>
    <mergeCell ref="C34:G34"/>
    <mergeCell ref="C35:G35"/>
    <mergeCell ref="B2:C2"/>
    <mergeCell ref="C29:G29"/>
    <mergeCell ref="C32:G32"/>
    <mergeCell ref="B22:J22"/>
    <mergeCell ref="C23:G23"/>
    <mergeCell ref="C24:G24"/>
    <mergeCell ref="C30:G30"/>
  </mergeCells>
  <phoneticPr fontId="1" type="noConversion"/>
  <pageMargins left="0.55118110236220474" right="0.39370078740157483" top="0.78740157480314965" bottom="0.59055118110236227" header="0.51181102362204722" footer="0.51181102362204722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Príjmy</vt:lpstr>
      <vt:lpstr>Výdavky</vt:lpstr>
      <vt:lpstr>Sumarizácia</vt:lpstr>
      <vt:lpstr>Príjmy!Oblasť_tlače</vt:lpstr>
      <vt:lpstr>Sumarizácia!Oblasť_tlače</vt:lpstr>
      <vt:lpstr>Výdavky!Oblasť_tlače</vt:lpstr>
    </vt:vector>
  </TitlesOfParts>
  <Company>corageo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masarik.daniel</dc:creator>
  <cp:lastModifiedBy>Ing. Andrea Prnová Žilková</cp:lastModifiedBy>
  <cp:lastPrinted>2018-04-25T06:21:54Z</cp:lastPrinted>
  <dcterms:created xsi:type="dcterms:W3CDTF">2014-05-27T11:25:41Z</dcterms:created>
  <dcterms:modified xsi:type="dcterms:W3CDTF">2018-04-27T08:37:47Z</dcterms:modified>
</cp:coreProperties>
</file>