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205" tabRatio="910" activeTab="0"/>
  </bookViews>
  <sheets>
    <sheet name="BP" sheetId="1" r:id="rId1"/>
    <sheet name="KP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SUM" sheetId="15" r:id="rId15"/>
  </sheets>
  <definedNames>
    <definedName name="_xlnm.Print_Area" localSheetId="0">'BP'!$B$1:$J$149</definedName>
    <definedName name="_xlnm.Print_Area" localSheetId="1">'KP'!$B$3:$I$36</definedName>
    <definedName name="_xlnm.Print_Area" localSheetId="2">'P1'!$B$2:$V$34</definedName>
    <definedName name="_xlnm.Print_Area" localSheetId="11">'P10'!$B$2:$V$30</definedName>
    <definedName name="_xlnm.Print_Area" localSheetId="12">'P11'!$B$2:$T$39</definedName>
    <definedName name="_xlnm.Print_Area" localSheetId="13">'P12'!$B$2:$W$23</definedName>
    <definedName name="_xlnm.Print_Area" localSheetId="3">'P2'!$B$2:$T$16</definedName>
    <definedName name="_xlnm.Print_Area" localSheetId="4">'P3'!$B$2:$V$40</definedName>
    <definedName name="_xlnm.Print_Area" localSheetId="5">'P4'!$B$2:$V$34</definedName>
    <definedName name="_xlnm.Print_Area" localSheetId="6">'P5'!$B$2:$V$26</definedName>
    <definedName name="_xlnm.Print_Area" localSheetId="7">'P6'!$B$2:$U$21</definedName>
    <definedName name="_xlnm.Print_Area" localSheetId="8">'P7'!$B$2:$W$70</definedName>
    <definedName name="_xlnm.Print_Area" localSheetId="9">'P8'!$B$2:$V$50</definedName>
    <definedName name="_xlnm.Print_Area" localSheetId="10">'P9'!$B$2:$V$40</definedName>
    <definedName name="_xlnm.Print_Area" localSheetId="14">'SUM'!$B$2:$L$50</definedName>
  </definedNames>
  <calcPr fullCalcOnLoad="1"/>
</workbook>
</file>

<file path=xl/sharedStrings.xml><?xml version="1.0" encoding="utf-8"?>
<sst xmlns="http://schemas.openxmlformats.org/spreadsheetml/2006/main" count="867" uniqueCount="472">
  <si>
    <t xml:space="preserve">         - za služby technickej dokumentácie</t>
  </si>
  <si>
    <t>Verejná zeleň</t>
  </si>
  <si>
    <t>Hlásenie pobytu občanov a register obyvateľov</t>
  </si>
  <si>
    <t>Príspevky neštátnym subjektom</t>
  </si>
  <si>
    <t xml:space="preserve">         - prostriedky z recyklačného fondu a za vysepar.KO</t>
  </si>
  <si>
    <t>ukazovateľ</t>
  </si>
  <si>
    <t>1</t>
  </si>
  <si>
    <t>2</t>
  </si>
  <si>
    <t>3</t>
  </si>
  <si>
    <t>4</t>
  </si>
  <si>
    <t>5</t>
  </si>
  <si>
    <t>ekonomická klasifikácia</t>
  </si>
  <si>
    <t>Bežné výdavky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</si>
  <si>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</si>
  <si>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</si>
  <si>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</si>
  <si>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</si>
  <si>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</si>
  <si>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</si>
  <si>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</si>
  <si>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</si>
  <si>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</si>
  <si>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</si>
  <si>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</si>
  <si>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</si>
  <si>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</si>
  <si>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</si>
  <si>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</si>
  <si>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</si>
  <si>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</si>
  <si>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</si>
  <si>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</si>
  <si>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</si>
  <si>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</si>
  <si>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</si>
  <si>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</si>
  <si>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</si>
  <si>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</si>
  <si>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</si>
  <si>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</si>
  <si>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</si>
  <si>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</si>
  <si>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</si>
  <si>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</si>
  <si>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</si>
  <si>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</si>
  <si>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</si>
  <si>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</si>
  <si>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</si>
  <si>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</si>
  <si>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</si>
  <si>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</si>
  <si>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</si>
  <si>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</si>
  <si>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>administratívne poplatky - ostatné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</si>
  <si>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</si>
  <si>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</si>
  <si>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</si>
  <si>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</si>
  <si>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</si>
  <si>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</si>
  <si>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</si>
  <si>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</si>
  <si>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</si>
  <si>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</si>
  <si>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</si>
  <si>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</si>
  <si>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</si>
  <si>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</si>
  <si>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</si>
  <si>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>MESTSKÉ HOSPODÁRSTVO A SPRÁVA LESOV m.r.o.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</si>
  <si>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</si>
  <si>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</si>
  <si>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</si>
  <si>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</si>
  <si>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</si>
  <si>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</si>
  <si>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</si>
  <si>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</si>
  <si>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</rPr>
      <t>.</t>
    </r>
  </si>
  <si>
    <t>za stravovanie</t>
  </si>
  <si>
    <t>Spoločný stavebný úrad</t>
  </si>
  <si>
    <t>z mestských lesov - stredisko Soblahov</t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</si>
  <si>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</si>
  <si>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</si>
  <si>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</si>
  <si>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</si>
  <si>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</si>
  <si>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poplatky a platby za bývanie a zaopatrenie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</si>
  <si>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</si>
  <si>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</si>
  <si>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</si>
  <si>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</si>
  <si>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</si>
  <si>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</si>
  <si>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</si>
  <si>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</si>
  <si>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</si>
  <si>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</si>
  <si>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</si>
  <si>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</si>
  <si>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</si>
  <si>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</si>
  <si>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</si>
  <si>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</si>
  <si>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Správa a údržba pozemných komunikácií</t>
  </si>
  <si>
    <t xml:space="preserve">   z toho:</t>
  </si>
  <si>
    <t xml:space="preserve">        Program 4:   Služby občanom</t>
  </si>
  <si>
    <t xml:space="preserve">        Program 3:   Interné služby mesta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</si>
  <si>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</si>
  <si>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</si>
  <si>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</si>
  <si>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</si>
  <si>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</si>
  <si>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</si>
  <si>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Kluby dôchodcov</t>
  </si>
  <si>
    <t>Pochovanie občana</t>
  </si>
  <si>
    <t>Organizácia občianskych obradov</t>
  </si>
  <si>
    <t>Činnosť matriky</t>
  </si>
  <si>
    <t>Verejné toalety</t>
  </si>
  <si>
    <t>Civilná ochrana</t>
  </si>
  <si>
    <t>Zneškodňovanie odpadu</t>
  </si>
  <si>
    <t>Materské školy</t>
  </si>
  <si>
    <t>Základné školy</t>
  </si>
  <si>
    <t>Školské jedálne</t>
  </si>
  <si>
    <t>Podpora kultúrnych podujatí</t>
  </si>
  <si>
    <t>Podpora kultúrnych stredísk</t>
  </si>
  <si>
    <t>Organizácia kultúrnych aktivít</t>
  </si>
  <si>
    <t>Kultúrna spolupráca</t>
  </si>
  <si>
    <t>Bazovského galéria</t>
  </si>
  <si>
    <t>Podpora športových podujatí</t>
  </si>
  <si>
    <t>Dotácie na šport</t>
  </si>
  <si>
    <t>Športová hala</t>
  </si>
  <si>
    <t>Futbalový štadión</t>
  </si>
  <si>
    <t>Plavárne</t>
  </si>
  <si>
    <t>Mobilná ľadová plocha</t>
  </si>
  <si>
    <t>Karanténna stanica</t>
  </si>
  <si>
    <t>Fontány</t>
  </si>
  <si>
    <t>Výkon funkcie prednostu</t>
  </si>
  <si>
    <t xml:space="preserve"> - vzdelávacie poukazy</t>
  </si>
  <si>
    <t>243</t>
  </si>
  <si>
    <t>z účtov z finančného hospodárenia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</si>
  <si>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</si>
  <si>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</si>
  <si>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</si>
  <si>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</si>
  <si>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</si>
  <si>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 xml:space="preserve"> - prenesené kompetencie</t>
  </si>
  <si>
    <t>daň za psa</t>
  </si>
  <si>
    <t>Prepravná služba</t>
  </si>
  <si>
    <t>Podprogram</t>
  </si>
  <si>
    <t>Prvok/Projekt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</si>
  <si>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</si>
  <si>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</si>
  <si>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</si>
  <si>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</si>
  <si>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</si>
  <si>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</si>
  <si>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</si>
  <si>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Verejné obstarávanie</t>
  </si>
  <si>
    <t>Prevádzka a údržba budov</t>
  </si>
  <si>
    <t>Vzdelávanie zamestnancov mesta</t>
  </si>
  <si>
    <t>Mestský informačný systém</t>
  </si>
  <si>
    <t>Autodoprava</t>
  </si>
  <si>
    <t>Preventívna ochrana zamestnancov</t>
  </si>
  <si>
    <t>Klientské centrum</t>
  </si>
  <si>
    <t xml:space="preserve">PROGRAM 3:  INTERNÉ   SLUŽBY </t>
  </si>
  <si>
    <t xml:space="preserve">PROGRAM 3:     Interné služby </t>
  </si>
  <si>
    <t xml:space="preserve">PROGRAM 4:  SLUŽBY  OBČANOM </t>
  </si>
  <si>
    <t xml:space="preserve">PROGRAM 4:     Služby občanom </t>
  </si>
  <si>
    <t>Prevádzka mestských trhovísk</t>
  </si>
  <si>
    <t>PROGRAM 5:  BEZPEČNOSŤ</t>
  </si>
  <si>
    <t>PROGRAM 5:     Bezpečnosť</t>
  </si>
  <si>
    <t>Zabezpečovanie verejného poriadku</t>
  </si>
  <si>
    <t>Kamerový systém mesta</t>
  </si>
  <si>
    <t>Výstavba a rekonštrukcia pozemných komunikácií</t>
  </si>
  <si>
    <t>Voľno časové vzdelávanie</t>
  </si>
  <si>
    <t>Športová infraštruktúra</t>
  </si>
  <si>
    <t>Ochrana prostredia pre život</t>
  </si>
  <si>
    <t>Jednorazová pomoc občanom v hmotnej núdzi</t>
  </si>
  <si>
    <t>Krízové centrum</t>
  </si>
  <si>
    <t>Podpora seniorov</t>
  </si>
  <si>
    <t>Terénna opatrovateľská služba</t>
  </si>
  <si>
    <t>Obnova rodinných pomerov</t>
  </si>
  <si>
    <t xml:space="preserve">            - Trenčianske hradné slávnosti</t>
  </si>
  <si>
    <t xml:space="preserve">            - Trenčianske historické slávnosti</t>
  </si>
  <si>
    <t>poplatok za opatrovateľskú službu - matky s deťmi</t>
  </si>
  <si>
    <t>poplatok za jasle</t>
  </si>
  <si>
    <t>stravovanie v detských jasliach</t>
  </si>
  <si>
    <t>stravovanie v materskej škole</t>
  </si>
  <si>
    <t>Poradenstvo - bytové problémy</t>
  </si>
  <si>
    <t>poplatok za opatrovateľskú službu - choroba</t>
  </si>
  <si>
    <t>ubytovanie, zaopatrenie, stravovanie -  celoročný pobyt</t>
  </si>
  <si>
    <t>ubytovanie, zaopatrenie, stravovanie - denný a týžd.pobyt</t>
  </si>
  <si>
    <t xml:space="preserve">   - Dotácie na činnosť </t>
  </si>
  <si>
    <t xml:space="preserve">   - Dotácie na reprezentáciu a výnimočné akcie</t>
  </si>
  <si>
    <t>poplatok za opatrovateľskú službu - staroba</t>
  </si>
  <si>
    <t>poplatok za opatrovateľskú službu - invalidita</t>
  </si>
  <si>
    <t>Manažment SSMT m.r.o.</t>
  </si>
  <si>
    <t xml:space="preserve">  - SSMT m.r.o.  </t>
  </si>
  <si>
    <t xml:space="preserve">  - Dotácia na prevádzku a činnosť </t>
  </si>
  <si>
    <t>Centrum seniorov Sihoť</t>
  </si>
  <si>
    <t xml:space="preserve"> - materiálno technické vybavenie</t>
  </si>
  <si>
    <t xml:space="preserve"> - vzdelávacie poukazy, doprava žiakov</t>
  </si>
  <si>
    <t xml:space="preserve"> - asistent učiteľa</t>
  </si>
  <si>
    <t>Centrum voľného času mr.o.</t>
  </si>
  <si>
    <t xml:space="preserve">Politika vzdelávania </t>
  </si>
  <si>
    <t>Odmeňovanie žiakov, učiteľov, knihy pre prvákov</t>
  </si>
  <si>
    <t>Dotácie v oblasti školstva, výchovy a vzdelávania</t>
  </si>
  <si>
    <t>Manažment ŠZMT m.r.o.</t>
  </si>
  <si>
    <t xml:space="preserve"> - štátná dotácia - predškolský vek</t>
  </si>
  <si>
    <t xml:space="preserve"> - materiálno - technické vybavenie</t>
  </si>
  <si>
    <t>ŠSZČ sv. Andreja Svorada a Benedikta</t>
  </si>
  <si>
    <t>SZUŠ - Bebjaková, L.Novomeského</t>
  </si>
  <si>
    <t>SZUŠ - Berecová, Gagarinova ul.</t>
  </si>
  <si>
    <t>ŠKD sv. Andreja Svorada a Benedikta</t>
  </si>
  <si>
    <t xml:space="preserve"> - ŠJ pri Piaristické gymnázium J.Braneckého </t>
  </si>
  <si>
    <t xml:space="preserve"> - ŠJ pri ZŠ sv. Andrea Svorada a Benedikta</t>
  </si>
  <si>
    <t>Dotácia - predškolský vek</t>
  </si>
  <si>
    <t>Grantová podpora v oblasti cestovného ruchu</t>
  </si>
  <si>
    <t>PROGRAM 1:  MANAŽMENT A PLÁNOVANIE</t>
  </si>
  <si>
    <t>PROGRAM 1:     Manažment a plánovanie</t>
  </si>
  <si>
    <t>Marketingové plánovanie</t>
  </si>
  <si>
    <t>Cestovný ruch</t>
  </si>
  <si>
    <t>Kultúrno-informačné centrum n.o.</t>
  </si>
  <si>
    <t>Bývanie</t>
  </si>
  <si>
    <t>Správa bytového fondu</t>
  </si>
  <si>
    <t>Štátny fond rozvoja bývania</t>
  </si>
  <si>
    <t>Výstavba RD v súvislosti s MŽT</t>
  </si>
  <si>
    <t xml:space="preserve">  - SSMT m.r.o. </t>
  </si>
  <si>
    <t xml:space="preserve">SSMT m.r.o. </t>
  </si>
  <si>
    <t xml:space="preserve">  - SSMT m.r.o.</t>
  </si>
  <si>
    <t xml:space="preserve">  - z toho: MHSL m.r.o. </t>
  </si>
  <si>
    <t xml:space="preserve">  - z toho: Dotácia na prevádzku a činnosť</t>
  </si>
  <si>
    <t>Autobusová doprava</t>
  </si>
  <si>
    <t>Zvoz a odvoz odpadu</t>
  </si>
  <si>
    <t>Cintorínske a pohrebné služby</t>
  </si>
  <si>
    <t>Miestne médiá</t>
  </si>
  <si>
    <t xml:space="preserve">Činnosť a prevádzka mestského úradu </t>
  </si>
  <si>
    <t>PROGRAM 2:  PROPAGÁCIA  A  CESTOVNÝ  RUCH</t>
  </si>
  <si>
    <t>PROGRAM 6:   DOPRAVA</t>
  </si>
  <si>
    <t>PROGRAM 6:     Doprava</t>
  </si>
  <si>
    <t>PROGRAM 7:   VZDELÁVANIE</t>
  </si>
  <si>
    <t>PROGRAM 7:     Vzdelávanie</t>
  </si>
  <si>
    <t>PROGRAM 8:  ŠPORT</t>
  </si>
  <si>
    <t>PROGRAM 8:     Šport</t>
  </si>
  <si>
    <t xml:space="preserve">     - z toho:</t>
  </si>
  <si>
    <t xml:space="preserve">      - z toho:</t>
  </si>
  <si>
    <t xml:space="preserve">    z toho:</t>
  </si>
  <si>
    <t xml:space="preserve"> - Grantový program-dotácie na kult.podujatia a činnosť</t>
  </si>
  <si>
    <t xml:space="preserve">  - z toho: Dotácie v oblasti ochrany ŽP</t>
  </si>
  <si>
    <t xml:space="preserve">        Program 1:   Manažment a plánovanie</t>
  </si>
  <si>
    <t xml:space="preserve">        Program 2:   Propagácia a cestovný ruch </t>
  </si>
  <si>
    <t xml:space="preserve">        Program 5:   Bezpečnosť</t>
  </si>
  <si>
    <t xml:space="preserve">        Program 6:   Doprava</t>
  </si>
  <si>
    <t xml:space="preserve">        Program 7:   Vzdelávanie</t>
  </si>
  <si>
    <t>PROGRAM 9:  KULTÚRA</t>
  </si>
  <si>
    <t>PROGRAM  9:     Kultúra</t>
  </si>
  <si>
    <t>PROGRAM 10:     Životné prostredie</t>
  </si>
  <si>
    <t xml:space="preserve">        Program 10: Životné prostredie</t>
  </si>
  <si>
    <t>PROGRAM 11:  SOCIÁLNE  SLUŽBY</t>
  </si>
  <si>
    <t>PROGRAM 11:     Sociálne služby</t>
  </si>
  <si>
    <t xml:space="preserve">        Program 11: Sociálne služby</t>
  </si>
  <si>
    <t>PROGRAM 12:  ROZVOJ  MESTA  A  BÝVANIE</t>
  </si>
  <si>
    <t>PROGRAM 12:     Rozvoj mesta a bývanie</t>
  </si>
  <si>
    <t xml:space="preserve">        Program 12: Rozvoj mesta a bývanie</t>
  </si>
  <si>
    <t>Strategické plánovanie</t>
  </si>
  <si>
    <t>ŠSZČ Piaristické gymnázium J. Braneckého</t>
  </si>
  <si>
    <t>Manažérstvo kvality</t>
  </si>
  <si>
    <t>Odpadové a vodné hospodárstvo</t>
  </si>
  <si>
    <t>Rozvoj mesta</t>
  </si>
  <si>
    <t>Domov - penzión pre dôchodcov</t>
  </si>
  <si>
    <t xml:space="preserve">Mobiliár mesta a detské ihriská </t>
  </si>
  <si>
    <t>6</t>
  </si>
  <si>
    <t xml:space="preserve">Externá komunikácia mesta 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</si>
  <si>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</si>
  <si>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</si>
  <si>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</si>
  <si>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</si>
  <si>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</si>
  <si>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</si>
  <si>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</si>
  <si>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 xml:space="preserve">  - Dotácia na prevádzku a činnosť letnej plavárne</t>
  </si>
  <si>
    <t>ubytovanie, zaopatrenie, stravovanie - 24 hod.starostlivosť</t>
  </si>
  <si>
    <t xml:space="preserve"> - Dotácie na podujatia nad 6 638 €:</t>
  </si>
  <si>
    <t>poplatok za komunálne odpady a drobné stavebné odpady</t>
  </si>
  <si>
    <t>Kapitálové príjmy</t>
  </si>
  <si>
    <t>230</t>
  </si>
  <si>
    <t>231</t>
  </si>
  <si>
    <t>príjem z predaja kapitálových aktív</t>
  </si>
  <si>
    <t xml:space="preserve">  - budov</t>
  </si>
  <si>
    <t xml:space="preserve">  - byty </t>
  </si>
  <si>
    <t>233</t>
  </si>
  <si>
    <t>Príjem z predaja pozemkov a nehmotných aktív</t>
  </si>
  <si>
    <t xml:space="preserve"> - pozemkov</t>
  </si>
  <si>
    <t xml:space="preserve"> - pozemkov v priemyselnej zóne Zámostie</t>
  </si>
  <si>
    <t xml:space="preserve"> </t>
  </si>
  <si>
    <t>GRANTY A TRANSFERY</t>
  </si>
  <si>
    <t>KAPITÁLOVÉ PRÍJMY SPOLU:</t>
  </si>
  <si>
    <t>PRÍJMY SPOLU:</t>
  </si>
  <si>
    <t>Kapitálové výdavky</t>
  </si>
  <si>
    <t>PROGRAM 2:  Propagácia a cestovný ruch</t>
  </si>
  <si>
    <t xml:space="preserve"> - MHaSL m.r.o.</t>
  </si>
  <si>
    <t xml:space="preserve">   - Rekonštrukcia VO </t>
  </si>
  <si>
    <t>Súkromná MŠ Masariková</t>
  </si>
  <si>
    <t>Súkromná MŠ Valachová</t>
  </si>
  <si>
    <t>ŠZMT m.r.o. - ŠKD</t>
  </si>
  <si>
    <t>Školy a šk.zariadenia s p.s.  - ŠKD</t>
  </si>
  <si>
    <t>Školy a školské zariadenia s p.s.</t>
  </si>
  <si>
    <t xml:space="preserve">ŠZMT m.r.o. </t>
  </si>
  <si>
    <t xml:space="preserve">  - Dotácia na prevádzku a činnosť krytej plavárne</t>
  </si>
  <si>
    <r>
      <t xml:space="preserve">F I N A N Č N É   O P E R Á C I E </t>
    </r>
    <r>
      <rPr>
        <b/>
        <i/>
        <vertAlign val="superscript"/>
        <sz val="12"/>
        <rFont val="Arial CE"/>
        <family val="0"/>
      </rPr>
      <t>*</t>
    </r>
  </si>
  <si>
    <t>Výsledok hospodárenia</t>
  </si>
  <si>
    <t xml:space="preserve">            - Sám na javisku</t>
  </si>
  <si>
    <t>027</t>
  </si>
  <si>
    <t>finančná náhrada za vyrúbané dreviny</t>
  </si>
  <si>
    <t>R O Z  P O Č E T      2 0 1 1</t>
  </si>
  <si>
    <t>Zariadenie pre seniorov</t>
  </si>
  <si>
    <t xml:space="preserve">Bežný rozpočet, kapitálový rozpočet, finančné operácie - sumarizácia </t>
  </si>
  <si>
    <t xml:space="preserve"> - oprávnené ekonomické náklady DD</t>
  </si>
  <si>
    <t xml:space="preserve"> - posudková činnosť</t>
  </si>
  <si>
    <t xml:space="preserve">  - z toho: Dotácia na prevádzku a činnosť - FŠ Opatová</t>
  </si>
  <si>
    <t>Reprentácia mesta v zahraničí</t>
  </si>
  <si>
    <t xml:space="preserve">            - Art kino metro</t>
  </si>
  <si>
    <t xml:space="preserve">            - Ora et Ars</t>
  </si>
  <si>
    <t xml:space="preserve">            - Čaro Vianoc</t>
  </si>
  <si>
    <t>Súkromná MŠ Slimáčik</t>
  </si>
  <si>
    <t xml:space="preserve"> - z toho: MHSL m.r.o. </t>
  </si>
  <si>
    <t xml:space="preserve">            - Jazz pod hradom</t>
  </si>
  <si>
    <t xml:space="preserve">  - z toho:dotácia na činnosť Centra seniorov Sihoť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</si>
  <si>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</si>
  <si>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Výkon funkcie zástupcov primátora</t>
  </si>
  <si>
    <t>Bežný      rozpočet</t>
  </si>
  <si>
    <t xml:space="preserve"> Kapitálový    rozpočet</t>
  </si>
  <si>
    <t>PRÍJMY spolu</t>
  </si>
  <si>
    <t xml:space="preserve"> - SSMT m.r.o. </t>
  </si>
  <si>
    <t xml:space="preserve"> - údržba MsÚ</t>
  </si>
  <si>
    <t>Kapitálové  výdavky</t>
  </si>
  <si>
    <t xml:space="preserve"> - úroky + poplatky</t>
  </si>
  <si>
    <t xml:space="preserve">  - prevádzka </t>
  </si>
  <si>
    <t xml:space="preserve"> - ŠJ Gymázium FUTURUM</t>
  </si>
  <si>
    <t xml:space="preserve"> - ŠJ ZŠ FUTURUM</t>
  </si>
  <si>
    <t xml:space="preserve">            - Artcentrum Synagóga</t>
  </si>
  <si>
    <t xml:space="preserve"> - ZŠ Na dolinách - statika</t>
  </si>
  <si>
    <t xml:space="preserve"> - KS Istebník - Z2010</t>
  </si>
  <si>
    <t xml:space="preserve"> - KS Hviezda - Z2010</t>
  </si>
  <si>
    <t xml:space="preserve">  - Rekultivácia skládky odpadu-splátka MP</t>
  </si>
  <si>
    <t xml:space="preserve"> - výstavba RD - Z2010</t>
  </si>
  <si>
    <t xml:space="preserve"> - výstavba RD - Z2010 - SLSP</t>
  </si>
  <si>
    <t xml:space="preserve"> - výkup RD - Z2010</t>
  </si>
  <si>
    <t>PROGRAM 10:  PROSTREDIE PRE ŽIVOT</t>
  </si>
  <si>
    <t xml:space="preserve"> - mzdy</t>
  </si>
  <si>
    <t xml:space="preserve"> - odvody</t>
  </si>
  <si>
    <t xml:space="preserve"> - záväzky 2010</t>
  </si>
  <si>
    <t xml:space="preserve"> - INFO</t>
  </si>
  <si>
    <t xml:space="preserve"> - TVT</t>
  </si>
  <si>
    <t xml:space="preserve"> - výstavba RD - nevyfakt.časť zo zml.+ obj.</t>
  </si>
  <si>
    <t xml:space="preserve"> - energie</t>
  </si>
  <si>
    <t xml:space="preserve"> - ZÁVAZKY  2010</t>
  </si>
  <si>
    <t xml:space="preserve"> - POHODA festival</t>
  </si>
  <si>
    <t xml:space="preserve"> - Nová letná plaváreň - elektrina</t>
  </si>
  <si>
    <t xml:space="preserve"> - Nová letná plaváreň - stráženie a poistenie</t>
  </si>
  <si>
    <t xml:space="preserve">  - z toho: MHSL m.r.o. - prevádzka KS</t>
  </si>
  <si>
    <t xml:space="preserve"> - výstavba RD - Hamaj a Dorušinec</t>
  </si>
  <si>
    <t xml:space="preserve"> -  Nová letná plaváreň - fakt.2011 - KR</t>
  </si>
  <si>
    <t xml:space="preserve">Rozpočet     spolu </t>
  </si>
  <si>
    <t xml:space="preserve"> - z toho elektronické aukcie</t>
  </si>
  <si>
    <t xml:space="preserve"> - ZÁVAZKY 2010</t>
  </si>
  <si>
    <r>
      <t xml:space="preserve">  - ZÁVAZKY 2010: </t>
    </r>
    <r>
      <rPr>
        <sz val="9"/>
        <rFont val="Arial CE"/>
        <family val="0"/>
      </rPr>
      <t>Rozšírenie cintorína TN-Kubra</t>
    </r>
  </si>
  <si>
    <r>
      <t xml:space="preserve">  - ZÁVAZKY 2010: </t>
    </r>
    <r>
      <rPr>
        <sz val="9"/>
        <rFont val="Arial CE"/>
        <family val="0"/>
      </rPr>
      <t>Nový mestský cintorín</t>
    </r>
  </si>
  <si>
    <t xml:space="preserve"> - DOPLATOK STRATY ZA ROK 2010</t>
  </si>
  <si>
    <t xml:space="preserve"> - zálohy na rok 2O11</t>
  </si>
  <si>
    <t xml:space="preserve"> - údržba komunikácií v roku 2011</t>
  </si>
  <si>
    <t xml:space="preserve"> - Výkup pozemkov JVO</t>
  </si>
  <si>
    <r>
      <t xml:space="preserve"> - ZÁVAZKY 2010: </t>
    </r>
    <r>
      <rPr>
        <sz val="9"/>
        <rFont val="Arial CE"/>
        <family val="0"/>
      </rPr>
      <t>komunikácie a križovatky</t>
    </r>
  </si>
  <si>
    <t xml:space="preserve"> - ODPAD 2011</t>
  </si>
  <si>
    <t xml:space="preserve"> - Verejná zeleň 2011</t>
  </si>
  <si>
    <r>
      <t xml:space="preserve"> - ZÁVAZKY 2010:</t>
    </r>
    <r>
      <rPr>
        <i/>
        <sz val="9"/>
        <rFont val="Arial CE"/>
        <family val="0"/>
      </rPr>
      <t>Rekonštrukcia VO</t>
    </r>
  </si>
  <si>
    <r>
      <t xml:space="preserve"> - ZÁVAZKY 2010:</t>
    </r>
    <r>
      <rPr>
        <sz val="9"/>
        <rFont val="Arial CE"/>
        <family val="0"/>
      </rPr>
      <t>Riešenie bioodpadov</t>
    </r>
  </si>
  <si>
    <r>
      <t xml:space="preserve"> - ZÁVAZKY 2010: </t>
    </r>
    <r>
      <rPr>
        <sz val="9"/>
        <rFont val="Arial CE"/>
        <family val="0"/>
      </rPr>
      <t>Rekultivácia sklády</t>
    </r>
  </si>
  <si>
    <r>
      <t xml:space="preserve"> - ZÁVAZKY 2010: </t>
    </r>
    <r>
      <rPr>
        <sz val="9"/>
        <rFont val="Arial CE"/>
        <family val="0"/>
      </rPr>
      <t>Tepel.zdroje-SLSP</t>
    </r>
  </si>
  <si>
    <r>
      <t xml:space="preserve"> - ZÁVAZKY 2010:  </t>
    </r>
    <r>
      <rPr>
        <sz val="9"/>
        <rFont val="Arial CE"/>
        <family val="0"/>
      </rPr>
      <t>Rekonštrukcia 3 ZŠ</t>
    </r>
  </si>
  <si>
    <r>
      <t xml:space="preserve"> - ZÁVAZKY  2010: </t>
    </r>
    <r>
      <rPr>
        <sz val="9"/>
        <rFont val="Arial CE"/>
        <family val="0"/>
      </rPr>
      <t>Nová letná plaváreň</t>
    </r>
  </si>
  <si>
    <r>
      <t xml:space="preserve"> - ZÁVAZKY  2010: </t>
    </r>
    <r>
      <rPr>
        <sz val="9"/>
        <rFont val="Arial CE"/>
        <family val="0"/>
      </rPr>
      <t>Nová letná plaváreň - SLSP</t>
    </r>
  </si>
  <si>
    <r>
      <t xml:space="preserve"> - ZÁVAZKY  2010</t>
    </r>
    <r>
      <rPr>
        <sz val="9"/>
        <rFont val="Arial CE"/>
        <family val="0"/>
      </rPr>
      <t>: Park Pod Juhom</t>
    </r>
  </si>
  <si>
    <t xml:space="preserve"> - NOVÝ ÚZEMNÝ PLÁN + arch.štúdia</t>
  </si>
  <si>
    <t>Prebytok bežného rozpočtu</t>
  </si>
  <si>
    <t>Prebytok kapitálového rozpočtu</t>
  </si>
  <si>
    <t>Prebytok rozpočtu spolu</t>
  </si>
  <si>
    <t xml:space="preserve"> - Modernizácia železničnej trate</t>
  </si>
  <si>
    <t xml:space="preserve"> - Juhovýchodný obchvat  - LOT</t>
  </si>
  <si>
    <t>Rekonštrukcia 3 Základných škôl - refundácia z EÚ</t>
  </si>
  <si>
    <t xml:space="preserve"> - ostatná prezentácia </t>
  </si>
  <si>
    <t>Dexia banka Slovensko a.s. - istina z poskytnutých úverov</t>
  </si>
  <si>
    <t>Slovenská sporiteľňa a.s. - istina z poskytnutých úverov</t>
  </si>
  <si>
    <t xml:space="preserve"> - Rok 2011</t>
  </si>
  <si>
    <t xml:space="preserve"> - Dotácia na činnosť DHZ</t>
  </si>
  <si>
    <t xml:space="preserve"> - Rekonštrukcia 3 ZŠ - nevyfakt.časť zo ZoD</t>
  </si>
  <si>
    <t xml:space="preserve">  - z toho: Poistenie</t>
  </si>
  <si>
    <t xml:space="preserve">  - z toho: Prevádzka zimného štadióna</t>
  </si>
  <si>
    <t xml:space="preserve">  - Prevádzka krytej a letnej plavárne</t>
  </si>
  <si>
    <t xml:space="preserve">  - Poistenie</t>
  </si>
  <si>
    <t xml:space="preserve">  - z toho: MsÚ</t>
  </si>
  <si>
    <t xml:space="preserve">  - domov - Modernizácia železničnej trate</t>
  </si>
  <si>
    <t xml:space="preserve"> - tovary a služby</t>
  </si>
  <si>
    <t xml:space="preserve">821 005 - Splácanie istín z bankových úverov dlhodobých,    z toho: </t>
  </si>
  <si>
    <t>821 007 - Splácanie istín z ostatných úverov  dlhodobých - ŠFRB</t>
  </si>
  <si>
    <t xml:space="preserve">821 004 - Splácanie istín z bankových úverov krátkodobých,    z toho: </t>
  </si>
  <si>
    <t xml:space="preserve">  - splatenie krátkodobého úveru z Dexia banky Slovensko a.s.</t>
  </si>
  <si>
    <r>
      <rPr>
        <sz val="10"/>
        <rFont val="Arial CE"/>
        <family val="0"/>
      </rPr>
      <t>513 001: Bankové úvery krátkodobé</t>
    </r>
    <r>
      <rPr>
        <b/>
        <sz val="11"/>
        <rFont val="Arial CE"/>
        <family val="0"/>
      </rPr>
      <t>: Prekleňovací úver na rekonštrukciu 3 ZŠ zo SLSP a.s.</t>
    </r>
  </si>
  <si>
    <t>P r í j m y *</t>
  </si>
  <si>
    <t>V ý d a v k y *</t>
  </si>
  <si>
    <t>* - na preklenutie časového nesúladu medzi príjmami a výdavkami rozpočtu sa môže čerpať kontokorentný úver spolu vo výške 6 000 tis. € (z toho vo výške 4 000 tis. € z ČSOB a.s. a vo výške 2 000 tis. € z Dexia banky Slovensko a.s.)  s tým, že do konca roka 2011 bude predmetný úver splatený</t>
  </si>
  <si>
    <t>Tatra banka a.s. - istina z poskytnutých úverov</t>
  </si>
  <si>
    <t xml:space="preserve">  - splatenie preklenovacieho úveru na rekonštrukciu 3 Základných škôl: SLSP a.s.</t>
  </si>
  <si>
    <t xml:space="preserve">            - MDD</t>
  </si>
  <si>
    <t xml:space="preserve">            - Považský pohár</t>
  </si>
  <si>
    <t xml:space="preserve">            - Pri trenčianskej bráne</t>
  </si>
  <si>
    <t xml:space="preserve"> - KS Istebník - rekonštrukcia priestorov</t>
  </si>
  <si>
    <t xml:space="preserve"> - Nová letná plaváreň - geometrický plán</t>
  </si>
  <si>
    <t>211</t>
  </si>
  <si>
    <t>Príjmy z podnikania - dividendy TPS a.s.</t>
  </si>
  <si>
    <t xml:space="preserve">         - prenájom hrobových miest</t>
  </si>
  <si>
    <t xml:space="preserve">         - krytá plaváreň - vstupné: lístky + pernamentky</t>
  </si>
  <si>
    <t xml:space="preserve">         - príjmy za 8-12/2011: činnosti KIC n.o.</t>
  </si>
  <si>
    <t xml:space="preserve">        krytá plaváreň: vstupné</t>
  </si>
  <si>
    <t xml:space="preserve">        letná plaváreň: vstupné</t>
  </si>
  <si>
    <t>Upravený rozpočet na rok 2011</t>
  </si>
  <si>
    <t>ostatné príjmy (dobrobisy, preplatky, dary)</t>
  </si>
  <si>
    <t>Vojnové hroby</t>
  </si>
  <si>
    <t>MF SR - samosprávne funkcie</t>
  </si>
  <si>
    <t xml:space="preserve"> - Vojnové hroby - dotácia</t>
  </si>
  <si>
    <t xml:space="preserve">  - Záblatie - Brnianska - geometrický plán</t>
  </si>
  <si>
    <t xml:space="preserve"> - nevyčerpaná dotácia za rok 2010</t>
  </si>
  <si>
    <t xml:space="preserve"> - ZŠ Na dolinách - jedáleň + kúpa objektu</t>
  </si>
  <si>
    <t xml:space="preserve">  - MHSL m.r.o. - krytá plaváreň: poistenie</t>
  </si>
  <si>
    <t xml:space="preserve">  - MHSL m.r.o. - krytá plaváreň: prevádzka</t>
  </si>
  <si>
    <t xml:space="preserve">  - MHSL m.r.o. - letná plaváreň: prevádzka</t>
  </si>
  <si>
    <r>
      <t xml:space="preserve"> - ZÁVAZKY  2010: </t>
    </r>
    <r>
      <rPr>
        <sz val="9"/>
        <rFont val="Arial CE"/>
        <family val="0"/>
      </rPr>
      <t>Nová letná plaváreň - SLSP 2011</t>
    </r>
  </si>
  <si>
    <t xml:space="preserve">  - dotácia KS Juh a KS Dlhé Hony</t>
  </si>
  <si>
    <t xml:space="preserve"> - nevyčarpané dotácie za rok 2010</t>
  </si>
  <si>
    <t xml:space="preserve">  - MHSL m.r.o.</t>
  </si>
  <si>
    <t xml:space="preserve"> - nevyčerpaná dotáciaz za rok 2010 - prídavky </t>
  </si>
  <si>
    <t>453:  Prevod hospodárskeho výsledku za rok 2010</t>
  </si>
  <si>
    <t>454: Nevyčerpané dotácie za rok 2010</t>
  </si>
  <si>
    <t>Dotácia z MK SR na Ora et Ars Skalka 2011</t>
  </si>
  <si>
    <t>Dotácia z MK SR na Možnosti dialógu</t>
  </si>
  <si>
    <t>Dotácia z MK SR na Pri Trenčianskej bráne</t>
  </si>
  <si>
    <t xml:space="preserve">            - Možnosti dialógu</t>
  </si>
  <si>
    <t>Návrh na Zmenu Programového rozpočtu Mesta Trenčín</t>
  </si>
  <si>
    <t>Rozpočet na rok 2011</t>
  </si>
  <si>
    <t>Návrh na zmenu rozpočtu +/-</t>
  </si>
  <si>
    <t>Upravený rozpočet 2011</t>
  </si>
  <si>
    <t>Upravený rozpočet</t>
  </si>
  <si>
    <t>513 001: Bankové úvery krátkodobé</t>
  </si>
  <si>
    <t xml:space="preserve">        Program 8:  Šport</t>
  </si>
  <si>
    <t xml:space="preserve">        Program 9:  Kultúra</t>
  </si>
  <si>
    <t xml:space="preserve"> - Rekonštrukcia tepelných zdrojov (ČSOB)</t>
  </si>
  <si>
    <t xml:space="preserve"> - Tepelné zdroje KS Kubra</t>
  </si>
  <si>
    <t xml:space="preserve">  - JVO - most</t>
  </si>
  <si>
    <t>Granty</t>
  </si>
  <si>
    <t xml:space="preserve">  - z toho: Prevádzka zimného štadióna - dotácia</t>
  </si>
  <si>
    <t xml:space="preserve">  - MHSL m.r.o. - Prevádzka zimného štadióna</t>
  </si>
  <si>
    <t xml:space="preserve"> - transfery</t>
  </si>
  <si>
    <t xml:space="preserve"> - ZáVAZKY  2010: Tepelné zdroje SLSP</t>
  </si>
  <si>
    <t>Tvorba rezervného fondu TPS a.s.</t>
  </si>
  <si>
    <t xml:space="preserve"> - Prevádzka tepelných zdrojov</t>
  </si>
  <si>
    <t>Dotácia v oblasti ŽP</t>
  </si>
  <si>
    <t>Členstvo v samosprávnych org.a združeniach</t>
  </si>
  <si>
    <t>Komunikácia s verej.inštitúciami v mene mesta</t>
  </si>
  <si>
    <t>Daňová a rozpočt.agenda mesta a účtovníctvo</t>
  </si>
  <si>
    <t>Návrh na zmenu Programového rozpočtu Mesta Trenčín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</si>
</sst>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#,##0.000"/>
    <numFmt numFmtId="175" formatCode="0.000"/>
    <numFmt numFmtId="176" formatCode="#,##0.0000"/>
    <numFmt numFmtId="177" formatCode="0.0000"/>
    <numFmt numFmtId="178" formatCode="0.0%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  <numFmt numFmtId="183" formatCode="_-* #,##0.0\ _S_k_-;\-* #,##0.0\ _S_k_-;_-* &quot;-&quot;??\ _S_k_-;_-@_-"/>
    <numFmt numFmtId="184" formatCode="_-* #,##0\ _S_k_-;\-* #,##0\ _S_k_-;_-* &quot;-&quot;??\ _S_k_-;_-@_-"/>
    <numFmt numFmtId="185" formatCode="_-* #,##0.0\ _€_-;\-* #,##0.0\ _€_-;_-* &quot;-&quot;??\ _€_-;_-@_-"/>
    <numFmt numFmtId="186" formatCode="_-* #,##0\ _€_-;\-* #,##0\ _€_-;_-* &quot;-&quot;??\ _€_-;_-@_-"/>
  </numFmts>
  <fonts count="112">
    <font>
      <sz val="10"/>
      <name val="Arial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CE"/>
      <family val="2"/>
    </font>
    <font>
      <b/>
      <i/>
      <sz val="10"/>
      <color indexed="9"/>
      <name val="Arial CE"/>
      <family val="0"/>
    </font>
    <font>
      <b/>
      <sz val="9"/>
      <color indexed="9"/>
      <name val="Arial CE"/>
      <family val="0"/>
    </font>
    <font>
      <b/>
      <sz val="9"/>
      <color indexed="9"/>
      <name val="Arial"/>
      <family val="2"/>
    </font>
    <font>
      <b/>
      <i/>
      <sz val="11"/>
      <color indexed="9"/>
      <name val="Arial CE"/>
      <family val="0"/>
    </font>
    <font>
      <b/>
      <sz val="15"/>
      <color indexed="18"/>
      <name val="Tahoma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 CE"/>
      <family val="0"/>
    </font>
    <font>
      <b/>
      <sz val="10"/>
      <color indexed="9"/>
      <name val="Arial"/>
      <family val="2"/>
    </font>
    <font>
      <b/>
      <sz val="14"/>
      <color indexed="56"/>
      <name val="Arial Black"/>
      <family val="2"/>
    </font>
    <font>
      <b/>
      <sz val="14"/>
      <color indexed="9"/>
      <name val="Arial CE"/>
      <family val="0"/>
    </font>
    <font>
      <b/>
      <sz val="8"/>
      <name val="Arial"/>
      <family val="2"/>
    </font>
    <font>
      <sz val="11"/>
      <color indexed="9"/>
      <name val="Arial CE"/>
      <family val="0"/>
    </font>
    <font>
      <b/>
      <sz val="12"/>
      <name val="Arial CE"/>
      <family val="2"/>
    </font>
    <font>
      <sz val="8"/>
      <color indexed="9"/>
      <name val="Arial CE"/>
      <family val="0"/>
    </font>
    <font>
      <b/>
      <sz val="22"/>
      <color indexed="18"/>
      <name val="Tahoma"/>
      <family val="2"/>
    </font>
    <font>
      <b/>
      <i/>
      <sz val="9"/>
      <color indexed="9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b/>
      <sz val="9"/>
      <name val="Arial"/>
      <family val="2"/>
    </font>
    <font>
      <sz val="9"/>
      <color indexed="10"/>
      <name val="Arial CE"/>
      <family val="0"/>
    </font>
    <font>
      <b/>
      <sz val="8"/>
      <color indexed="9"/>
      <name val="Arial"/>
      <family val="2"/>
    </font>
    <font>
      <b/>
      <i/>
      <vertAlign val="superscript"/>
      <sz val="12"/>
      <name val="Arial CE"/>
      <family val="0"/>
    </font>
    <font>
      <b/>
      <sz val="12"/>
      <color indexed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i/>
      <sz val="14"/>
      <color indexed="9"/>
      <name val="Arial CE"/>
      <family val="2"/>
    </font>
    <font>
      <sz val="14"/>
      <color indexed="9"/>
      <name val="Arial"/>
      <family val="2"/>
    </font>
    <font>
      <b/>
      <sz val="10"/>
      <color indexed="9"/>
      <name val="Arial CE"/>
      <family val="0"/>
    </font>
    <font>
      <sz val="11"/>
      <name val="Arial CE"/>
      <family val="0"/>
    </font>
    <font>
      <b/>
      <sz val="22"/>
      <color indexed="12"/>
      <name val="Tahoma"/>
      <family val="2"/>
    </font>
    <font>
      <b/>
      <i/>
      <sz val="12"/>
      <color indexed="9"/>
      <name val="Arial CE"/>
      <family val="0"/>
    </font>
    <font>
      <i/>
      <sz val="11"/>
      <name val="Arial CE"/>
      <family val="0"/>
    </font>
    <font>
      <sz val="11"/>
      <name val="Wingdings"/>
      <family val="0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56"/>
      <name val="Arial CE"/>
      <family val="2"/>
    </font>
    <font>
      <sz val="8"/>
      <color indexed="9"/>
      <name val="Arial"/>
      <family val="2"/>
    </font>
    <font>
      <b/>
      <i/>
      <sz val="9"/>
      <color indexed="8"/>
      <name val="Arial CE"/>
      <family val="0"/>
    </font>
    <font>
      <b/>
      <i/>
      <sz val="16"/>
      <color indexed="9"/>
      <name val="Arial CE"/>
      <family val="2"/>
    </font>
    <font>
      <b/>
      <sz val="16"/>
      <color indexed="9"/>
      <name val="Arial CE"/>
      <family val="2"/>
    </font>
    <font>
      <sz val="9"/>
      <color indexed="8"/>
      <name val="Arial CE"/>
      <family val="0"/>
    </font>
    <font>
      <b/>
      <sz val="10"/>
      <color indexed="56"/>
      <name val="Arial CE"/>
      <family val="0"/>
    </font>
    <font>
      <b/>
      <sz val="20"/>
      <color indexed="18"/>
      <name val="Arial CE"/>
      <family val="2"/>
    </font>
    <font>
      <sz val="20"/>
      <color indexed="18"/>
      <name val="Arial CE"/>
      <family val="2"/>
    </font>
    <font>
      <sz val="9"/>
      <color indexed="9"/>
      <name val="Arial"/>
      <family val="2"/>
    </font>
    <font>
      <b/>
      <sz val="18"/>
      <color indexed="30"/>
      <name val="Arial Black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double"/>
    </border>
    <border>
      <left>
        <color indexed="63"/>
      </left>
      <right style="thin">
        <color indexed="62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9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4" borderId="8" applyNumberFormat="0" applyAlignment="0" applyProtection="0"/>
    <xf numFmtId="0" fontId="108" fillId="25" borderId="8" applyNumberFormat="0" applyAlignment="0" applyProtection="0"/>
    <xf numFmtId="0" fontId="109" fillId="25" borderId="9" applyNumberFormat="0" applyAlignment="0" applyProtection="0"/>
    <xf numFmtId="0" fontId="110" fillId="0" borderId="0" applyNumberFormat="0" applyFill="0" applyBorder="0" applyAlignment="0" applyProtection="0"/>
    <xf numFmtId="0" fontId="111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116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0" borderId="0" xfId="0" applyFill="1" applyAlignment="1">
      <alignment/>
    </xf>
    <xf numFmtId="0" fontId="1" fillId="35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21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18" xfId="0" applyFont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8" fillId="33" borderId="21" xfId="0" applyFont="1" applyFill="1" applyBorder="1" applyAlignment="1">
      <alignment/>
    </xf>
    <xf numFmtId="0" fontId="14" fillId="0" borderId="18" xfId="0" applyFont="1" applyBorder="1" applyAlignment="1">
      <alignment/>
    </xf>
    <xf numFmtId="49" fontId="4" fillId="33" borderId="32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33" borderId="13" xfId="0" applyFont="1" applyFill="1" applyBorder="1" applyAlignment="1">
      <alignment horizontal="center"/>
    </xf>
    <xf numFmtId="0" fontId="3" fillId="35" borderId="31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49" fontId="6" fillId="36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6" fillId="36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18" fillId="37" borderId="2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2" xfId="0" applyFont="1" applyFill="1" applyBorder="1" applyAlignment="1">
      <alignment horizontal="left"/>
    </xf>
    <xf numFmtId="0" fontId="1" fillId="37" borderId="22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3" fontId="5" fillId="34" borderId="12" xfId="0" applyNumberFormat="1" applyFont="1" applyFill="1" applyBorder="1" applyAlignment="1">
      <alignment/>
    </xf>
    <xf numFmtId="3" fontId="5" fillId="37" borderId="12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 horizontal="right"/>
    </xf>
    <xf numFmtId="3" fontId="5" fillId="34" borderId="36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/>
    </xf>
    <xf numFmtId="3" fontId="5" fillId="37" borderId="13" xfId="0" applyNumberFormat="1" applyFont="1" applyFill="1" applyBorder="1" applyAlignment="1">
      <alignment/>
    </xf>
    <xf numFmtId="3" fontId="5" fillId="34" borderId="37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0" fillId="37" borderId="20" xfId="0" applyFont="1" applyFill="1" applyBorder="1" applyAlignment="1">
      <alignment/>
    </xf>
    <xf numFmtId="49" fontId="61" fillId="37" borderId="31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60" fillId="37" borderId="31" xfId="0" applyFont="1" applyFill="1" applyBorder="1" applyAlignment="1">
      <alignment/>
    </xf>
    <xf numFmtId="0" fontId="60" fillId="37" borderId="23" xfId="0" applyFont="1" applyFill="1" applyBorder="1" applyAlignment="1">
      <alignment/>
    </xf>
    <xf numFmtId="49" fontId="61" fillId="37" borderId="34" xfId="0" applyNumberFormat="1" applyFont="1" applyFill="1" applyBorder="1" applyAlignment="1">
      <alignment horizontal="center"/>
    </xf>
    <xf numFmtId="49" fontId="61" fillId="37" borderId="38" xfId="0" applyNumberFormat="1" applyFont="1" applyFill="1" applyBorder="1" applyAlignment="1">
      <alignment horizontal="center"/>
    </xf>
    <xf numFmtId="0" fontId="62" fillId="37" borderId="39" xfId="0" applyFont="1" applyFill="1" applyBorder="1" applyAlignment="1">
      <alignment/>
    </xf>
    <xf numFmtId="0" fontId="60" fillId="37" borderId="34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63" fillId="0" borderId="0" xfId="0" applyNumberFormat="1" applyFont="1" applyFill="1" applyAlignment="1">
      <alignment/>
    </xf>
    <xf numFmtId="3" fontId="63" fillId="33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3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/>
    </xf>
    <xf numFmtId="0" fontId="31" fillId="38" borderId="40" xfId="0" applyFont="1" applyFill="1" applyBorder="1" applyAlignment="1">
      <alignment horizontal="left" vertical="center"/>
    </xf>
    <xf numFmtId="0" fontId="31" fillId="38" borderId="41" xfId="0" applyFont="1" applyFill="1" applyBorder="1" applyAlignment="1">
      <alignment horizontal="left" vertical="center"/>
    </xf>
    <xf numFmtId="0" fontId="31" fillId="38" borderId="3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31" fillId="38" borderId="4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3" fillId="33" borderId="12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40" fillId="39" borderId="11" xfId="0" applyNumberFormat="1" applyFont="1" applyFill="1" applyBorder="1" applyAlignment="1">
      <alignment horizontal="center"/>
    </xf>
    <xf numFmtId="49" fontId="40" fillId="39" borderId="12" xfId="0" applyNumberFormat="1" applyFont="1" applyFill="1" applyBorder="1" applyAlignment="1">
      <alignment horizontal="center"/>
    </xf>
    <xf numFmtId="0" fontId="27" fillId="39" borderId="37" xfId="0" applyFont="1" applyFill="1" applyBorder="1" applyAlignment="1">
      <alignment/>
    </xf>
    <xf numFmtId="0" fontId="3" fillId="33" borderId="43" xfId="0" applyFont="1" applyFill="1" applyBorder="1" applyAlignment="1">
      <alignment horizontal="center"/>
    </xf>
    <xf numFmtId="49" fontId="40" fillId="39" borderId="44" xfId="0" applyNumberFormat="1" applyFont="1" applyFill="1" applyBorder="1" applyAlignment="1">
      <alignment horizontal="center"/>
    </xf>
    <xf numFmtId="49" fontId="40" fillId="39" borderId="45" xfId="0" applyNumberFormat="1" applyFont="1" applyFill="1" applyBorder="1" applyAlignment="1">
      <alignment horizontal="center"/>
    </xf>
    <xf numFmtId="0" fontId="27" fillId="39" borderId="4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9" fontId="4" fillId="40" borderId="36" xfId="0" applyNumberFormat="1" applyFont="1" applyFill="1" applyBorder="1" applyAlignment="1">
      <alignment horizontal="center"/>
    </xf>
    <xf numFmtId="49" fontId="2" fillId="40" borderId="36" xfId="0" applyNumberFormat="1" applyFont="1" applyFill="1" applyBorder="1" applyAlignment="1">
      <alignment horizontal="center"/>
    </xf>
    <xf numFmtId="0" fontId="65" fillId="40" borderId="4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2" fillId="34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2" fillId="34" borderId="14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39" fillId="34" borderId="18" xfId="0" applyFont="1" applyFill="1" applyBorder="1" applyAlignment="1">
      <alignment vertical="center"/>
    </xf>
    <xf numFmtId="0" fontId="39" fillId="34" borderId="21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40" fillId="38" borderId="39" xfId="0" applyFont="1" applyFill="1" applyBorder="1" applyAlignment="1">
      <alignment/>
    </xf>
    <xf numFmtId="0" fontId="40" fillId="38" borderId="25" xfId="0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/>
    </xf>
    <xf numFmtId="3" fontId="3" fillId="37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4" borderId="4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/>
    </xf>
    <xf numFmtId="3" fontId="3" fillId="37" borderId="10" xfId="0" applyNumberFormat="1" applyFont="1" applyFill="1" applyBorder="1" applyAlignment="1">
      <alignment horizontal="right"/>
    </xf>
    <xf numFmtId="3" fontId="3" fillId="37" borderId="48" xfId="0" applyNumberFormat="1" applyFont="1" applyFill="1" applyBorder="1" applyAlignment="1">
      <alignment/>
    </xf>
    <xf numFmtId="3" fontId="24" fillId="38" borderId="34" xfId="0" applyNumberFormat="1" applyFont="1" applyFill="1" applyBorder="1" applyAlignment="1">
      <alignment vertical="center"/>
    </xf>
    <xf numFmtId="3" fontId="24" fillId="38" borderId="3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4" fillId="38" borderId="23" xfId="0" applyNumberFormat="1" applyFont="1" applyFill="1" applyBorder="1" applyAlignment="1">
      <alignment vertical="center"/>
    </xf>
    <xf numFmtId="0" fontId="40" fillId="38" borderId="39" xfId="0" applyFont="1" applyFill="1" applyBorder="1" applyAlignment="1">
      <alignment vertical="center"/>
    </xf>
    <xf numFmtId="0" fontId="40" fillId="38" borderId="25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vertical="center"/>
    </xf>
    <xf numFmtId="0" fontId="40" fillId="38" borderId="49" xfId="0" applyFont="1" applyFill="1" applyBorder="1" applyAlignment="1">
      <alignment vertical="center"/>
    </xf>
    <xf numFmtId="0" fontId="40" fillId="38" borderId="50" xfId="0" applyFont="1" applyFill="1" applyBorder="1" applyAlignment="1">
      <alignment vertical="center"/>
    </xf>
    <xf numFmtId="3" fontId="24" fillId="38" borderId="51" xfId="0" applyNumberFormat="1" applyFont="1" applyFill="1" applyBorder="1" applyAlignment="1">
      <alignment vertical="center"/>
    </xf>
    <xf numFmtId="3" fontId="24" fillId="38" borderId="52" xfId="0" applyNumberFormat="1" applyFont="1" applyFill="1" applyBorder="1" applyAlignment="1">
      <alignment vertical="center"/>
    </xf>
    <xf numFmtId="3" fontId="24" fillId="38" borderId="53" xfId="0" applyNumberFormat="1" applyFont="1" applyFill="1" applyBorder="1" applyAlignment="1">
      <alignment vertical="center"/>
    </xf>
    <xf numFmtId="3" fontId="3" fillId="37" borderId="54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8" fillId="37" borderId="12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3" fillId="37" borderId="55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40" fillId="38" borderId="34" xfId="0" applyFont="1" applyFill="1" applyBorder="1" applyAlignment="1">
      <alignment vertical="center"/>
    </xf>
    <xf numFmtId="0" fontId="44" fillId="38" borderId="39" xfId="0" applyFont="1" applyFill="1" applyBorder="1" applyAlignment="1">
      <alignment vertical="center"/>
    </xf>
    <xf numFmtId="3" fontId="5" fillId="34" borderId="56" xfId="0" applyNumberFormat="1" applyFont="1" applyFill="1" applyBorder="1" applyAlignment="1">
      <alignment/>
    </xf>
    <xf numFmtId="3" fontId="5" fillId="37" borderId="13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5" fillId="37" borderId="12" xfId="0" applyNumberFormat="1" applyFont="1" applyFill="1" applyBorder="1" applyAlignment="1">
      <alignment horizontal="right"/>
    </xf>
    <xf numFmtId="3" fontId="5" fillId="37" borderId="10" xfId="0" applyNumberFormat="1" applyFont="1" applyFill="1" applyBorder="1" applyAlignment="1">
      <alignment/>
    </xf>
    <xf numFmtId="3" fontId="5" fillId="37" borderId="3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vertical="center"/>
    </xf>
    <xf numFmtId="3" fontId="5" fillId="37" borderId="57" xfId="0" applyNumberFormat="1" applyFont="1" applyFill="1" applyBorder="1" applyAlignment="1">
      <alignment/>
    </xf>
    <xf numFmtId="3" fontId="2" fillId="37" borderId="54" xfId="0" applyNumberFormat="1" applyFont="1" applyFill="1" applyBorder="1" applyAlignment="1">
      <alignment/>
    </xf>
    <xf numFmtId="3" fontId="3" fillId="37" borderId="54" xfId="0" applyNumberFormat="1" applyFont="1" applyFill="1" applyBorder="1" applyAlignment="1">
      <alignment/>
    </xf>
    <xf numFmtId="3" fontId="3" fillId="37" borderId="58" xfId="0" applyNumberFormat="1" applyFont="1" applyFill="1" applyBorder="1" applyAlignment="1">
      <alignment/>
    </xf>
    <xf numFmtId="3" fontId="3" fillId="36" borderId="54" xfId="0" applyNumberFormat="1" applyFont="1" applyFill="1" applyBorder="1" applyAlignment="1">
      <alignment/>
    </xf>
    <xf numFmtId="0" fontId="5" fillId="36" borderId="19" xfId="0" applyFont="1" applyFill="1" applyBorder="1" applyAlignment="1">
      <alignment/>
    </xf>
    <xf numFmtId="3" fontId="3" fillId="41" borderId="54" xfId="0" applyNumberFormat="1" applyFont="1" applyFill="1" applyBorder="1" applyAlignment="1">
      <alignment/>
    </xf>
    <xf numFmtId="0" fontId="5" fillId="41" borderId="19" xfId="0" applyFont="1" applyFill="1" applyBorder="1" applyAlignment="1">
      <alignment/>
    </xf>
    <xf numFmtId="0" fontId="45" fillId="41" borderId="22" xfId="0" applyFont="1" applyFill="1" applyBorder="1" applyAlignment="1">
      <alignment/>
    </xf>
    <xf numFmtId="0" fontId="6" fillId="37" borderId="59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3" fontId="3" fillId="41" borderId="54" xfId="0" applyNumberFormat="1" applyFont="1" applyFill="1" applyBorder="1" applyAlignment="1">
      <alignment/>
    </xf>
    <xf numFmtId="0" fontId="43" fillId="37" borderId="22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40" fillId="38" borderId="60" xfId="0" applyFont="1" applyFill="1" applyBorder="1" applyAlignment="1">
      <alignment vertical="center"/>
    </xf>
    <xf numFmtId="0" fontId="40" fillId="38" borderId="61" xfId="0" applyFont="1" applyFill="1" applyBorder="1" applyAlignment="1">
      <alignment vertical="center"/>
    </xf>
    <xf numFmtId="3" fontId="24" fillId="38" borderId="62" xfId="0" applyNumberFormat="1" applyFont="1" applyFill="1" applyBorder="1" applyAlignment="1">
      <alignment vertical="center"/>
    </xf>
    <xf numFmtId="3" fontId="24" fillId="38" borderId="63" xfId="0" applyNumberFormat="1" applyFont="1" applyFill="1" applyBorder="1" applyAlignment="1">
      <alignment vertical="center"/>
    </xf>
    <xf numFmtId="3" fontId="24" fillId="38" borderId="64" xfId="0" applyNumberFormat="1" applyFont="1" applyFill="1" applyBorder="1" applyAlignment="1">
      <alignment vertical="center"/>
    </xf>
    <xf numFmtId="3" fontId="6" fillId="37" borderId="14" xfId="0" applyNumberFormat="1" applyFont="1" applyFill="1" applyBorder="1" applyAlignment="1">
      <alignment horizontal="right"/>
    </xf>
    <xf numFmtId="3" fontId="6" fillId="37" borderId="11" xfId="0" applyNumberFormat="1" applyFont="1" applyFill="1" applyBorder="1" applyAlignment="1">
      <alignment horizontal="right"/>
    </xf>
    <xf numFmtId="3" fontId="6" fillId="37" borderId="11" xfId="0" applyNumberFormat="1" applyFont="1" applyFill="1" applyBorder="1" applyAlignment="1">
      <alignment/>
    </xf>
    <xf numFmtId="3" fontId="6" fillId="37" borderId="12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/>
    </xf>
    <xf numFmtId="3" fontId="46" fillId="37" borderId="12" xfId="0" applyNumberFormat="1" applyFont="1" applyFill="1" applyBorder="1" applyAlignment="1">
      <alignment horizontal="right"/>
    </xf>
    <xf numFmtId="3" fontId="46" fillId="37" borderId="13" xfId="0" applyNumberFormat="1" applyFont="1" applyFill="1" applyBorder="1" applyAlignment="1">
      <alignment horizontal="right"/>
    </xf>
    <xf numFmtId="3" fontId="46" fillId="37" borderId="13" xfId="0" applyNumberFormat="1" applyFont="1" applyFill="1" applyBorder="1" applyAlignment="1">
      <alignment/>
    </xf>
    <xf numFmtId="3" fontId="6" fillId="36" borderId="65" xfId="0" applyNumberFormat="1" applyFont="1" applyFill="1" applyBorder="1" applyAlignment="1">
      <alignment horizontal="right"/>
    </xf>
    <xf numFmtId="3" fontId="6" fillId="36" borderId="30" xfId="0" applyNumberFormat="1" applyFont="1" applyFill="1" applyBorder="1" applyAlignment="1">
      <alignment horizontal="right"/>
    </xf>
    <xf numFmtId="3" fontId="6" fillId="36" borderId="17" xfId="0" applyNumberFormat="1" applyFont="1" applyFill="1" applyBorder="1" applyAlignment="1">
      <alignment horizontal="right"/>
    </xf>
    <xf numFmtId="3" fontId="6" fillId="36" borderId="26" xfId="0" applyNumberFormat="1" applyFont="1" applyFill="1" applyBorder="1" applyAlignment="1">
      <alignment horizontal="right"/>
    </xf>
    <xf numFmtId="3" fontId="6" fillId="36" borderId="26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/>
    </xf>
    <xf numFmtId="3" fontId="6" fillId="37" borderId="10" xfId="0" applyNumberFormat="1" applyFont="1" applyFill="1" applyBorder="1" applyAlignment="1">
      <alignment horizontal="right"/>
    </xf>
    <xf numFmtId="3" fontId="6" fillId="37" borderId="30" xfId="0" applyNumberFormat="1" applyFont="1" applyFill="1" applyBorder="1" applyAlignment="1">
      <alignment horizontal="right"/>
    </xf>
    <xf numFmtId="3" fontId="6" fillId="37" borderId="17" xfId="0" applyNumberFormat="1" applyFont="1" applyFill="1" applyBorder="1" applyAlignment="1">
      <alignment horizontal="right"/>
    </xf>
    <xf numFmtId="3" fontId="6" fillId="37" borderId="26" xfId="0" applyNumberFormat="1" applyFont="1" applyFill="1" applyBorder="1" applyAlignment="1">
      <alignment horizontal="right"/>
    </xf>
    <xf numFmtId="3" fontId="6" fillId="37" borderId="26" xfId="0" applyNumberFormat="1" applyFont="1" applyFill="1" applyBorder="1" applyAlignment="1">
      <alignment/>
    </xf>
    <xf numFmtId="3" fontId="6" fillId="41" borderId="12" xfId="0" applyNumberFormat="1" applyFont="1" applyFill="1" applyBorder="1" applyAlignment="1">
      <alignment horizontal="right"/>
    </xf>
    <xf numFmtId="3" fontId="6" fillId="41" borderId="13" xfId="0" applyNumberFormat="1" applyFont="1" applyFill="1" applyBorder="1" applyAlignment="1">
      <alignment horizontal="right"/>
    </xf>
    <xf numFmtId="3" fontId="6" fillId="41" borderId="13" xfId="0" applyNumberFormat="1" applyFont="1" applyFill="1" applyBorder="1" applyAlignment="1">
      <alignment/>
    </xf>
    <xf numFmtId="3" fontId="6" fillId="41" borderId="14" xfId="0" applyNumberFormat="1" applyFont="1" applyFill="1" applyBorder="1" applyAlignment="1">
      <alignment horizontal="right"/>
    </xf>
    <xf numFmtId="3" fontId="6" fillId="37" borderId="12" xfId="0" applyNumberFormat="1" applyFont="1" applyFill="1" applyBorder="1" applyAlignment="1">
      <alignment/>
    </xf>
    <xf numFmtId="3" fontId="6" fillId="37" borderId="66" xfId="0" applyNumberFormat="1" applyFont="1" applyFill="1" applyBorder="1" applyAlignment="1">
      <alignment horizontal="right"/>
    </xf>
    <xf numFmtId="3" fontId="6" fillId="41" borderId="11" xfId="0" applyNumberFormat="1" applyFont="1" applyFill="1" applyBorder="1" applyAlignment="1">
      <alignment horizontal="right"/>
    </xf>
    <xf numFmtId="3" fontId="6" fillId="41" borderId="11" xfId="0" applyNumberFormat="1" applyFont="1" applyFill="1" applyBorder="1" applyAlignment="1">
      <alignment/>
    </xf>
    <xf numFmtId="3" fontId="5" fillId="37" borderId="13" xfId="0" applyNumberFormat="1" applyFont="1" applyFill="1" applyBorder="1" applyAlignment="1">
      <alignment/>
    </xf>
    <xf numFmtId="3" fontId="6" fillId="37" borderId="30" xfId="0" applyNumberFormat="1" applyFont="1" applyFill="1" applyBorder="1" applyAlignment="1">
      <alignment/>
    </xf>
    <xf numFmtId="3" fontId="6" fillId="37" borderId="65" xfId="0" applyNumberFormat="1" applyFont="1" applyFill="1" applyBorder="1" applyAlignment="1">
      <alignment horizontal="right"/>
    </xf>
    <xf numFmtId="3" fontId="6" fillId="41" borderId="30" xfId="0" applyNumberFormat="1" applyFont="1" applyFill="1" applyBorder="1" applyAlignment="1">
      <alignment horizontal="right"/>
    </xf>
    <xf numFmtId="3" fontId="6" fillId="37" borderId="67" xfId="0" applyNumberFormat="1" applyFont="1" applyFill="1" applyBorder="1" applyAlignment="1">
      <alignment horizontal="right"/>
    </xf>
    <xf numFmtId="3" fontId="5" fillId="37" borderId="30" xfId="0" applyNumberFormat="1" applyFont="1" applyFill="1" applyBorder="1" applyAlignment="1">
      <alignment horizontal="right"/>
    </xf>
    <xf numFmtId="3" fontId="6" fillId="37" borderId="55" xfId="0" applyNumberFormat="1" applyFont="1" applyFill="1" applyBorder="1" applyAlignment="1">
      <alignment horizontal="right"/>
    </xf>
    <xf numFmtId="3" fontId="6" fillId="41" borderId="10" xfId="0" applyNumberFormat="1" applyFont="1" applyFill="1" applyBorder="1" applyAlignment="1">
      <alignment horizontal="right"/>
    </xf>
    <xf numFmtId="3" fontId="6" fillId="37" borderId="68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3" fontId="6" fillId="36" borderId="13" xfId="0" applyNumberFormat="1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3" fontId="6" fillId="37" borderId="1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37" borderId="54" xfId="0" applyNumberFormat="1" applyFont="1" applyFill="1" applyBorder="1" applyAlignment="1">
      <alignment/>
    </xf>
    <xf numFmtId="3" fontId="6" fillId="37" borderId="58" xfId="0" applyNumberFormat="1" applyFont="1" applyFill="1" applyBorder="1" applyAlignment="1">
      <alignment/>
    </xf>
    <xf numFmtId="3" fontId="6" fillId="36" borderId="6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7" borderId="48" xfId="0" applyNumberFormat="1" applyFont="1" applyFill="1" applyBorder="1" applyAlignment="1">
      <alignment horizontal="right"/>
    </xf>
    <xf numFmtId="3" fontId="6" fillId="37" borderId="15" xfId="0" applyNumberFormat="1" applyFont="1" applyFill="1" applyBorder="1" applyAlignment="1">
      <alignment horizontal="right"/>
    </xf>
    <xf numFmtId="3" fontId="3" fillId="36" borderId="58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3" fillId="38" borderId="7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49" fillId="38" borderId="41" xfId="0" applyFont="1" applyFill="1" applyBorder="1" applyAlignment="1">
      <alignment horizontal="left" vertical="center"/>
    </xf>
    <xf numFmtId="3" fontId="3" fillId="37" borderId="71" xfId="0" applyNumberFormat="1" applyFont="1" applyFill="1" applyBorder="1" applyAlignment="1">
      <alignment/>
    </xf>
    <xf numFmtId="3" fontId="3" fillId="37" borderId="69" xfId="0" applyNumberFormat="1" applyFont="1" applyFill="1" applyBorder="1" applyAlignment="1">
      <alignment/>
    </xf>
    <xf numFmtId="3" fontId="6" fillId="36" borderId="72" xfId="0" applyNumberFormat="1" applyFont="1" applyFill="1" applyBorder="1" applyAlignment="1">
      <alignment horizontal="right"/>
    </xf>
    <xf numFmtId="0" fontId="3" fillId="34" borderId="36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/>
    </xf>
    <xf numFmtId="0" fontId="67" fillId="34" borderId="1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6" fillId="36" borderId="54" xfId="0" applyNumberFormat="1" applyFont="1" applyFill="1" applyBorder="1" applyAlignment="1">
      <alignment/>
    </xf>
    <xf numFmtId="3" fontId="6" fillId="37" borderId="71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3" fontId="24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3" fontId="42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14" fillId="33" borderId="12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 horizontal="right"/>
    </xf>
    <xf numFmtId="0" fontId="3" fillId="35" borderId="73" xfId="0" applyFont="1" applyFill="1" applyBorder="1" applyAlignment="1">
      <alignment/>
    </xf>
    <xf numFmtId="0" fontId="3" fillId="35" borderId="74" xfId="0" applyFont="1" applyFill="1" applyBorder="1" applyAlignment="1">
      <alignment/>
    </xf>
    <xf numFmtId="0" fontId="18" fillId="37" borderId="75" xfId="0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3" fillId="35" borderId="6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8" fillId="37" borderId="14" xfId="0" applyFont="1" applyFill="1" applyBorder="1" applyAlignment="1">
      <alignment/>
    </xf>
    <xf numFmtId="0" fontId="40" fillId="38" borderId="51" xfId="0" applyFont="1" applyFill="1" applyBorder="1" applyAlignment="1">
      <alignment vertical="center"/>
    </xf>
    <xf numFmtId="0" fontId="5" fillId="36" borderId="12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 textRotation="180" wrapText="1"/>
    </xf>
    <xf numFmtId="49" fontId="4" fillId="33" borderId="44" xfId="0" applyNumberFormat="1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0" borderId="76" xfId="0" applyFont="1" applyBorder="1" applyAlignment="1">
      <alignment/>
    </xf>
    <xf numFmtId="0" fontId="3" fillId="33" borderId="45" xfId="0" applyFont="1" applyFill="1" applyBorder="1" applyAlignment="1">
      <alignment/>
    </xf>
    <xf numFmtId="3" fontId="6" fillId="33" borderId="45" xfId="0" applyNumberFormat="1" applyFont="1" applyFill="1" applyBorder="1" applyAlignment="1">
      <alignment horizontal="right"/>
    </xf>
    <xf numFmtId="3" fontId="6" fillId="37" borderId="58" xfId="0" applyNumberFormat="1" applyFont="1" applyFill="1" applyBorder="1" applyAlignment="1">
      <alignment/>
    </xf>
    <xf numFmtId="0" fontId="3" fillId="35" borderId="38" xfId="0" applyFont="1" applyFill="1" applyBorder="1" applyAlignment="1">
      <alignment horizontal="center" vertical="center" textRotation="180" wrapText="1"/>
    </xf>
    <xf numFmtId="0" fontId="8" fillId="33" borderId="0" xfId="0" applyFont="1" applyFill="1" applyBorder="1" applyAlignment="1">
      <alignment horizontal="center"/>
    </xf>
    <xf numFmtId="3" fontId="54" fillId="42" borderId="14" xfId="0" applyNumberFormat="1" applyFont="1" applyFill="1" applyBorder="1" applyAlignment="1">
      <alignment horizontal="right" vertical="center"/>
    </xf>
    <xf numFmtId="3" fontId="16" fillId="40" borderId="14" xfId="0" applyNumberFormat="1" applyFont="1" applyFill="1" applyBorder="1" applyAlignment="1">
      <alignment horizontal="right"/>
    </xf>
    <xf numFmtId="0" fontId="12" fillId="40" borderId="18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2" fillId="40" borderId="21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3" fontId="5" fillId="40" borderId="12" xfId="0" applyNumberFormat="1" applyFont="1" applyFill="1" applyBorder="1" applyAlignment="1">
      <alignment horizontal="right"/>
    </xf>
    <xf numFmtId="3" fontId="16" fillId="40" borderId="12" xfId="0" applyNumberFormat="1" applyFont="1" applyFill="1" applyBorder="1" applyAlignment="1">
      <alignment horizontal="right"/>
    </xf>
    <xf numFmtId="0" fontId="12" fillId="40" borderId="77" xfId="0" applyFont="1" applyFill="1" applyBorder="1" applyAlignment="1">
      <alignment/>
    </xf>
    <xf numFmtId="0" fontId="3" fillId="40" borderId="66" xfId="0" applyFont="1" applyFill="1" applyBorder="1" applyAlignment="1">
      <alignment/>
    </xf>
    <xf numFmtId="3" fontId="6" fillId="40" borderId="66" xfId="0" applyNumberFormat="1" applyFont="1" applyFill="1" applyBorder="1" applyAlignment="1">
      <alignment horizontal="right"/>
    </xf>
    <xf numFmtId="3" fontId="54" fillId="42" borderId="15" xfId="0" applyNumberFormat="1" applyFont="1" applyFill="1" applyBorder="1" applyAlignment="1">
      <alignment horizontal="right"/>
    </xf>
    <xf numFmtId="49" fontId="24" fillId="39" borderId="27" xfId="0" applyNumberFormat="1" applyFont="1" applyFill="1" applyBorder="1" applyAlignment="1">
      <alignment horizontal="center"/>
    </xf>
    <xf numFmtId="49" fontId="24" fillId="39" borderId="36" xfId="0" applyNumberFormat="1" applyFont="1" applyFill="1" applyBorder="1" applyAlignment="1">
      <alignment horizontal="center"/>
    </xf>
    <xf numFmtId="49" fontId="54" fillId="39" borderId="36" xfId="0" applyNumberFormat="1" applyFont="1" applyFill="1" applyBorder="1" applyAlignment="1">
      <alignment horizontal="center"/>
    </xf>
    <xf numFmtId="0" fontId="54" fillId="39" borderId="36" xfId="0" applyFont="1" applyFill="1" applyBorder="1" applyAlignment="1">
      <alignment/>
    </xf>
    <xf numFmtId="0" fontId="52" fillId="39" borderId="28" xfId="0" applyFont="1" applyFill="1" applyBorder="1" applyAlignment="1">
      <alignment/>
    </xf>
    <xf numFmtId="49" fontId="68" fillId="39" borderId="26" xfId="0" applyNumberFormat="1" applyFont="1" applyFill="1" applyBorder="1" applyAlignment="1">
      <alignment horizontal="center"/>
    </xf>
    <xf numFmtId="49" fontId="68" fillId="39" borderId="17" xfId="0" applyNumberFormat="1" applyFont="1" applyFill="1" applyBorder="1" applyAlignment="1">
      <alignment horizontal="center"/>
    </xf>
    <xf numFmtId="49" fontId="69" fillId="39" borderId="17" xfId="0" applyNumberFormat="1" applyFont="1" applyFill="1" applyBorder="1" applyAlignment="1">
      <alignment horizontal="center"/>
    </xf>
    <xf numFmtId="0" fontId="52" fillId="39" borderId="26" xfId="0" applyFont="1" applyFill="1" applyBorder="1" applyAlignment="1">
      <alignment/>
    </xf>
    <xf numFmtId="3" fontId="5" fillId="40" borderId="13" xfId="0" applyNumberFormat="1" applyFont="1" applyFill="1" applyBorder="1" applyAlignment="1">
      <alignment horizontal="right"/>
    </xf>
    <xf numFmtId="3" fontId="3" fillId="41" borderId="58" xfId="0" applyNumberFormat="1" applyFont="1" applyFill="1" applyBorder="1" applyAlignment="1">
      <alignment/>
    </xf>
    <xf numFmtId="3" fontId="31" fillId="42" borderId="13" xfId="0" applyNumberFormat="1" applyFont="1" applyFill="1" applyBorder="1" applyAlignment="1">
      <alignment horizontal="right"/>
    </xf>
    <xf numFmtId="3" fontId="31" fillId="43" borderId="13" xfId="0" applyNumberFormat="1" applyFont="1" applyFill="1" applyBorder="1" applyAlignment="1">
      <alignment horizontal="right"/>
    </xf>
    <xf numFmtId="3" fontId="31" fillId="42" borderId="11" xfId="0" applyNumberFormat="1" applyFont="1" applyFill="1" applyBorder="1" applyAlignment="1">
      <alignment horizontal="right"/>
    </xf>
    <xf numFmtId="3" fontId="31" fillId="43" borderId="11" xfId="0" applyNumberFormat="1" applyFont="1" applyFill="1" applyBorder="1" applyAlignment="1">
      <alignment horizontal="right"/>
    </xf>
    <xf numFmtId="4" fontId="55" fillId="0" borderId="11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5" fillId="0" borderId="11" xfId="0" applyNumberFormat="1" applyFont="1" applyFill="1" applyBorder="1" applyAlignment="1">
      <alignment horizontal="right"/>
    </xf>
    <xf numFmtId="3" fontId="19" fillId="34" borderId="32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4" fontId="19" fillId="34" borderId="27" xfId="0" applyNumberFormat="1" applyFont="1" applyFill="1" applyBorder="1" applyAlignment="1">
      <alignment horizontal="right"/>
    </xf>
    <xf numFmtId="3" fontId="19" fillId="34" borderId="27" xfId="0" applyNumberFormat="1" applyFont="1" applyFill="1" applyBorder="1" applyAlignment="1">
      <alignment horizontal="right"/>
    </xf>
    <xf numFmtId="3" fontId="31" fillId="38" borderId="78" xfId="0" applyNumberFormat="1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3" fontId="55" fillId="33" borderId="79" xfId="0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6" fillId="37" borderId="47" xfId="0" applyNumberFormat="1" applyFont="1" applyFill="1" applyBorder="1" applyAlignment="1">
      <alignment horizontal="right"/>
    </xf>
    <xf numFmtId="3" fontId="6" fillId="37" borderId="7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37" borderId="18" xfId="0" applyNumberFormat="1" applyFont="1" applyFill="1" applyBorder="1" applyAlignment="1">
      <alignment horizontal="right"/>
    </xf>
    <xf numFmtId="3" fontId="6" fillId="37" borderId="21" xfId="0" applyNumberFormat="1" applyFont="1" applyFill="1" applyBorder="1" applyAlignment="1">
      <alignment horizontal="right"/>
    </xf>
    <xf numFmtId="3" fontId="6" fillId="37" borderId="27" xfId="0" applyNumberFormat="1" applyFont="1" applyFill="1" applyBorder="1" applyAlignment="1">
      <alignment horizontal="right"/>
    </xf>
    <xf numFmtId="3" fontId="5" fillId="37" borderId="11" xfId="0" applyNumberFormat="1" applyFont="1" applyFill="1" applyBorder="1" applyAlignment="1">
      <alignment horizontal="right"/>
    </xf>
    <xf numFmtId="3" fontId="6" fillId="36" borderId="48" xfId="0" applyNumberFormat="1" applyFont="1" applyFill="1" applyBorder="1" applyAlignment="1">
      <alignment/>
    </xf>
    <xf numFmtId="3" fontId="6" fillId="36" borderId="67" xfId="0" applyNumberFormat="1" applyFont="1" applyFill="1" applyBorder="1" applyAlignment="1">
      <alignment horizontal="right"/>
    </xf>
    <xf numFmtId="3" fontId="6" fillId="36" borderId="55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left"/>
    </xf>
    <xf numFmtId="0" fontId="7" fillId="33" borderId="8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3" fontId="55" fillId="33" borderId="81" xfId="0" applyNumberFormat="1" applyFont="1" applyFill="1" applyBorder="1" applyAlignment="1">
      <alignment horizontal="right"/>
    </xf>
    <xf numFmtId="3" fontId="6" fillId="36" borderId="68" xfId="0" applyNumberFormat="1" applyFont="1" applyFill="1" applyBorder="1" applyAlignment="1">
      <alignment horizontal="right"/>
    </xf>
    <xf numFmtId="3" fontId="6" fillId="36" borderId="58" xfId="0" applyNumberFormat="1" applyFont="1" applyFill="1" applyBorder="1" applyAlignment="1">
      <alignment/>
    </xf>
    <xf numFmtId="3" fontId="6" fillId="36" borderId="71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right"/>
    </xf>
    <xf numFmtId="3" fontId="6" fillId="36" borderId="54" xfId="0" applyNumberFormat="1" applyFont="1" applyFill="1" applyBorder="1" applyAlignment="1">
      <alignment/>
    </xf>
    <xf numFmtId="3" fontId="6" fillId="37" borderId="54" xfId="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3" fontId="6" fillId="37" borderId="82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18" fillId="37" borderId="29" xfId="0" applyFont="1" applyFill="1" applyBorder="1" applyAlignment="1">
      <alignment/>
    </xf>
    <xf numFmtId="3" fontId="6" fillId="37" borderId="36" xfId="0" applyNumberFormat="1" applyFont="1" applyFill="1" applyBorder="1" applyAlignment="1">
      <alignment horizontal="right"/>
    </xf>
    <xf numFmtId="3" fontId="6" fillId="37" borderId="27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6" fillId="37" borderId="57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6" fillId="37" borderId="28" xfId="0" applyNumberFormat="1" applyFont="1" applyFill="1" applyBorder="1" applyAlignment="1">
      <alignment horizontal="right"/>
    </xf>
    <xf numFmtId="3" fontId="5" fillId="34" borderId="83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 horizontal="right"/>
    </xf>
    <xf numFmtId="3" fontId="2" fillId="37" borderId="15" xfId="0" applyNumberFormat="1" applyFont="1" applyFill="1" applyBorder="1" applyAlignment="1">
      <alignment horizontal="right"/>
    </xf>
    <xf numFmtId="3" fontId="2" fillId="37" borderId="13" xfId="0" applyNumberFormat="1" applyFont="1" applyFill="1" applyBorder="1" applyAlignment="1">
      <alignment horizontal="right"/>
    </xf>
    <xf numFmtId="0" fontId="38" fillId="38" borderId="5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3" fontId="3" fillId="37" borderId="13" xfId="0" applyNumberFormat="1" applyFont="1" applyFill="1" applyBorder="1" applyAlignment="1">
      <alignment horizontal="left"/>
    </xf>
    <xf numFmtId="0" fontId="5" fillId="37" borderId="36" xfId="0" applyFont="1" applyFill="1" applyBorder="1" applyAlignment="1">
      <alignment/>
    </xf>
    <xf numFmtId="3" fontId="3" fillId="37" borderId="27" xfId="0" applyNumberFormat="1" applyFont="1" applyFill="1" applyBorder="1" applyAlignment="1">
      <alignment horizontal="left"/>
    </xf>
    <xf numFmtId="3" fontId="6" fillId="37" borderId="69" xfId="0" applyNumberFormat="1" applyFont="1" applyFill="1" applyBorder="1" applyAlignment="1">
      <alignment horizontal="right"/>
    </xf>
    <xf numFmtId="0" fontId="5" fillId="37" borderId="22" xfId="0" applyFont="1" applyFill="1" applyBorder="1" applyAlignment="1">
      <alignment/>
    </xf>
    <xf numFmtId="3" fontId="3" fillId="37" borderId="11" xfId="0" applyNumberFormat="1" applyFont="1" applyFill="1" applyBorder="1" applyAlignment="1">
      <alignment horizontal="left"/>
    </xf>
    <xf numFmtId="3" fontId="6" fillId="37" borderId="48" xfId="0" applyNumberFormat="1" applyFont="1" applyFill="1" applyBorder="1" applyAlignment="1">
      <alignment/>
    </xf>
    <xf numFmtId="0" fontId="12" fillId="37" borderId="22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0" fillId="33" borderId="84" xfId="0" applyFill="1" applyBorder="1" applyAlignment="1">
      <alignment/>
    </xf>
    <xf numFmtId="3" fontId="3" fillId="37" borderId="13" xfId="0" applyNumberFormat="1" applyFont="1" applyFill="1" applyBorder="1" applyAlignment="1">
      <alignment horizontal="right"/>
    </xf>
    <xf numFmtId="3" fontId="3" fillId="37" borderId="15" xfId="0" applyNumberFormat="1" applyFont="1" applyFill="1" applyBorder="1" applyAlignment="1">
      <alignment horizontal="left"/>
    </xf>
    <xf numFmtId="3" fontId="3" fillId="37" borderId="16" xfId="0" applyNumberFormat="1" applyFont="1" applyFill="1" applyBorder="1" applyAlignment="1">
      <alignment horizontal="left"/>
    </xf>
    <xf numFmtId="3" fontId="6" fillId="37" borderId="8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14" fontId="1" fillId="33" borderId="0" xfId="0" applyNumberFormat="1" applyFont="1" applyFill="1" applyBorder="1" applyAlignment="1">
      <alignment horizontal="center"/>
    </xf>
    <xf numFmtId="3" fontId="43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3" fontId="3" fillId="37" borderId="85" xfId="0" applyNumberFormat="1" applyFont="1" applyFill="1" applyBorder="1" applyAlignment="1">
      <alignment/>
    </xf>
    <xf numFmtId="3" fontId="6" fillId="37" borderId="14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3" borderId="86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33" borderId="36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66" xfId="0" applyFont="1" applyFill="1" applyBorder="1" applyAlignment="1">
      <alignment/>
    </xf>
    <xf numFmtId="3" fontId="49" fillId="42" borderId="12" xfId="0" applyNumberFormat="1" applyFont="1" applyFill="1" applyBorder="1" applyAlignment="1">
      <alignment horizontal="right" vertical="center"/>
    </xf>
    <xf numFmtId="3" fontId="49" fillId="42" borderId="14" xfId="0" applyNumberFormat="1" applyFont="1" applyFill="1" applyBorder="1" applyAlignment="1">
      <alignment horizontal="right" vertical="center"/>
    </xf>
    <xf numFmtId="3" fontId="49" fillId="42" borderId="36" xfId="0" applyNumberFormat="1" applyFont="1" applyFill="1" applyBorder="1" applyAlignment="1">
      <alignment horizontal="right"/>
    </xf>
    <xf numFmtId="3" fontId="49" fillId="42" borderId="56" xfId="0" applyNumberFormat="1" applyFont="1" applyFill="1" applyBorder="1" applyAlignment="1">
      <alignment horizontal="right"/>
    </xf>
    <xf numFmtId="3" fontId="49" fillId="42" borderId="47" xfId="0" applyNumberFormat="1" applyFont="1" applyFill="1" applyBorder="1" applyAlignment="1">
      <alignment horizontal="right"/>
    </xf>
    <xf numFmtId="3" fontId="49" fillId="42" borderId="56" xfId="0" applyNumberFormat="1" applyFont="1" applyFill="1" applyBorder="1" applyAlignment="1">
      <alignment horizontal="right"/>
    </xf>
    <xf numFmtId="3" fontId="49" fillId="42" borderId="10" xfId="0" applyNumberFormat="1" applyFont="1" applyFill="1" applyBorder="1" applyAlignment="1">
      <alignment horizontal="right"/>
    </xf>
    <xf numFmtId="3" fontId="49" fillId="42" borderId="47" xfId="0" applyNumberFormat="1" applyFont="1" applyFill="1" applyBorder="1" applyAlignment="1">
      <alignment horizontal="right"/>
    </xf>
    <xf numFmtId="0" fontId="36" fillId="38" borderId="41" xfId="0" applyFont="1" applyFill="1" applyBorder="1" applyAlignment="1">
      <alignment horizontal="left" vertical="center"/>
    </xf>
    <xf numFmtId="3" fontId="57" fillId="38" borderId="34" xfId="0" applyNumberFormat="1" applyFont="1" applyFill="1" applyBorder="1" applyAlignment="1">
      <alignment vertical="center"/>
    </xf>
    <xf numFmtId="3" fontId="57" fillId="38" borderId="38" xfId="0" applyNumberFormat="1" applyFont="1" applyFill="1" applyBorder="1" applyAlignment="1">
      <alignment vertical="center"/>
    </xf>
    <xf numFmtId="3" fontId="57" fillId="38" borderId="23" xfId="0" applyNumberFormat="1" applyFont="1" applyFill="1" applyBorder="1" applyAlignment="1">
      <alignment vertical="center"/>
    </xf>
    <xf numFmtId="0" fontId="12" fillId="37" borderId="14" xfId="0" applyFont="1" applyFill="1" applyBorder="1" applyAlignment="1">
      <alignment/>
    </xf>
    <xf numFmtId="3" fontId="57" fillId="38" borderId="51" xfId="0" applyNumberFormat="1" applyFont="1" applyFill="1" applyBorder="1" applyAlignment="1">
      <alignment vertical="center"/>
    </xf>
    <xf numFmtId="3" fontId="57" fillId="38" borderId="52" xfId="0" applyNumberFormat="1" applyFont="1" applyFill="1" applyBorder="1" applyAlignment="1">
      <alignment vertical="center"/>
    </xf>
    <xf numFmtId="3" fontId="57" fillId="38" borderId="53" xfId="0" applyNumberFormat="1" applyFont="1" applyFill="1" applyBorder="1" applyAlignment="1">
      <alignment vertical="center"/>
    </xf>
    <xf numFmtId="0" fontId="19" fillId="36" borderId="22" xfId="0" applyFont="1" applyFill="1" applyBorder="1" applyAlignment="1">
      <alignment/>
    </xf>
    <xf numFmtId="0" fontId="19" fillId="37" borderId="22" xfId="0" applyFont="1" applyFill="1" applyBorder="1" applyAlignment="1">
      <alignment/>
    </xf>
    <xf numFmtId="0" fontId="19" fillId="37" borderId="29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9" fillId="36" borderId="19" xfId="0" applyFont="1" applyFill="1" applyBorder="1" applyAlignment="1">
      <alignment/>
    </xf>
    <xf numFmtId="0" fontId="58" fillId="37" borderId="19" xfId="0" applyFont="1" applyFill="1" applyBorder="1" applyAlignment="1">
      <alignment/>
    </xf>
    <xf numFmtId="3" fontId="17" fillId="37" borderId="12" xfId="0" applyNumberFormat="1" applyFont="1" applyFill="1" applyBorder="1" applyAlignment="1">
      <alignment horizontal="right"/>
    </xf>
    <xf numFmtId="3" fontId="17" fillId="37" borderId="13" xfId="0" applyNumberFormat="1" applyFont="1" applyFill="1" applyBorder="1" applyAlignment="1">
      <alignment horizontal="right"/>
    </xf>
    <xf numFmtId="3" fontId="17" fillId="37" borderId="13" xfId="0" applyNumberFormat="1" applyFont="1" applyFill="1" applyBorder="1" applyAlignment="1">
      <alignment/>
    </xf>
    <xf numFmtId="3" fontId="17" fillId="36" borderId="14" xfId="0" applyNumberFormat="1" applyFont="1" applyFill="1" applyBorder="1" applyAlignment="1">
      <alignment horizontal="right"/>
    </xf>
    <xf numFmtId="3" fontId="17" fillId="36" borderId="11" xfId="0" applyNumberFormat="1" applyFont="1" applyFill="1" applyBorder="1" applyAlignment="1">
      <alignment horizontal="right"/>
    </xf>
    <xf numFmtId="3" fontId="17" fillId="36" borderId="11" xfId="0" applyNumberFormat="1" applyFont="1" applyFill="1" applyBorder="1" applyAlignment="1">
      <alignment/>
    </xf>
    <xf numFmtId="3" fontId="17" fillId="36" borderId="12" xfId="0" applyNumberFormat="1" applyFont="1" applyFill="1" applyBorder="1" applyAlignment="1">
      <alignment horizontal="right"/>
    </xf>
    <xf numFmtId="3" fontId="17" fillId="36" borderId="13" xfId="0" applyNumberFormat="1" applyFont="1" applyFill="1" applyBorder="1" applyAlignment="1">
      <alignment horizontal="right"/>
    </xf>
    <xf numFmtId="3" fontId="17" fillId="36" borderId="13" xfId="0" applyNumberFormat="1" applyFont="1" applyFill="1" applyBorder="1" applyAlignment="1">
      <alignment/>
    </xf>
    <xf numFmtId="3" fontId="17" fillId="37" borderId="36" xfId="0" applyNumberFormat="1" applyFont="1" applyFill="1" applyBorder="1" applyAlignment="1">
      <alignment horizontal="right"/>
    </xf>
    <xf numFmtId="3" fontId="17" fillId="37" borderId="27" xfId="0" applyNumberFormat="1" applyFont="1" applyFill="1" applyBorder="1" applyAlignment="1">
      <alignment horizontal="right"/>
    </xf>
    <xf numFmtId="3" fontId="17" fillId="37" borderId="27" xfId="0" applyNumberFormat="1" applyFont="1" applyFill="1" applyBorder="1" applyAlignment="1">
      <alignment/>
    </xf>
    <xf numFmtId="3" fontId="17" fillId="37" borderId="14" xfId="0" applyNumberFormat="1" applyFont="1" applyFill="1" applyBorder="1" applyAlignment="1">
      <alignment horizontal="right"/>
    </xf>
    <xf numFmtId="3" fontId="17" fillId="37" borderId="11" xfId="0" applyNumberFormat="1" applyFont="1" applyFill="1" applyBorder="1" applyAlignment="1">
      <alignment/>
    </xf>
    <xf numFmtId="3" fontId="3" fillId="37" borderId="58" xfId="0" applyNumberFormat="1" applyFont="1" applyFill="1" applyBorder="1" applyAlignment="1">
      <alignment/>
    </xf>
    <xf numFmtId="3" fontId="70" fillId="37" borderId="13" xfId="0" applyNumberFormat="1" applyFont="1" applyFill="1" applyBorder="1" applyAlignment="1">
      <alignment/>
    </xf>
    <xf numFmtId="0" fontId="12" fillId="37" borderId="29" xfId="0" applyFont="1" applyFill="1" applyBorder="1" applyAlignment="1">
      <alignment/>
    </xf>
    <xf numFmtId="0" fontId="3" fillId="44" borderId="15" xfId="0" applyFont="1" applyFill="1" applyBorder="1" applyAlignment="1">
      <alignment horizontal="center"/>
    </xf>
    <xf numFmtId="0" fontId="19" fillId="44" borderId="80" xfId="0" applyFont="1" applyFill="1" applyBorder="1" applyAlignment="1">
      <alignment/>
    </xf>
    <xf numFmtId="0" fontId="50" fillId="44" borderId="21" xfId="0" applyFont="1" applyFill="1" applyBorder="1" applyAlignment="1">
      <alignment/>
    </xf>
    <xf numFmtId="0" fontId="50" fillId="44" borderId="12" xfId="0" applyFont="1" applyFill="1" applyBorder="1" applyAlignment="1">
      <alignment/>
    </xf>
    <xf numFmtId="3" fontId="19" fillId="44" borderId="87" xfId="0" applyNumberFormat="1" applyFont="1" applyFill="1" applyBorder="1" applyAlignment="1">
      <alignment horizontal="right"/>
    </xf>
    <xf numFmtId="0" fontId="40" fillId="43" borderId="15" xfId="0" applyFont="1" applyFill="1" applyBorder="1" applyAlignment="1">
      <alignment horizontal="center"/>
    </xf>
    <xf numFmtId="3" fontId="31" fillId="43" borderId="87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57" fillId="42" borderId="25" xfId="0" applyNumberFormat="1" applyFont="1" applyFill="1" applyBorder="1" applyAlignment="1">
      <alignment vertical="center"/>
    </xf>
    <xf numFmtId="3" fontId="31" fillId="45" borderId="88" xfId="0" applyNumberFormat="1" applyFont="1" applyFill="1" applyBorder="1" applyAlignment="1">
      <alignment/>
    </xf>
    <xf numFmtId="3" fontId="6" fillId="36" borderId="19" xfId="0" applyNumberFormat="1" applyFont="1" applyFill="1" applyBorder="1" applyAlignment="1">
      <alignment horizontal="right"/>
    </xf>
    <xf numFmtId="3" fontId="6" fillId="37" borderId="19" xfId="0" applyNumberFormat="1" applyFont="1" applyFill="1" applyBorder="1" applyAlignment="1">
      <alignment horizontal="right"/>
    </xf>
    <xf numFmtId="3" fontId="31" fillId="45" borderId="19" xfId="0" applyNumberFormat="1" applyFont="1" applyFill="1" applyBorder="1" applyAlignment="1">
      <alignment/>
    </xf>
    <xf numFmtId="3" fontId="31" fillId="45" borderId="29" xfId="0" applyNumberFormat="1" applyFont="1" applyFill="1" applyBorder="1" applyAlignment="1">
      <alignment/>
    </xf>
    <xf numFmtId="3" fontId="25" fillId="45" borderId="87" xfId="0" applyNumberFormat="1" applyFont="1" applyFill="1" applyBorder="1" applyAlignment="1">
      <alignment/>
    </xf>
    <xf numFmtId="3" fontId="6" fillId="36" borderId="89" xfId="0" applyNumberFormat="1" applyFont="1" applyFill="1" applyBorder="1" applyAlignment="1">
      <alignment horizontal="right"/>
    </xf>
    <xf numFmtId="3" fontId="6" fillId="37" borderId="89" xfId="0" applyNumberFormat="1" applyFont="1" applyFill="1" applyBorder="1" applyAlignment="1">
      <alignment horizontal="right"/>
    </xf>
    <xf numFmtId="3" fontId="6" fillId="37" borderId="79" xfId="0" applyNumberFormat="1" applyFont="1" applyFill="1" applyBorder="1" applyAlignment="1">
      <alignment horizontal="right"/>
    </xf>
    <xf numFmtId="3" fontId="6" fillId="37" borderId="87" xfId="0" applyNumberFormat="1" applyFont="1" applyFill="1" applyBorder="1" applyAlignment="1">
      <alignment horizontal="right"/>
    </xf>
    <xf numFmtId="3" fontId="25" fillId="45" borderId="79" xfId="0" applyNumberFormat="1" applyFont="1" applyFill="1" applyBorder="1" applyAlignment="1">
      <alignment/>
    </xf>
    <xf numFmtId="3" fontId="25" fillId="45" borderId="90" xfId="0" applyNumberFormat="1" applyFont="1" applyFill="1" applyBorder="1" applyAlignment="1">
      <alignment/>
    </xf>
    <xf numFmtId="3" fontId="57" fillId="42" borderId="91" xfId="0" applyNumberFormat="1" applyFont="1" applyFill="1" applyBorder="1" applyAlignment="1">
      <alignment vertical="center"/>
    </xf>
    <xf numFmtId="3" fontId="31" fillId="45" borderId="79" xfId="0" applyNumberFormat="1" applyFont="1" applyFill="1" applyBorder="1" applyAlignment="1">
      <alignment/>
    </xf>
    <xf numFmtId="3" fontId="6" fillId="37" borderId="22" xfId="0" applyNumberFormat="1" applyFont="1" applyFill="1" applyBorder="1" applyAlignment="1">
      <alignment horizontal="right"/>
    </xf>
    <xf numFmtId="3" fontId="6" fillId="36" borderId="79" xfId="0" applyNumberFormat="1" applyFont="1" applyFill="1" applyBorder="1" applyAlignment="1">
      <alignment horizontal="right"/>
    </xf>
    <xf numFmtId="3" fontId="6" fillId="36" borderId="92" xfId="0" applyNumberFormat="1" applyFont="1" applyFill="1" applyBorder="1" applyAlignment="1">
      <alignment horizontal="right"/>
    </xf>
    <xf numFmtId="3" fontId="57" fillId="42" borderId="91" xfId="0" applyNumberFormat="1" applyFont="1" applyFill="1" applyBorder="1" applyAlignment="1">
      <alignment vertical="center"/>
    </xf>
    <xf numFmtId="3" fontId="31" fillId="45" borderId="87" xfId="0" applyNumberFormat="1" applyFont="1" applyFill="1" applyBorder="1" applyAlignment="1">
      <alignment/>
    </xf>
    <xf numFmtId="3" fontId="6" fillId="36" borderId="79" xfId="0" applyNumberFormat="1" applyFont="1" applyFill="1" applyBorder="1" applyAlignment="1">
      <alignment/>
    </xf>
    <xf numFmtId="3" fontId="6" fillId="36" borderId="92" xfId="0" applyNumberFormat="1" applyFont="1" applyFill="1" applyBorder="1" applyAlignment="1">
      <alignment/>
    </xf>
    <xf numFmtId="3" fontId="31" fillId="45" borderId="93" xfId="0" applyNumberFormat="1" applyFont="1" applyFill="1" applyBorder="1" applyAlignment="1">
      <alignment/>
    </xf>
    <xf numFmtId="3" fontId="6" fillId="37" borderId="90" xfId="0" applyNumberFormat="1" applyFont="1" applyFill="1" applyBorder="1" applyAlignment="1">
      <alignment horizontal="right"/>
    </xf>
    <xf numFmtId="3" fontId="54" fillId="45" borderId="87" xfId="0" applyNumberFormat="1" applyFont="1" applyFill="1" applyBorder="1" applyAlignment="1">
      <alignment/>
    </xf>
    <xf numFmtId="3" fontId="3" fillId="37" borderId="87" xfId="0" applyNumberFormat="1" applyFont="1" applyFill="1" applyBorder="1" applyAlignment="1">
      <alignment horizontal="left"/>
    </xf>
    <xf numFmtId="3" fontId="3" fillId="36" borderId="79" xfId="0" applyNumberFormat="1" applyFont="1" applyFill="1" applyBorder="1" applyAlignment="1">
      <alignment horizontal="left"/>
    </xf>
    <xf numFmtId="3" fontId="17" fillId="37" borderId="87" xfId="0" applyNumberFormat="1" applyFont="1" applyFill="1" applyBorder="1" applyAlignment="1">
      <alignment/>
    </xf>
    <xf numFmtId="3" fontId="54" fillId="45" borderId="79" xfId="0" applyNumberFormat="1" applyFont="1" applyFill="1" applyBorder="1" applyAlignment="1">
      <alignment/>
    </xf>
    <xf numFmtId="3" fontId="3" fillId="37" borderId="90" xfId="0" applyNumberFormat="1" applyFont="1" applyFill="1" applyBorder="1" applyAlignment="1">
      <alignment horizontal="left"/>
    </xf>
    <xf numFmtId="3" fontId="54" fillId="45" borderId="93" xfId="0" applyNumberFormat="1" applyFont="1" applyFill="1" applyBorder="1" applyAlignment="1">
      <alignment/>
    </xf>
    <xf numFmtId="3" fontId="27" fillId="42" borderId="91" xfId="0" applyNumberFormat="1" applyFont="1" applyFill="1" applyBorder="1" applyAlignment="1">
      <alignment vertical="center"/>
    </xf>
    <xf numFmtId="3" fontId="3" fillId="37" borderId="79" xfId="0" applyNumberFormat="1" applyFont="1" applyFill="1" applyBorder="1" applyAlignment="1">
      <alignment horizontal="right"/>
    </xf>
    <xf numFmtId="3" fontId="27" fillId="42" borderId="25" xfId="0" applyNumberFormat="1" applyFont="1" applyFill="1" applyBorder="1" applyAlignment="1">
      <alignment vertical="center"/>
    </xf>
    <xf numFmtId="3" fontId="27" fillId="42" borderId="91" xfId="0" applyNumberFormat="1" applyFont="1" applyFill="1" applyBorder="1" applyAlignment="1">
      <alignment vertical="center"/>
    </xf>
    <xf numFmtId="3" fontId="6" fillId="37" borderId="92" xfId="0" applyNumberFormat="1" applyFont="1" applyFill="1" applyBorder="1" applyAlignment="1">
      <alignment horizontal="right"/>
    </xf>
    <xf numFmtId="3" fontId="5" fillId="37" borderId="22" xfId="0" applyNumberFormat="1" applyFont="1" applyFill="1" applyBorder="1" applyAlignment="1">
      <alignment/>
    </xf>
    <xf numFmtId="3" fontId="6" fillId="41" borderId="19" xfId="0" applyNumberFormat="1" applyFont="1" applyFill="1" applyBorder="1" applyAlignment="1">
      <alignment horizontal="right"/>
    </xf>
    <xf numFmtId="3" fontId="5" fillId="37" borderId="19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24" fillId="42" borderId="91" xfId="0" applyNumberFormat="1" applyFont="1" applyFill="1" applyBorder="1" applyAlignment="1">
      <alignment vertical="center"/>
    </xf>
    <xf numFmtId="3" fontId="5" fillId="37" borderId="81" xfId="0" applyNumberFormat="1" applyFont="1" applyFill="1" applyBorder="1" applyAlignment="1">
      <alignment/>
    </xf>
    <xf numFmtId="3" fontId="6" fillId="41" borderId="89" xfId="0" applyNumberFormat="1" applyFont="1" applyFill="1" applyBorder="1" applyAlignment="1">
      <alignment horizontal="right"/>
    </xf>
    <xf numFmtId="3" fontId="6" fillId="41" borderId="79" xfId="0" applyNumberFormat="1" applyFont="1" applyFill="1" applyBorder="1" applyAlignment="1">
      <alignment horizontal="right"/>
    </xf>
    <xf numFmtId="3" fontId="5" fillId="37" borderId="89" xfId="0" applyNumberFormat="1" applyFont="1" applyFill="1" applyBorder="1" applyAlignment="1">
      <alignment horizontal="right"/>
    </xf>
    <xf numFmtId="3" fontId="27" fillId="42" borderId="25" xfId="0" applyNumberFormat="1" applyFont="1" applyFill="1" applyBorder="1" applyAlignment="1">
      <alignment vertical="center"/>
    </xf>
    <xf numFmtId="3" fontId="6" fillId="36" borderId="81" xfId="0" applyNumberFormat="1" applyFont="1" applyFill="1" applyBorder="1" applyAlignment="1">
      <alignment horizontal="right"/>
    </xf>
    <xf numFmtId="3" fontId="27" fillId="42" borderId="94" xfId="0" applyNumberFormat="1" applyFont="1" applyFill="1" applyBorder="1" applyAlignment="1">
      <alignment vertical="center"/>
    </xf>
    <xf numFmtId="3" fontId="6" fillId="36" borderId="87" xfId="0" applyNumberFormat="1" applyFont="1" applyFill="1" applyBorder="1" applyAlignment="1">
      <alignment/>
    </xf>
    <xf numFmtId="3" fontId="6" fillId="37" borderId="79" xfId="0" applyNumberFormat="1" applyFont="1" applyFill="1" applyBorder="1" applyAlignment="1">
      <alignment/>
    </xf>
    <xf numFmtId="3" fontId="31" fillId="45" borderId="92" xfId="0" applyNumberFormat="1" applyFont="1" applyFill="1" applyBorder="1" applyAlignment="1">
      <alignment/>
    </xf>
    <xf numFmtId="3" fontId="6" fillId="37" borderId="59" xfId="0" applyNumberFormat="1" applyFont="1" applyFill="1" applyBorder="1" applyAlignment="1">
      <alignment horizontal="right"/>
    </xf>
    <xf numFmtId="3" fontId="6" fillId="36" borderId="22" xfId="0" applyNumberFormat="1" applyFont="1" applyFill="1" applyBorder="1" applyAlignment="1">
      <alignment/>
    </xf>
    <xf numFmtId="3" fontId="6" fillId="37" borderId="22" xfId="0" applyNumberFormat="1" applyFont="1" applyFill="1" applyBorder="1" applyAlignment="1">
      <alignment/>
    </xf>
    <xf numFmtId="3" fontId="27" fillId="42" borderId="81" xfId="0" applyNumberFormat="1" applyFont="1" applyFill="1" applyBorder="1" applyAlignment="1">
      <alignment vertical="center"/>
    </xf>
    <xf numFmtId="3" fontId="25" fillId="45" borderId="93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3" fontId="17" fillId="36" borderId="10" xfId="0" applyNumberFormat="1" applyFont="1" applyFill="1" applyBorder="1" applyAlignment="1">
      <alignment horizontal="right"/>
    </xf>
    <xf numFmtId="3" fontId="17" fillId="36" borderId="79" xfId="0" applyNumberFormat="1" applyFont="1" applyFill="1" applyBorder="1" applyAlignment="1">
      <alignment horizontal="right"/>
    </xf>
    <xf numFmtId="3" fontId="17" fillId="37" borderId="12" xfId="0" applyNumberFormat="1" applyFont="1" applyFill="1" applyBorder="1" applyAlignment="1">
      <alignment/>
    </xf>
    <xf numFmtId="3" fontId="6" fillId="37" borderId="31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5" fillId="37" borderId="31" xfId="0" applyNumberFormat="1" applyFont="1" applyFill="1" applyBorder="1" applyAlignment="1">
      <alignment/>
    </xf>
    <xf numFmtId="3" fontId="6" fillId="37" borderId="77" xfId="0" applyNumberFormat="1" applyFont="1" applyFill="1" applyBorder="1" applyAlignment="1">
      <alignment horizontal="right"/>
    </xf>
    <xf numFmtId="3" fontId="6" fillId="41" borderId="77" xfId="0" applyNumberFormat="1" applyFont="1" applyFill="1" applyBorder="1" applyAlignment="1">
      <alignment horizontal="right"/>
    </xf>
    <xf numFmtId="3" fontId="6" fillId="41" borderId="18" xfId="0" applyNumberFormat="1" applyFont="1" applyFill="1" applyBorder="1" applyAlignment="1">
      <alignment horizontal="right"/>
    </xf>
    <xf numFmtId="3" fontId="5" fillId="37" borderId="21" xfId="0" applyNumberFormat="1" applyFont="1" applyFill="1" applyBorder="1" applyAlignment="1">
      <alignment horizontal="right"/>
    </xf>
    <xf numFmtId="3" fontId="5" fillId="37" borderId="77" xfId="0" applyNumberFormat="1" applyFont="1" applyFill="1" applyBorder="1" applyAlignment="1">
      <alignment horizontal="right"/>
    </xf>
    <xf numFmtId="3" fontId="6" fillId="36" borderId="77" xfId="0" applyNumberFormat="1" applyFont="1" applyFill="1" applyBorder="1" applyAlignment="1">
      <alignment horizontal="right"/>
    </xf>
    <xf numFmtId="3" fontId="5" fillId="41" borderId="77" xfId="0" applyNumberFormat="1" applyFont="1" applyFill="1" applyBorder="1" applyAlignment="1">
      <alignment horizontal="right"/>
    </xf>
    <xf numFmtId="3" fontId="5" fillId="41" borderId="18" xfId="0" applyNumberFormat="1" applyFont="1" applyFill="1" applyBorder="1" applyAlignment="1">
      <alignment horizontal="right"/>
    </xf>
    <xf numFmtId="3" fontId="6" fillId="37" borderId="95" xfId="0" applyNumberFormat="1" applyFont="1" applyFill="1" applyBorder="1" applyAlignment="1">
      <alignment horizontal="right"/>
    </xf>
    <xf numFmtId="3" fontId="6" fillId="41" borderId="48" xfId="0" applyNumberFormat="1" applyFont="1" applyFill="1" applyBorder="1" applyAlignment="1">
      <alignment horizontal="right"/>
    </xf>
    <xf numFmtId="3" fontId="5" fillId="37" borderId="48" xfId="0" applyNumberFormat="1" applyFont="1" applyFill="1" applyBorder="1" applyAlignment="1">
      <alignment horizontal="right"/>
    </xf>
    <xf numFmtId="3" fontId="6" fillId="36" borderId="48" xfId="0" applyNumberFormat="1" applyFont="1" applyFill="1" applyBorder="1" applyAlignment="1">
      <alignment horizontal="right"/>
    </xf>
    <xf numFmtId="3" fontId="5" fillId="41" borderId="48" xfId="0" applyNumberFormat="1" applyFont="1" applyFill="1" applyBorder="1" applyAlignment="1">
      <alignment horizontal="right"/>
    </xf>
    <xf numFmtId="3" fontId="5" fillId="41" borderId="10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53" fillId="38" borderId="96" xfId="0" applyFont="1" applyFill="1" applyBorder="1" applyAlignment="1">
      <alignment horizontal="left" vertical="center"/>
    </xf>
    <xf numFmtId="0" fontId="77" fillId="43" borderId="21" xfId="0" applyFont="1" applyFill="1" applyBorder="1" applyAlignment="1">
      <alignment/>
    </xf>
    <xf numFmtId="0" fontId="59" fillId="0" borderId="0" xfId="0" applyFont="1" applyAlignment="1">
      <alignment wrapText="1"/>
    </xf>
    <xf numFmtId="3" fontId="5" fillId="40" borderId="87" xfId="0" applyNumberFormat="1" applyFont="1" applyFill="1" applyBorder="1" applyAlignment="1">
      <alignment horizontal="right"/>
    </xf>
    <xf numFmtId="3" fontId="5" fillId="0" borderId="87" xfId="0" applyNumberFormat="1" applyFont="1" applyFill="1" applyBorder="1" applyAlignment="1">
      <alignment horizontal="right"/>
    </xf>
    <xf numFmtId="3" fontId="6" fillId="0" borderId="87" xfId="0" applyNumberFormat="1" applyFont="1" applyFill="1" applyBorder="1" applyAlignment="1">
      <alignment horizontal="right"/>
    </xf>
    <xf numFmtId="3" fontId="6" fillId="33" borderId="87" xfId="0" applyNumberFormat="1" applyFont="1" applyFill="1" applyBorder="1" applyAlignment="1">
      <alignment horizontal="right"/>
    </xf>
    <xf numFmtId="3" fontId="5" fillId="33" borderId="87" xfId="0" applyNumberFormat="1" applyFont="1" applyFill="1" applyBorder="1" applyAlignment="1">
      <alignment horizontal="right"/>
    </xf>
    <xf numFmtId="3" fontId="3" fillId="33" borderId="87" xfId="0" applyNumberFormat="1" applyFont="1" applyFill="1" applyBorder="1" applyAlignment="1">
      <alignment horizontal="right"/>
    </xf>
    <xf numFmtId="3" fontId="16" fillId="40" borderId="87" xfId="0" applyNumberFormat="1" applyFont="1" applyFill="1" applyBorder="1" applyAlignment="1">
      <alignment horizontal="right"/>
    </xf>
    <xf numFmtId="3" fontId="5" fillId="33" borderId="87" xfId="0" applyNumberFormat="1" applyFont="1" applyFill="1" applyBorder="1" applyAlignment="1">
      <alignment horizontal="right"/>
    </xf>
    <xf numFmtId="3" fontId="6" fillId="33" borderId="81" xfId="0" applyNumberFormat="1" applyFont="1" applyFill="1" applyBorder="1" applyAlignment="1">
      <alignment horizontal="right"/>
    </xf>
    <xf numFmtId="3" fontId="6" fillId="40" borderId="89" xfId="0" applyNumberFormat="1" applyFont="1" applyFill="1" applyBorder="1" applyAlignment="1">
      <alignment horizontal="right"/>
    </xf>
    <xf numFmtId="3" fontId="54" fillId="46" borderId="79" xfId="0" applyNumberFormat="1" applyFont="1" applyFill="1" applyBorder="1" applyAlignment="1">
      <alignment horizontal="right" vertical="center"/>
    </xf>
    <xf numFmtId="3" fontId="6" fillId="33" borderId="87" xfId="0" applyNumberFormat="1" applyFont="1" applyFill="1" applyBorder="1" applyAlignment="1">
      <alignment horizontal="right"/>
    </xf>
    <xf numFmtId="3" fontId="6" fillId="33" borderId="79" xfId="0" applyNumberFormat="1" applyFont="1" applyFill="1" applyBorder="1" applyAlignment="1">
      <alignment horizontal="right"/>
    </xf>
    <xf numFmtId="3" fontId="6" fillId="33" borderId="97" xfId="0" applyNumberFormat="1" applyFont="1" applyFill="1" applyBorder="1" applyAlignment="1">
      <alignment horizontal="right"/>
    </xf>
    <xf numFmtId="3" fontId="49" fillId="46" borderId="90" xfId="0" applyNumberFormat="1" applyFont="1" applyFill="1" applyBorder="1" applyAlignment="1">
      <alignment horizontal="right"/>
    </xf>
    <xf numFmtId="3" fontId="49" fillId="46" borderId="87" xfId="0" applyNumberFormat="1" applyFont="1" applyFill="1" applyBorder="1" applyAlignment="1">
      <alignment horizontal="right" vertical="center"/>
    </xf>
    <xf numFmtId="3" fontId="6" fillId="0" borderId="79" xfId="0" applyNumberFormat="1" applyFont="1" applyBorder="1" applyAlignment="1">
      <alignment horizontal="right"/>
    </xf>
    <xf numFmtId="3" fontId="5" fillId="0" borderId="87" xfId="0" applyNumberFormat="1" applyFont="1" applyBorder="1" applyAlignment="1">
      <alignment horizontal="right"/>
    </xf>
    <xf numFmtId="3" fontId="6" fillId="0" borderId="8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49" fillId="46" borderId="79" xfId="0" applyNumberFormat="1" applyFont="1" applyFill="1" applyBorder="1" applyAlignment="1">
      <alignment horizontal="right" vertical="center"/>
    </xf>
    <xf numFmtId="3" fontId="16" fillId="40" borderId="79" xfId="0" applyNumberFormat="1" applyFont="1" applyFill="1" applyBorder="1" applyAlignment="1">
      <alignment horizontal="right"/>
    </xf>
    <xf numFmtId="3" fontId="6" fillId="0" borderId="79" xfId="0" applyNumberFormat="1" applyFont="1" applyFill="1" applyBorder="1" applyAlignment="1">
      <alignment horizontal="right"/>
    </xf>
    <xf numFmtId="3" fontId="6" fillId="33" borderId="90" xfId="0" applyNumberFormat="1" applyFont="1" applyFill="1" applyBorder="1" applyAlignment="1">
      <alignment horizontal="right"/>
    </xf>
    <xf numFmtId="3" fontId="57" fillId="46" borderId="25" xfId="0" applyNumberFormat="1" applyFont="1" applyFill="1" applyBorder="1" applyAlignment="1">
      <alignment vertical="center"/>
    </xf>
    <xf numFmtId="3" fontId="31" fillId="46" borderId="88" xfId="0" applyNumberFormat="1" applyFont="1" applyFill="1" applyBorder="1" applyAlignment="1">
      <alignment/>
    </xf>
    <xf numFmtId="3" fontId="31" fillId="46" borderId="19" xfId="0" applyNumberFormat="1" applyFont="1" applyFill="1" applyBorder="1" applyAlignment="1">
      <alignment/>
    </xf>
    <xf numFmtId="3" fontId="31" fillId="46" borderId="29" xfId="0" applyNumberFormat="1" applyFont="1" applyFill="1" applyBorder="1" applyAlignment="1">
      <alignment/>
    </xf>
    <xf numFmtId="3" fontId="31" fillId="46" borderId="19" xfId="0" applyNumberFormat="1" applyFont="1" applyFill="1" applyBorder="1" applyAlignment="1">
      <alignment/>
    </xf>
    <xf numFmtId="3" fontId="31" fillId="46" borderId="29" xfId="0" applyNumberFormat="1" applyFont="1" applyFill="1" applyBorder="1" applyAlignment="1">
      <alignment/>
    </xf>
    <xf numFmtId="3" fontId="57" fillId="46" borderId="25" xfId="0" applyNumberFormat="1" applyFont="1" applyFill="1" applyBorder="1" applyAlignment="1">
      <alignment vertical="center"/>
    </xf>
    <xf numFmtId="3" fontId="25" fillId="46" borderId="87" xfId="0" applyNumberFormat="1" applyFont="1" applyFill="1" applyBorder="1" applyAlignment="1">
      <alignment/>
    </xf>
    <xf numFmtId="3" fontId="25" fillId="46" borderId="79" xfId="0" applyNumberFormat="1" applyFont="1" applyFill="1" applyBorder="1" applyAlignment="1">
      <alignment/>
    </xf>
    <xf numFmtId="3" fontId="25" fillId="46" borderId="90" xfId="0" applyNumberFormat="1" applyFont="1" applyFill="1" applyBorder="1" applyAlignment="1">
      <alignment/>
    </xf>
    <xf numFmtId="3" fontId="57" fillId="42" borderId="23" xfId="0" applyNumberFormat="1" applyFont="1" applyFill="1" applyBorder="1" applyAlignment="1">
      <alignment vertical="center"/>
    </xf>
    <xf numFmtId="3" fontId="54" fillId="42" borderId="15" xfId="0" applyNumberFormat="1" applyFont="1" applyFill="1" applyBorder="1" applyAlignment="1">
      <alignment/>
    </xf>
    <xf numFmtId="3" fontId="54" fillId="42" borderId="10" xfId="0" applyNumberFormat="1" applyFont="1" applyFill="1" applyBorder="1" applyAlignment="1">
      <alignment/>
    </xf>
    <xf numFmtId="3" fontId="54" fillId="42" borderId="47" xfId="0" applyNumberFormat="1" applyFont="1" applyFill="1" applyBorder="1" applyAlignment="1">
      <alignment/>
    </xf>
    <xf numFmtId="3" fontId="6" fillId="36" borderId="58" xfId="0" applyNumberFormat="1" applyFont="1" applyFill="1" applyBorder="1" applyAlignment="1">
      <alignment/>
    </xf>
    <xf numFmtId="3" fontId="54" fillId="42" borderId="58" xfId="0" applyNumberFormat="1" applyFont="1" applyFill="1" applyBorder="1" applyAlignment="1">
      <alignment/>
    </xf>
    <xf numFmtId="3" fontId="57" fillId="46" borderId="23" xfId="0" applyNumberFormat="1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/>
    </xf>
    <xf numFmtId="3" fontId="57" fillId="46" borderId="91" xfId="0" applyNumberFormat="1" applyFont="1" applyFill="1" applyBorder="1" applyAlignment="1">
      <alignment vertical="center"/>
    </xf>
    <xf numFmtId="3" fontId="31" fillId="46" borderId="79" xfId="0" applyNumberFormat="1" applyFont="1" applyFill="1" applyBorder="1" applyAlignment="1">
      <alignment/>
    </xf>
    <xf numFmtId="3" fontId="31" fillId="46" borderId="69" xfId="0" applyNumberFormat="1" applyFont="1" applyFill="1" applyBorder="1" applyAlignment="1">
      <alignment/>
    </xf>
    <xf numFmtId="3" fontId="6" fillId="37" borderId="69" xfId="0" applyNumberFormat="1" applyFont="1" applyFill="1" applyBorder="1" applyAlignment="1">
      <alignment/>
    </xf>
    <xf numFmtId="3" fontId="57" fillId="46" borderId="91" xfId="0" applyNumberFormat="1" applyFont="1" applyFill="1" applyBorder="1" applyAlignment="1">
      <alignment vertical="center"/>
    </xf>
    <xf numFmtId="3" fontId="31" fillId="46" borderId="93" xfId="0" applyNumberFormat="1" applyFont="1" applyFill="1" applyBorder="1" applyAlignment="1">
      <alignment/>
    </xf>
    <xf numFmtId="3" fontId="31" fillId="46" borderId="79" xfId="0" applyNumberFormat="1" applyFont="1" applyFill="1" applyBorder="1" applyAlignment="1">
      <alignment/>
    </xf>
    <xf numFmtId="3" fontId="54" fillId="46" borderId="87" xfId="0" applyNumberFormat="1" applyFont="1" applyFill="1" applyBorder="1" applyAlignment="1">
      <alignment/>
    </xf>
    <xf numFmtId="3" fontId="54" fillId="46" borderId="79" xfId="0" applyNumberFormat="1" applyFont="1" applyFill="1" applyBorder="1" applyAlignment="1">
      <alignment/>
    </xf>
    <xf numFmtId="3" fontId="31" fillId="42" borderId="69" xfId="0" applyNumberFormat="1" applyFont="1" applyFill="1" applyBorder="1" applyAlignment="1">
      <alignment/>
    </xf>
    <xf numFmtId="3" fontId="27" fillId="42" borderId="98" xfId="0" applyNumberFormat="1" applyFont="1" applyFill="1" applyBorder="1" applyAlignment="1">
      <alignment vertical="center"/>
    </xf>
    <xf numFmtId="3" fontId="54" fillId="42" borderId="69" xfId="0" applyNumberFormat="1" applyFont="1" applyFill="1" applyBorder="1" applyAlignment="1">
      <alignment/>
    </xf>
    <xf numFmtId="3" fontId="27" fillId="46" borderId="98" xfId="0" applyNumberFormat="1" applyFont="1" applyFill="1" applyBorder="1" applyAlignment="1">
      <alignment vertical="center"/>
    </xf>
    <xf numFmtId="3" fontId="54" fillId="46" borderId="69" xfId="0" applyNumberFormat="1" applyFont="1" applyFill="1" applyBorder="1" applyAlignment="1">
      <alignment/>
    </xf>
    <xf numFmtId="3" fontId="54" fillId="46" borderId="58" xfId="0" applyNumberFormat="1" applyFont="1" applyFill="1" applyBorder="1" applyAlignment="1">
      <alignment/>
    </xf>
    <xf numFmtId="3" fontId="57" fillId="46" borderId="91" xfId="0" applyNumberFormat="1" applyFont="1" applyFill="1" applyBorder="1" applyAlignment="1">
      <alignment vertical="center"/>
    </xf>
    <xf numFmtId="3" fontId="31" fillId="46" borderId="93" xfId="0" applyNumberFormat="1" applyFont="1" applyFill="1" applyBorder="1" applyAlignment="1">
      <alignment/>
    </xf>
    <xf numFmtId="0" fontId="30" fillId="44" borderId="99" xfId="0" applyFont="1" applyFill="1" applyBorder="1" applyAlignment="1">
      <alignment/>
    </xf>
    <xf numFmtId="0" fontId="30" fillId="44" borderId="100" xfId="0" applyFont="1" applyFill="1" applyBorder="1" applyAlignment="1">
      <alignment/>
    </xf>
    <xf numFmtId="3" fontId="54" fillId="46" borderId="93" xfId="0" applyNumberFormat="1" applyFont="1" applyFill="1" applyBorder="1" applyAlignment="1">
      <alignment/>
    </xf>
    <xf numFmtId="3" fontId="24" fillId="42" borderId="98" xfId="0" applyNumberFormat="1" applyFont="1" applyFill="1" applyBorder="1" applyAlignment="1">
      <alignment vertical="center"/>
    </xf>
    <xf numFmtId="3" fontId="54" fillId="42" borderId="101" xfId="0" applyNumberFormat="1" applyFont="1" applyFill="1" applyBorder="1" applyAlignment="1">
      <alignment/>
    </xf>
    <xf numFmtId="3" fontId="24" fillId="46" borderId="98" xfId="0" applyNumberFormat="1" applyFont="1" applyFill="1" applyBorder="1" applyAlignment="1">
      <alignment vertical="center"/>
    </xf>
    <xf numFmtId="3" fontId="54" fillId="46" borderId="101" xfId="0" applyNumberFormat="1" applyFont="1" applyFill="1" applyBorder="1" applyAlignment="1">
      <alignment/>
    </xf>
    <xf numFmtId="3" fontId="31" fillId="42" borderId="88" xfId="0" applyNumberFormat="1" applyFont="1" applyFill="1" applyBorder="1" applyAlignment="1">
      <alignment/>
    </xf>
    <xf numFmtId="3" fontId="31" fillId="42" borderId="22" xfId="0" applyNumberFormat="1" applyFont="1" applyFill="1" applyBorder="1" applyAlignment="1">
      <alignment/>
    </xf>
    <xf numFmtId="3" fontId="31" fillId="42" borderId="19" xfId="0" applyNumberFormat="1" applyFont="1" applyFill="1" applyBorder="1" applyAlignment="1">
      <alignment/>
    </xf>
    <xf numFmtId="3" fontId="27" fillId="46" borderId="25" xfId="0" applyNumberFormat="1" applyFont="1" applyFill="1" applyBorder="1" applyAlignment="1">
      <alignment vertical="center"/>
    </xf>
    <xf numFmtId="3" fontId="31" fillId="46" borderId="22" xfId="0" applyNumberFormat="1" applyFont="1" applyFill="1" applyBorder="1" applyAlignment="1">
      <alignment/>
    </xf>
    <xf numFmtId="3" fontId="54" fillId="42" borderId="87" xfId="0" applyNumberFormat="1" applyFont="1" applyFill="1" applyBorder="1" applyAlignment="1">
      <alignment/>
    </xf>
    <xf numFmtId="3" fontId="27" fillId="46" borderId="91" xfId="0" applyNumberFormat="1" applyFont="1" applyFill="1" applyBorder="1" applyAlignment="1">
      <alignment vertical="center"/>
    </xf>
    <xf numFmtId="3" fontId="27" fillId="46" borderId="91" xfId="0" applyNumberFormat="1" applyFont="1" applyFill="1" applyBorder="1" applyAlignment="1">
      <alignment vertical="center"/>
    </xf>
    <xf numFmtId="3" fontId="24" fillId="46" borderId="91" xfId="0" applyNumberFormat="1" applyFont="1" applyFill="1" applyBorder="1" applyAlignment="1">
      <alignment vertical="center"/>
    </xf>
    <xf numFmtId="3" fontId="27" fillId="46" borderId="25" xfId="0" applyNumberFormat="1" applyFont="1" applyFill="1" applyBorder="1" applyAlignment="1">
      <alignment vertical="center"/>
    </xf>
    <xf numFmtId="3" fontId="27" fillId="42" borderId="23" xfId="0" applyNumberFormat="1" applyFont="1" applyFill="1" applyBorder="1" applyAlignment="1">
      <alignment vertical="center"/>
    </xf>
    <xf numFmtId="3" fontId="27" fillId="46" borderId="23" xfId="0" applyNumberFormat="1" applyFont="1" applyFill="1" applyBorder="1" applyAlignment="1">
      <alignment vertical="center"/>
    </xf>
    <xf numFmtId="3" fontId="27" fillId="46" borderId="94" xfId="0" applyNumberFormat="1" applyFont="1" applyFill="1" applyBorder="1" applyAlignment="1">
      <alignment vertical="center"/>
    </xf>
    <xf numFmtId="3" fontId="31" fillId="46" borderId="87" xfId="0" applyNumberFormat="1" applyFont="1" applyFill="1" applyBorder="1" applyAlignment="1">
      <alignment/>
    </xf>
    <xf numFmtId="3" fontId="31" fillId="46" borderId="92" xfId="0" applyNumberFormat="1" applyFont="1" applyFill="1" applyBorder="1" applyAlignment="1">
      <alignment/>
    </xf>
    <xf numFmtId="3" fontId="27" fillId="46" borderId="8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19" fillId="34" borderId="102" xfId="0" applyNumberFormat="1" applyFont="1" applyFill="1" applyBorder="1" applyAlignment="1">
      <alignment horizontal="right"/>
    </xf>
    <xf numFmtId="3" fontId="19" fillId="34" borderId="80" xfId="0" applyNumberFormat="1" applyFont="1" applyFill="1" applyBorder="1" applyAlignment="1">
      <alignment horizontal="right"/>
    </xf>
    <xf numFmtId="0" fontId="40" fillId="43" borderId="10" xfId="0" applyFont="1" applyFill="1" applyBorder="1" applyAlignment="1">
      <alignment horizontal="center"/>
    </xf>
    <xf numFmtId="0" fontId="77" fillId="43" borderId="18" xfId="0" applyFont="1" applyFill="1" applyBorder="1" applyAlignment="1">
      <alignment/>
    </xf>
    <xf numFmtId="3" fontId="31" fillId="43" borderId="79" xfId="0" applyNumberFormat="1" applyFont="1" applyFill="1" applyBorder="1" applyAlignment="1">
      <alignment horizontal="right"/>
    </xf>
    <xf numFmtId="0" fontId="7" fillId="34" borderId="80" xfId="0" applyFont="1" applyFill="1" applyBorder="1" applyAlignment="1">
      <alignment/>
    </xf>
    <xf numFmtId="0" fontId="7" fillId="34" borderId="86" xfId="0" applyFont="1" applyFill="1" applyBorder="1" applyAlignment="1">
      <alignment/>
    </xf>
    <xf numFmtId="0" fontId="17" fillId="0" borderId="86" xfId="0" applyFont="1" applyBorder="1" applyAlignment="1">
      <alignment/>
    </xf>
    <xf numFmtId="0" fontId="8" fillId="0" borderId="86" xfId="0" applyFont="1" applyBorder="1" applyAlignment="1">
      <alignment horizontal="left"/>
    </xf>
    <xf numFmtId="0" fontId="8" fillId="0" borderId="86" xfId="0" applyFont="1" applyBorder="1" applyAlignment="1">
      <alignment/>
    </xf>
    <xf numFmtId="0" fontId="8" fillId="34" borderId="103" xfId="0" applyFont="1" applyFill="1" applyBorder="1" applyAlignment="1">
      <alignment horizontal="left" vertical="center"/>
    </xf>
    <xf numFmtId="3" fontId="31" fillId="43" borderId="12" xfId="0" applyNumberFormat="1" applyFont="1" applyFill="1" applyBorder="1" applyAlignment="1">
      <alignment horizontal="right"/>
    </xf>
    <xf numFmtId="3" fontId="31" fillId="43" borderId="14" xfId="0" applyNumberFormat="1" applyFont="1" applyFill="1" applyBorder="1" applyAlignment="1">
      <alignment horizontal="right"/>
    </xf>
    <xf numFmtId="3" fontId="55" fillId="0" borderId="14" xfId="0" applyNumberFormat="1" applyFont="1" applyBorder="1" applyAlignment="1">
      <alignment horizontal="right"/>
    </xf>
    <xf numFmtId="3" fontId="55" fillId="0" borderId="14" xfId="0" applyNumberFormat="1" applyFont="1" applyFill="1" applyBorder="1" applyAlignment="1">
      <alignment horizontal="right"/>
    </xf>
    <xf numFmtId="3" fontId="31" fillId="42" borderId="15" xfId="0" applyNumberFormat="1" applyFont="1" applyFill="1" applyBorder="1" applyAlignment="1">
      <alignment horizontal="right"/>
    </xf>
    <xf numFmtId="3" fontId="31" fillId="42" borderId="87" xfId="0" applyNumberFormat="1" applyFont="1" applyFill="1" applyBorder="1" applyAlignment="1">
      <alignment horizontal="right"/>
    </xf>
    <xf numFmtId="3" fontId="31" fillId="42" borderId="10" xfId="0" applyNumberFormat="1" applyFont="1" applyFill="1" applyBorder="1" applyAlignment="1">
      <alignment horizontal="right"/>
    </xf>
    <xf numFmtId="3" fontId="31" fillId="42" borderId="79" xfId="0" applyNumberFormat="1" applyFont="1" applyFill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55" fillId="0" borderId="79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3" fontId="55" fillId="0" borderId="79" xfId="0" applyNumberFormat="1" applyFont="1" applyBorder="1" applyAlignment="1">
      <alignment horizontal="right"/>
    </xf>
    <xf numFmtId="3" fontId="55" fillId="0" borderId="10" xfId="0" applyNumberFormat="1" applyFont="1" applyFill="1" applyBorder="1" applyAlignment="1">
      <alignment horizontal="right"/>
    </xf>
    <xf numFmtId="3" fontId="55" fillId="0" borderId="79" xfId="0" applyNumberFormat="1" applyFont="1" applyFill="1" applyBorder="1" applyAlignment="1">
      <alignment horizontal="right"/>
    </xf>
    <xf numFmtId="4" fontId="19" fillId="34" borderId="48" xfId="0" applyNumberFormat="1" applyFont="1" applyFill="1" applyBorder="1" applyAlignment="1">
      <alignment horizontal="right"/>
    </xf>
    <xf numFmtId="4" fontId="19" fillId="34" borderId="89" xfId="0" applyNumberFormat="1" applyFont="1" applyFill="1" applyBorder="1" applyAlignment="1">
      <alignment horizontal="right"/>
    </xf>
    <xf numFmtId="4" fontId="19" fillId="34" borderId="15" xfId="0" applyNumberFormat="1" applyFont="1" applyFill="1" applyBorder="1" applyAlignment="1">
      <alignment horizontal="right"/>
    </xf>
    <xf numFmtId="4" fontId="19" fillId="34" borderId="87" xfId="0" applyNumberFormat="1" applyFont="1" applyFill="1" applyBorder="1" applyAlignment="1">
      <alignment horizontal="right"/>
    </xf>
    <xf numFmtId="4" fontId="19" fillId="34" borderId="16" xfId="0" applyNumberFormat="1" applyFont="1" applyFill="1" applyBorder="1" applyAlignment="1">
      <alignment horizontal="right"/>
    </xf>
    <xf numFmtId="4" fontId="19" fillId="34" borderId="90" xfId="0" applyNumberFormat="1" applyFont="1" applyFill="1" applyBorder="1" applyAlignment="1">
      <alignment horizontal="right"/>
    </xf>
    <xf numFmtId="3" fontId="31" fillId="43" borderId="80" xfId="0" applyNumberFormat="1" applyFont="1" applyFill="1" applyBorder="1" applyAlignment="1">
      <alignment horizontal="right"/>
    </xf>
    <xf numFmtId="3" fontId="31" fillId="43" borderId="86" xfId="0" applyNumberFormat="1" applyFont="1" applyFill="1" applyBorder="1" applyAlignment="1">
      <alignment horizontal="right"/>
    </xf>
    <xf numFmtId="3" fontId="55" fillId="0" borderId="86" xfId="0" applyNumberFormat="1" applyFont="1" applyBorder="1" applyAlignment="1">
      <alignment horizontal="right"/>
    </xf>
    <xf numFmtId="3" fontId="55" fillId="0" borderId="86" xfId="0" applyNumberFormat="1" applyFont="1" applyFill="1" applyBorder="1" applyAlignment="1">
      <alignment horizontal="right"/>
    </xf>
    <xf numFmtId="3" fontId="19" fillId="34" borderId="103" xfId="0" applyNumberFormat="1" applyFont="1" applyFill="1" applyBorder="1" applyAlignment="1">
      <alignment horizontal="right"/>
    </xf>
    <xf numFmtId="3" fontId="31" fillId="47" borderId="15" xfId="0" applyNumberFormat="1" applyFont="1" applyFill="1" applyBorder="1" applyAlignment="1">
      <alignment horizontal="right"/>
    </xf>
    <xf numFmtId="3" fontId="31" fillId="47" borderId="13" xfId="0" applyNumberFormat="1" applyFont="1" applyFill="1" applyBorder="1" applyAlignment="1">
      <alignment horizontal="right"/>
    </xf>
    <xf numFmtId="3" fontId="31" fillId="47" borderId="87" xfId="0" applyNumberFormat="1" applyFont="1" applyFill="1" applyBorder="1" applyAlignment="1">
      <alignment horizontal="right"/>
    </xf>
    <xf numFmtId="3" fontId="31" fillId="47" borderId="10" xfId="0" applyNumberFormat="1" applyFont="1" applyFill="1" applyBorder="1" applyAlignment="1">
      <alignment horizontal="right"/>
    </xf>
    <xf numFmtId="3" fontId="31" fillId="47" borderId="11" xfId="0" applyNumberFormat="1" applyFont="1" applyFill="1" applyBorder="1" applyAlignment="1">
      <alignment horizontal="right"/>
    </xf>
    <xf numFmtId="3" fontId="31" fillId="47" borderId="79" xfId="0" applyNumberFormat="1" applyFont="1" applyFill="1" applyBorder="1" applyAlignment="1">
      <alignment horizontal="right"/>
    </xf>
    <xf numFmtId="3" fontId="31" fillId="47" borderId="16" xfId="0" applyNumberFormat="1" applyFont="1" applyFill="1" applyBorder="1" applyAlignment="1">
      <alignment horizontal="right" vertical="center"/>
    </xf>
    <xf numFmtId="3" fontId="31" fillId="47" borderId="27" xfId="0" applyNumberFormat="1" applyFont="1" applyFill="1" applyBorder="1" applyAlignment="1">
      <alignment horizontal="right" vertical="center"/>
    </xf>
    <xf numFmtId="3" fontId="31" fillId="47" borderId="90" xfId="0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/>
    </xf>
    <xf numFmtId="0" fontId="12" fillId="37" borderId="79" xfId="0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4" fillId="45" borderId="92" xfId="0" applyNumberFormat="1" applyFont="1" applyFill="1" applyBorder="1" applyAlignment="1">
      <alignment/>
    </xf>
    <xf numFmtId="3" fontId="54" fillId="46" borderId="92" xfId="0" applyNumberFormat="1" applyFont="1" applyFill="1" applyBorder="1" applyAlignment="1">
      <alignment/>
    </xf>
    <xf numFmtId="3" fontId="54" fillId="42" borderId="71" xfId="0" applyNumberFormat="1" applyFont="1" applyFill="1" applyBorder="1" applyAlignment="1">
      <alignment/>
    </xf>
    <xf numFmtId="3" fontId="54" fillId="46" borderId="71" xfId="0" applyNumberFormat="1" applyFont="1" applyFill="1" applyBorder="1" applyAlignment="1">
      <alignment/>
    </xf>
    <xf numFmtId="3" fontId="3" fillId="37" borderId="87" xfId="0" applyNumberFormat="1" applyFont="1" applyFill="1" applyBorder="1" applyAlignment="1">
      <alignment horizontal="right"/>
    </xf>
    <xf numFmtId="3" fontId="54" fillId="46" borderId="87" xfId="0" applyNumberFormat="1" applyFont="1" applyFill="1" applyBorder="1" applyAlignment="1">
      <alignment horizontal="right"/>
    </xf>
    <xf numFmtId="3" fontId="3" fillId="36" borderId="79" xfId="0" applyNumberFormat="1" applyFont="1" applyFill="1" applyBorder="1" applyAlignment="1">
      <alignment horizontal="right"/>
    </xf>
    <xf numFmtId="3" fontId="17" fillId="37" borderId="87" xfId="0" applyNumberFormat="1" applyFont="1" applyFill="1" applyBorder="1" applyAlignment="1">
      <alignment horizontal="right"/>
    </xf>
    <xf numFmtId="3" fontId="3" fillId="46" borderId="87" xfId="0" applyNumberFormat="1" applyFont="1" applyFill="1" applyBorder="1" applyAlignment="1">
      <alignment horizontal="right"/>
    </xf>
    <xf numFmtId="3" fontId="54" fillId="46" borderId="79" xfId="0" applyNumberFormat="1" applyFont="1" applyFill="1" applyBorder="1" applyAlignment="1">
      <alignment horizontal="right"/>
    </xf>
    <xf numFmtId="3" fontId="3" fillId="37" borderId="90" xfId="0" applyNumberFormat="1" applyFont="1" applyFill="1" applyBorder="1" applyAlignment="1">
      <alignment horizontal="right"/>
    </xf>
    <xf numFmtId="0" fontId="55" fillId="44" borderId="80" xfId="0" applyFont="1" applyFill="1" applyBorder="1" applyAlignment="1">
      <alignment/>
    </xf>
    <xf numFmtId="3" fontId="3" fillId="36" borderId="87" xfId="0" applyNumberFormat="1" applyFont="1" applyFill="1" applyBorder="1" applyAlignment="1">
      <alignment horizontal="left"/>
    </xf>
    <xf numFmtId="49" fontId="34" fillId="42" borderId="56" xfId="0" applyNumberFormat="1" applyFont="1" applyFill="1" applyBorder="1" applyAlignment="1">
      <alignment horizontal="center" vertical="center" wrapText="1"/>
    </xf>
    <xf numFmtId="49" fontId="34" fillId="42" borderId="37" xfId="0" applyNumberFormat="1" applyFont="1" applyFill="1" applyBorder="1" applyAlignment="1">
      <alignment horizontal="center" vertical="center" wrapText="1"/>
    </xf>
    <xf numFmtId="49" fontId="34" fillId="42" borderId="93" xfId="0" applyNumberFormat="1" applyFont="1" applyFill="1" applyBorder="1" applyAlignment="1">
      <alignment horizontal="center" vertical="center" wrapText="1"/>
    </xf>
    <xf numFmtId="49" fontId="34" fillId="43" borderId="83" xfId="0" applyNumberFormat="1" applyFont="1" applyFill="1" applyBorder="1" applyAlignment="1">
      <alignment horizontal="center" vertical="center" wrapText="1"/>
    </xf>
    <xf numFmtId="49" fontId="34" fillId="43" borderId="37" xfId="0" applyNumberFormat="1" applyFont="1" applyFill="1" applyBorder="1" applyAlignment="1">
      <alignment horizontal="center" vertical="center" wrapText="1"/>
    </xf>
    <xf numFmtId="49" fontId="34" fillId="43" borderId="104" xfId="0" applyNumberFormat="1" applyFont="1" applyFill="1" applyBorder="1" applyAlignment="1">
      <alignment horizontal="center" vertical="center" wrapText="1"/>
    </xf>
    <xf numFmtId="49" fontId="34" fillId="47" borderId="56" xfId="0" applyNumberFormat="1" applyFont="1" applyFill="1" applyBorder="1" applyAlignment="1">
      <alignment horizontal="center" vertical="center" wrapText="1"/>
    </xf>
    <xf numFmtId="49" fontId="34" fillId="47" borderId="93" xfId="0" applyNumberFormat="1" applyFont="1" applyFill="1" applyBorder="1" applyAlignment="1">
      <alignment horizontal="center" vertical="center" wrapText="1"/>
    </xf>
    <xf numFmtId="49" fontId="34" fillId="47" borderId="104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33" borderId="66" xfId="0" applyNumberFormat="1" applyFont="1" applyFill="1" applyBorder="1" applyAlignment="1">
      <alignment horizontal="center"/>
    </xf>
    <xf numFmtId="0" fontId="3" fillId="0" borderId="77" xfId="0" applyFont="1" applyBorder="1" applyAlignment="1">
      <alignment/>
    </xf>
    <xf numFmtId="3" fontId="6" fillId="33" borderId="66" xfId="0" applyNumberFormat="1" applyFont="1" applyFill="1" applyBorder="1" applyAlignment="1">
      <alignment horizontal="right"/>
    </xf>
    <xf numFmtId="3" fontId="57" fillId="46" borderId="98" xfId="0" applyNumberFormat="1" applyFont="1" applyFill="1" applyBorder="1" applyAlignment="1">
      <alignment vertical="center"/>
    </xf>
    <xf numFmtId="3" fontId="3" fillId="37" borderId="55" xfId="0" applyNumberFormat="1" applyFont="1" applyFill="1" applyBorder="1" applyAlignment="1">
      <alignment horizontal="left"/>
    </xf>
    <xf numFmtId="0" fontId="9" fillId="44" borderId="76" xfId="0" applyFont="1" applyFill="1" applyBorder="1" applyAlignment="1">
      <alignment/>
    </xf>
    <xf numFmtId="0" fontId="9" fillId="44" borderId="45" xfId="0" applyFont="1" applyFill="1" applyBorder="1" applyAlignment="1">
      <alignment/>
    </xf>
    <xf numFmtId="3" fontId="55" fillId="44" borderId="97" xfId="0" applyNumberFormat="1" applyFont="1" applyFill="1" applyBorder="1" applyAlignment="1">
      <alignment horizontal="right"/>
    </xf>
    <xf numFmtId="3" fontId="5" fillId="37" borderId="15" xfId="0" applyNumberFormat="1" applyFont="1" applyFill="1" applyBorder="1" applyAlignment="1">
      <alignment horizontal="right"/>
    </xf>
    <xf numFmtId="0" fontId="7" fillId="44" borderId="102" xfId="0" applyFont="1" applyFill="1" applyBorder="1" applyAlignment="1">
      <alignment vertical="center"/>
    </xf>
    <xf numFmtId="3" fontId="46" fillId="37" borderId="79" xfId="0" applyNumberFormat="1" applyFont="1" applyFill="1" applyBorder="1" applyAlignment="1">
      <alignment horizontal="right"/>
    </xf>
    <xf numFmtId="3" fontId="6" fillId="33" borderId="89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" fontId="19" fillId="34" borderId="66" xfId="0" applyNumberFormat="1" applyFont="1" applyFill="1" applyBorder="1" applyAlignment="1">
      <alignment horizontal="right"/>
    </xf>
    <xf numFmtId="4" fontId="19" fillId="34" borderId="12" xfId="0" applyNumberFormat="1" applyFont="1" applyFill="1" applyBorder="1" applyAlignment="1">
      <alignment horizontal="right"/>
    </xf>
    <xf numFmtId="3" fontId="19" fillId="34" borderId="20" xfId="0" applyNumberFormat="1" applyFont="1" applyFill="1" applyBorder="1" applyAlignment="1">
      <alignment horizontal="right"/>
    </xf>
    <xf numFmtId="3" fontId="19" fillId="34" borderId="15" xfId="0" applyNumberFormat="1" applyFont="1" applyFill="1" applyBorder="1" applyAlignment="1">
      <alignment horizontal="right"/>
    </xf>
    <xf numFmtId="3" fontId="19" fillId="34" borderId="16" xfId="0" applyNumberFormat="1" applyFont="1" applyFill="1" applyBorder="1" applyAlignment="1">
      <alignment horizontal="right"/>
    </xf>
    <xf numFmtId="3" fontId="49" fillId="46" borderId="88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54" fillId="46" borderId="22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49" fillId="46" borderId="35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49" fillId="46" borderId="88" xfId="0" applyNumberFormat="1" applyFont="1" applyFill="1" applyBorder="1" applyAlignment="1">
      <alignment horizontal="right"/>
    </xf>
    <xf numFmtId="3" fontId="49" fillId="46" borderId="19" xfId="0" applyNumberFormat="1" applyFont="1" applyFill="1" applyBorder="1" applyAlignment="1">
      <alignment horizontal="right"/>
    </xf>
    <xf numFmtId="3" fontId="49" fillId="46" borderId="35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19" fillId="44" borderId="97" xfId="0" applyNumberFormat="1" applyFont="1" applyFill="1" applyBorder="1" applyAlignment="1">
      <alignment horizontal="right" vertical="center"/>
    </xf>
    <xf numFmtId="3" fontId="49" fillId="48" borderId="12" xfId="0" applyNumberFormat="1" applyFont="1" applyFill="1" applyBorder="1" applyAlignment="1">
      <alignment horizontal="right" vertical="center"/>
    </xf>
    <xf numFmtId="3" fontId="49" fillId="48" borderId="14" xfId="0" applyNumberFormat="1" applyFont="1" applyFill="1" applyBorder="1" applyAlignment="1">
      <alignment horizontal="right" vertical="center"/>
    </xf>
    <xf numFmtId="3" fontId="54" fillId="48" borderId="14" xfId="0" applyNumberFormat="1" applyFont="1" applyFill="1" applyBorder="1" applyAlignment="1">
      <alignment horizontal="right" vertical="center"/>
    </xf>
    <xf numFmtId="3" fontId="49" fillId="48" borderId="36" xfId="0" applyNumberFormat="1" applyFont="1" applyFill="1" applyBorder="1" applyAlignment="1">
      <alignment horizontal="right"/>
    </xf>
    <xf numFmtId="3" fontId="49" fillId="48" borderId="37" xfId="0" applyNumberFormat="1" applyFont="1" applyFill="1" applyBorder="1" applyAlignment="1">
      <alignment horizontal="right"/>
    </xf>
    <xf numFmtId="3" fontId="54" fillId="48" borderId="13" xfId="0" applyNumberFormat="1" applyFont="1" applyFill="1" applyBorder="1" applyAlignment="1">
      <alignment horizontal="right"/>
    </xf>
    <xf numFmtId="3" fontId="49" fillId="48" borderId="26" xfId="0" applyNumberFormat="1" applyFont="1" applyFill="1" applyBorder="1" applyAlignment="1">
      <alignment horizontal="right"/>
    </xf>
    <xf numFmtId="3" fontId="49" fillId="48" borderId="37" xfId="0" applyNumberFormat="1" applyFont="1" applyFill="1" applyBorder="1" applyAlignment="1">
      <alignment horizontal="right"/>
    </xf>
    <xf numFmtId="3" fontId="49" fillId="48" borderId="11" xfId="0" applyNumberFormat="1" applyFont="1" applyFill="1" applyBorder="1" applyAlignment="1">
      <alignment horizontal="right"/>
    </xf>
    <xf numFmtId="3" fontId="49" fillId="48" borderId="26" xfId="0" applyNumberFormat="1" applyFont="1" applyFill="1" applyBorder="1" applyAlignment="1">
      <alignment horizontal="right"/>
    </xf>
    <xf numFmtId="3" fontId="57" fillId="48" borderId="25" xfId="0" applyNumberFormat="1" applyFont="1" applyFill="1" applyBorder="1" applyAlignment="1">
      <alignment vertical="center"/>
    </xf>
    <xf numFmtId="3" fontId="31" fillId="48" borderId="88" xfId="0" applyNumberFormat="1" applyFont="1" applyFill="1" applyBorder="1" applyAlignment="1">
      <alignment/>
    </xf>
    <xf numFmtId="3" fontId="31" fillId="48" borderId="19" xfId="0" applyNumberFormat="1" applyFont="1" applyFill="1" applyBorder="1" applyAlignment="1">
      <alignment/>
    </xf>
    <xf numFmtId="3" fontId="31" fillId="48" borderId="29" xfId="0" applyNumberFormat="1" applyFont="1" applyFill="1" applyBorder="1" applyAlignment="1">
      <alignment/>
    </xf>
    <xf numFmtId="3" fontId="57" fillId="48" borderId="25" xfId="0" applyNumberFormat="1" applyFont="1" applyFill="1" applyBorder="1" applyAlignment="1">
      <alignment vertical="center"/>
    </xf>
    <xf numFmtId="3" fontId="25" fillId="48" borderId="87" xfId="0" applyNumberFormat="1" applyFont="1" applyFill="1" applyBorder="1" applyAlignment="1">
      <alignment/>
    </xf>
    <xf numFmtId="3" fontId="25" fillId="48" borderId="58" xfId="0" applyNumberFormat="1" applyFont="1" applyFill="1" applyBorder="1" applyAlignment="1">
      <alignment/>
    </xf>
    <xf numFmtId="3" fontId="25" fillId="48" borderId="79" xfId="0" applyNumberFormat="1" applyFont="1" applyFill="1" applyBorder="1" applyAlignment="1">
      <alignment/>
    </xf>
    <xf numFmtId="3" fontId="25" fillId="48" borderId="90" xfId="0" applyNumberFormat="1" applyFont="1" applyFill="1" applyBorder="1" applyAlignment="1">
      <alignment/>
    </xf>
    <xf numFmtId="3" fontId="54" fillId="48" borderId="10" xfId="0" applyNumberFormat="1" applyFont="1" applyFill="1" applyBorder="1" applyAlignment="1">
      <alignment/>
    </xf>
    <xf numFmtId="3" fontId="54" fillId="48" borderId="47" xfId="0" applyNumberFormat="1" applyFont="1" applyFill="1" applyBorder="1" applyAlignment="1">
      <alignment/>
    </xf>
    <xf numFmtId="3" fontId="54" fillId="48" borderId="15" xfId="0" applyNumberFormat="1" applyFont="1" applyFill="1" applyBorder="1" applyAlignment="1">
      <alignment/>
    </xf>
    <xf numFmtId="3" fontId="57" fillId="48" borderId="23" xfId="0" applyNumberFormat="1" applyFont="1" applyFill="1" applyBorder="1" applyAlignment="1">
      <alignment vertical="center"/>
    </xf>
    <xf numFmtId="3" fontId="57" fillId="48" borderId="91" xfId="0" applyNumberFormat="1" applyFont="1" applyFill="1" applyBorder="1" applyAlignment="1">
      <alignment vertical="center"/>
    </xf>
    <xf numFmtId="3" fontId="31" fillId="48" borderId="79" xfId="0" applyNumberFormat="1" applyFont="1" applyFill="1" applyBorder="1" applyAlignment="1">
      <alignment/>
    </xf>
    <xf numFmtId="3" fontId="31" fillId="48" borderId="69" xfId="0" applyNumberFormat="1" applyFont="1" applyFill="1" applyBorder="1" applyAlignment="1">
      <alignment/>
    </xf>
    <xf numFmtId="3" fontId="57" fillId="48" borderId="91" xfId="0" applyNumberFormat="1" applyFont="1" applyFill="1" applyBorder="1" applyAlignment="1">
      <alignment vertical="center"/>
    </xf>
    <xf numFmtId="3" fontId="31" fillId="48" borderId="93" xfId="0" applyNumberFormat="1" applyFont="1" applyFill="1" applyBorder="1" applyAlignment="1">
      <alignment/>
    </xf>
    <xf numFmtId="3" fontId="54" fillId="48" borderId="79" xfId="0" applyNumberFormat="1" applyFont="1" applyFill="1" applyBorder="1" applyAlignment="1">
      <alignment/>
    </xf>
    <xf numFmtId="3" fontId="54" fillId="48" borderId="87" xfId="0" applyNumberFormat="1" applyFont="1" applyFill="1" applyBorder="1" applyAlignment="1">
      <alignment/>
    </xf>
    <xf numFmtId="3" fontId="27" fillId="48" borderId="98" xfId="0" applyNumberFormat="1" applyFont="1" applyFill="1" applyBorder="1" applyAlignment="1">
      <alignment vertical="center"/>
    </xf>
    <xf numFmtId="3" fontId="54" fillId="48" borderId="69" xfId="0" applyNumberFormat="1" applyFont="1" applyFill="1" applyBorder="1" applyAlignment="1">
      <alignment/>
    </xf>
    <xf numFmtId="3" fontId="54" fillId="48" borderId="58" xfId="0" applyNumberFormat="1" applyFont="1" applyFill="1" applyBorder="1" applyAlignment="1">
      <alignment/>
    </xf>
    <xf numFmtId="3" fontId="54" fillId="48" borderId="93" xfId="0" applyNumberFormat="1" applyFont="1" applyFill="1" applyBorder="1" applyAlignment="1">
      <alignment/>
    </xf>
    <xf numFmtId="3" fontId="24" fillId="48" borderId="98" xfId="0" applyNumberFormat="1" applyFont="1" applyFill="1" applyBorder="1" applyAlignment="1">
      <alignment vertical="center"/>
    </xf>
    <xf numFmtId="3" fontId="54" fillId="48" borderId="101" xfId="0" applyNumberFormat="1" applyFont="1" applyFill="1" applyBorder="1" applyAlignment="1">
      <alignment/>
    </xf>
    <xf numFmtId="3" fontId="27" fillId="48" borderId="25" xfId="0" applyNumberFormat="1" applyFont="1" applyFill="1" applyBorder="1" applyAlignment="1">
      <alignment vertical="center"/>
    </xf>
    <xf numFmtId="3" fontId="31" fillId="48" borderId="88" xfId="0" applyNumberFormat="1" applyFont="1" applyFill="1" applyBorder="1" applyAlignment="1">
      <alignment/>
    </xf>
    <xf numFmtId="3" fontId="31" fillId="48" borderId="22" xfId="0" applyNumberFormat="1" applyFont="1" applyFill="1" applyBorder="1" applyAlignment="1">
      <alignment/>
    </xf>
    <xf numFmtId="3" fontId="31" fillId="48" borderId="19" xfId="0" applyNumberFormat="1" applyFont="1" applyFill="1" applyBorder="1" applyAlignment="1">
      <alignment/>
    </xf>
    <xf numFmtId="3" fontId="27" fillId="48" borderId="91" xfId="0" applyNumberFormat="1" applyFont="1" applyFill="1" applyBorder="1" applyAlignment="1">
      <alignment vertical="center"/>
    </xf>
    <xf numFmtId="3" fontId="27" fillId="48" borderId="91" xfId="0" applyNumberFormat="1" applyFont="1" applyFill="1" applyBorder="1" applyAlignment="1">
      <alignment vertical="center"/>
    </xf>
    <xf numFmtId="3" fontId="24" fillId="48" borderId="91" xfId="0" applyNumberFormat="1" applyFont="1" applyFill="1" applyBorder="1" applyAlignment="1">
      <alignment vertical="center"/>
    </xf>
    <xf numFmtId="3" fontId="27" fillId="48" borderId="25" xfId="0" applyNumberFormat="1" applyFont="1" applyFill="1" applyBorder="1" applyAlignment="1">
      <alignment vertical="center"/>
    </xf>
    <xf numFmtId="3" fontId="27" fillId="48" borderId="23" xfId="0" applyNumberFormat="1" applyFont="1" applyFill="1" applyBorder="1" applyAlignment="1">
      <alignment vertical="center"/>
    </xf>
    <xf numFmtId="3" fontId="31" fillId="48" borderId="29" xfId="0" applyNumberFormat="1" applyFont="1" applyFill="1" applyBorder="1" applyAlignment="1">
      <alignment/>
    </xf>
    <xf numFmtId="3" fontId="27" fillId="48" borderId="94" xfId="0" applyNumberFormat="1" applyFont="1" applyFill="1" applyBorder="1" applyAlignment="1">
      <alignment vertical="center"/>
    </xf>
    <xf numFmtId="3" fontId="31" fillId="48" borderId="87" xfId="0" applyNumberFormat="1" applyFont="1" applyFill="1" applyBorder="1" applyAlignment="1">
      <alignment/>
    </xf>
    <xf numFmtId="3" fontId="31" fillId="48" borderId="92" xfId="0" applyNumberFormat="1" applyFont="1" applyFill="1" applyBorder="1" applyAlignment="1">
      <alignment/>
    </xf>
    <xf numFmtId="3" fontId="54" fillId="48" borderId="92" xfId="0" applyNumberFormat="1" applyFont="1" applyFill="1" applyBorder="1" applyAlignment="1">
      <alignment/>
    </xf>
    <xf numFmtId="3" fontId="54" fillId="48" borderId="71" xfId="0" applyNumberFormat="1" applyFont="1" applyFill="1" applyBorder="1" applyAlignment="1">
      <alignment/>
    </xf>
    <xf numFmtId="3" fontId="27" fillId="48" borderId="81" xfId="0" applyNumberFormat="1" applyFont="1" applyFill="1" applyBorder="1" applyAlignment="1">
      <alignment vertical="center"/>
    </xf>
    <xf numFmtId="3" fontId="57" fillId="42" borderId="98" xfId="0" applyNumberFormat="1" applyFont="1" applyFill="1" applyBorder="1" applyAlignment="1">
      <alignment vertical="center"/>
    </xf>
    <xf numFmtId="3" fontId="57" fillId="48" borderId="98" xfId="0" applyNumberFormat="1" applyFont="1" applyFill="1" applyBorder="1" applyAlignment="1">
      <alignment vertical="center"/>
    </xf>
    <xf numFmtId="3" fontId="57" fillId="46" borderId="9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7" fillId="38" borderId="23" xfId="0" applyNumberFormat="1" applyFont="1" applyFill="1" applyBorder="1" applyAlignment="1">
      <alignment vertical="center"/>
    </xf>
    <xf numFmtId="3" fontId="27" fillId="38" borderId="38" xfId="0" applyNumberFormat="1" applyFont="1" applyFill="1" applyBorder="1" applyAlignment="1">
      <alignment vertical="center"/>
    </xf>
    <xf numFmtId="3" fontId="27" fillId="38" borderId="34" xfId="0" applyNumberFormat="1" applyFont="1" applyFill="1" applyBorder="1" applyAlignment="1">
      <alignment vertical="center"/>
    </xf>
    <xf numFmtId="49" fontId="8" fillId="49" borderId="0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0" fontId="3" fillId="49" borderId="0" xfId="0" applyFont="1" applyFill="1" applyBorder="1" applyAlignment="1">
      <alignment horizontal="center"/>
    </xf>
    <xf numFmtId="0" fontId="11" fillId="49" borderId="0" xfId="0" applyNumberFormat="1" applyFont="1" applyFill="1" applyBorder="1" applyAlignment="1">
      <alignment horizontal="center"/>
    </xf>
    <xf numFmtId="49" fontId="3" fillId="49" borderId="0" xfId="0" applyNumberFormat="1" applyFont="1" applyFill="1" applyBorder="1" applyAlignment="1">
      <alignment horizontal="center"/>
    </xf>
    <xf numFmtId="0" fontId="3" fillId="49" borderId="0" xfId="0" applyFont="1" applyFill="1" applyBorder="1" applyAlignment="1">
      <alignment/>
    </xf>
    <xf numFmtId="0" fontId="3" fillId="49" borderId="0" xfId="0" applyNumberFormat="1" applyFont="1" applyFill="1" applyBorder="1" applyAlignment="1">
      <alignment/>
    </xf>
    <xf numFmtId="3" fontId="6" fillId="49" borderId="0" xfId="0" applyNumberFormat="1" applyFont="1" applyFill="1" applyBorder="1" applyAlignment="1">
      <alignment horizontal="right"/>
    </xf>
    <xf numFmtId="0" fontId="1" fillId="49" borderId="0" xfId="0" applyFont="1" applyFill="1" applyBorder="1" applyAlignment="1">
      <alignment horizontal="center"/>
    </xf>
    <xf numFmtId="0" fontId="41" fillId="49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 horizontal="center"/>
    </xf>
    <xf numFmtId="0" fontId="1" fillId="49" borderId="0" xfId="0" applyFont="1" applyFill="1" applyAlignment="1">
      <alignment horizontal="center"/>
    </xf>
    <xf numFmtId="0" fontId="41" fillId="49" borderId="0" xfId="0" applyFont="1" applyFill="1" applyAlignment="1">
      <alignment/>
    </xf>
    <xf numFmtId="0" fontId="0" fillId="49" borderId="0" xfId="0" applyFill="1" applyAlignment="1">
      <alignment horizontal="center"/>
    </xf>
    <xf numFmtId="0" fontId="32" fillId="49" borderId="0" xfId="0" applyFont="1" applyFill="1" applyBorder="1" applyAlignment="1">
      <alignment/>
    </xf>
    <xf numFmtId="3" fontId="24" fillId="49" borderId="0" xfId="0" applyNumberFormat="1" applyFont="1" applyFill="1" applyBorder="1" applyAlignment="1">
      <alignment/>
    </xf>
    <xf numFmtId="0" fontId="28" fillId="49" borderId="0" xfId="0" applyFont="1" applyFill="1" applyAlignment="1">
      <alignment/>
    </xf>
    <xf numFmtId="3" fontId="24" fillId="49" borderId="0" xfId="0" applyNumberFormat="1" applyFont="1" applyFill="1" applyBorder="1" applyAlignment="1">
      <alignment/>
    </xf>
    <xf numFmtId="3" fontId="0" fillId="49" borderId="0" xfId="0" applyNumberFormat="1" applyFill="1" applyBorder="1" applyAlignment="1">
      <alignment/>
    </xf>
    <xf numFmtId="0" fontId="32" fillId="49" borderId="0" xfId="0" applyFont="1" applyFill="1" applyAlignment="1">
      <alignment/>
    </xf>
    <xf numFmtId="3" fontId="66" fillId="49" borderId="0" xfId="0" applyNumberFormat="1" applyFont="1" applyFill="1" applyBorder="1" applyAlignment="1">
      <alignment/>
    </xf>
    <xf numFmtId="0" fontId="1" fillId="49" borderId="0" xfId="0" applyFont="1" applyFill="1" applyBorder="1" applyAlignment="1">
      <alignment/>
    </xf>
    <xf numFmtId="3" fontId="27" fillId="49" borderId="0" xfId="0" applyNumberFormat="1" applyFont="1" applyFill="1" applyBorder="1" applyAlignment="1">
      <alignment/>
    </xf>
    <xf numFmtId="4" fontId="0" fillId="49" borderId="0" xfId="0" applyNumberFormat="1" applyFill="1" applyAlignment="1">
      <alignment/>
    </xf>
    <xf numFmtId="0" fontId="31" fillId="48" borderId="105" xfId="0" applyFont="1" applyFill="1" applyBorder="1" applyAlignment="1">
      <alignment horizontal="center" vertical="center" wrapText="1"/>
    </xf>
    <xf numFmtId="0" fontId="31" fillId="48" borderId="31" xfId="0" applyFont="1" applyFill="1" applyBorder="1" applyAlignment="1">
      <alignment horizontal="center" vertical="center" wrapText="1"/>
    </xf>
    <xf numFmtId="0" fontId="31" fillId="48" borderId="34" xfId="0" applyFont="1" applyFill="1" applyBorder="1" applyAlignment="1">
      <alignment horizontal="center" vertical="center" wrapText="1"/>
    </xf>
    <xf numFmtId="0" fontId="31" fillId="46" borderId="106" xfId="0" applyFont="1" applyFill="1" applyBorder="1" applyAlignment="1">
      <alignment horizontal="center" vertical="center" wrapText="1"/>
    </xf>
    <xf numFmtId="0" fontId="31" fillId="46" borderId="81" xfId="0" applyFont="1" applyFill="1" applyBorder="1" applyAlignment="1">
      <alignment horizontal="center" vertical="center" wrapText="1"/>
    </xf>
    <xf numFmtId="0" fontId="31" fillId="46" borderId="91" xfId="0" applyFont="1" applyFill="1" applyBorder="1" applyAlignment="1">
      <alignment horizontal="center" vertical="center" wrapText="1"/>
    </xf>
    <xf numFmtId="49" fontId="56" fillId="49" borderId="0" xfId="0" applyNumberFormat="1" applyFont="1" applyFill="1" applyBorder="1" applyAlignment="1">
      <alignment horizontal="center" vertical="center" wrapText="1"/>
    </xf>
    <xf numFmtId="49" fontId="72" fillId="37" borderId="107" xfId="0" applyNumberFormat="1" applyFont="1" applyFill="1" applyBorder="1" applyAlignment="1">
      <alignment horizontal="left" vertical="center"/>
    </xf>
    <xf numFmtId="49" fontId="73" fillId="37" borderId="84" xfId="0" applyNumberFormat="1" applyFont="1" applyFill="1" applyBorder="1" applyAlignment="1">
      <alignment vertical="center"/>
    </xf>
    <xf numFmtId="49" fontId="73" fillId="37" borderId="105" xfId="0" applyNumberFormat="1" applyFont="1" applyFill="1" applyBorder="1" applyAlignment="1">
      <alignment vertical="center"/>
    </xf>
    <xf numFmtId="49" fontId="73" fillId="37" borderId="55" xfId="0" applyNumberFormat="1" applyFont="1" applyFill="1" applyBorder="1" applyAlignment="1">
      <alignment vertical="center"/>
    </xf>
    <xf numFmtId="49" fontId="73" fillId="37" borderId="21" xfId="0" applyNumberFormat="1" applyFont="1" applyFill="1" applyBorder="1" applyAlignment="1">
      <alignment vertical="center"/>
    </xf>
    <xf numFmtId="49" fontId="73" fillId="37" borderId="12" xfId="0" applyNumberFormat="1" applyFont="1" applyFill="1" applyBorder="1" applyAlignment="1">
      <alignment vertical="center"/>
    </xf>
    <xf numFmtId="0" fontId="31" fillId="42" borderId="105" xfId="0" applyFont="1" applyFill="1" applyBorder="1" applyAlignment="1">
      <alignment horizontal="center" vertical="center" wrapText="1"/>
    </xf>
    <xf numFmtId="0" fontId="31" fillId="42" borderId="31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horizontal="center" vertical="center" wrapText="1"/>
    </xf>
    <xf numFmtId="0" fontId="31" fillId="48" borderId="108" xfId="0" applyFont="1" applyFill="1" applyBorder="1" applyAlignment="1">
      <alignment horizontal="center" vertical="center" wrapText="1"/>
    </xf>
    <xf numFmtId="0" fontId="31" fillId="48" borderId="32" xfId="0" applyFont="1" applyFill="1" applyBorder="1" applyAlignment="1">
      <alignment horizontal="center" vertical="center" wrapText="1"/>
    </xf>
    <xf numFmtId="0" fontId="31" fillId="48" borderId="38" xfId="0" applyFont="1" applyFill="1" applyBorder="1" applyAlignment="1">
      <alignment horizontal="center" vertical="center" wrapText="1"/>
    </xf>
    <xf numFmtId="0" fontId="31" fillId="46" borderId="109" xfId="0" applyFont="1" applyFill="1" applyBorder="1" applyAlignment="1">
      <alignment horizontal="center" vertical="center" wrapText="1"/>
    </xf>
    <xf numFmtId="0" fontId="31" fillId="46" borderId="24" xfId="0" applyFont="1" applyFill="1" applyBorder="1" applyAlignment="1">
      <alignment horizontal="center" vertical="center" wrapText="1"/>
    </xf>
    <xf numFmtId="0" fontId="31" fillId="46" borderId="25" xfId="0" applyFont="1" applyFill="1" applyBorder="1" applyAlignment="1">
      <alignment horizontal="center" vertical="center" wrapText="1"/>
    </xf>
    <xf numFmtId="0" fontId="73" fillId="37" borderId="84" xfId="0" applyFont="1" applyFill="1" applyBorder="1" applyAlignment="1">
      <alignment vertical="center"/>
    </xf>
    <xf numFmtId="0" fontId="73" fillId="37" borderId="105" xfId="0" applyFont="1" applyFill="1" applyBorder="1" applyAlignment="1">
      <alignment vertical="center"/>
    </xf>
    <xf numFmtId="0" fontId="73" fillId="37" borderId="55" xfId="0" applyFont="1" applyFill="1" applyBorder="1" applyAlignment="1">
      <alignment vertical="center"/>
    </xf>
    <xf numFmtId="0" fontId="73" fillId="37" borderId="21" xfId="0" applyFont="1" applyFill="1" applyBorder="1" applyAlignment="1">
      <alignment vertical="center"/>
    </xf>
    <xf numFmtId="0" fontId="73" fillId="37" borderId="12" xfId="0" applyFont="1" applyFill="1" applyBorder="1" applyAlignment="1">
      <alignment vertical="center"/>
    </xf>
    <xf numFmtId="0" fontId="8" fillId="35" borderId="55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3" fillId="35" borderId="8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54" fillId="42" borderId="89" xfId="0" applyFont="1" applyFill="1" applyBorder="1" applyAlignment="1">
      <alignment horizontal="center" vertical="center" wrapText="1"/>
    </xf>
    <xf numFmtId="0" fontId="54" fillId="42" borderId="91" xfId="0" applyFont="1" applyFill="1" applyBorder="1" applyAlignment="1">
      <alignment horizontal="center" vertical="center" wrapText="1"/>
    </xf>
    <xf numFmtId="49" fontId="54" fillId="42" borderId="110" xfId="0" applyNumberFormat="1" applyFont="1" applyFill="1" applyBorder="1" applyAlignment="1">
      <alignment horizontal="center" vertical="center" wrapText="1"/>
    </xf>
    <xf numFmtId="0" fontId="74" fillId="42" borderId="20" xfId="0" applyFont="1" applyFill="1" applyBorder="1" applyAlignment="1">
      <alignment horizontal="center" wrapText="1"/>
    </xf>
    <xf numFmtId="0" fontId="74" fillId="42" borderId="23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54" fillId="48" borderId="54" xfId="0" applyFont="1" applyFill="1" applyBorder="1" applyAlignment="1">
      <alignment horizontal="center" vertical="center" wrapText="1"/>
    </xf>
    <xf numFmtId="0" fontId="54" fillId="48" borderId="9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/>
    </xf>
    <xf numFmtId="0" fontId="54" fillId="46" borderId="54" xfId="0" applyFont="1" applyFill="1" applyBorder="1" applyAlignment="1">
      <alignment horizontal="center" vertical="center" wrapText="1"/>
    </xf>
    <xf numFmtId="0" fontId="54" fillId="46" borderId="98" xfId="0" applyFont="1" applyFill="1" applyBorder="1" applyAlignment="1">
      <alignment horizontal="center" vertical="center" wrapText="1"/>
    </xf>
    <xf numFmtId="49" fontId="54" fillId="46" borderId="111" xfId="0" applyNumberFormat="1" applyFont="1" applyFill="1" applyBorder="1" applyAlignment="1">
      <alignment horizontal="center" vertical="center" wrapText="1"/>
    </xf>
    <xf numFmtId="0" fontId="74" fillId="46" borderId="57" xfId="0" applyFont="1" applyFill="1" applyBorder="1" applyAlignment="1">
      <alignment horizontal="center" wrapText="1"/>
    </xf>
    <xf numFmtId="0" fontId="74" fillId="46" borderId="98" xfId="0" applyFont="1" applyFill="1" applyBorder="1" applyAlignment="1">
      <alignment horizontal="center" wrapText="1"/>
    </xf>
    <xf numFmtId="49" fontId="29" fillId="44" borderId="112" xfId="0" applyNumberFormat="1" applyFont="1" applyFill="1" applyBorder="1" applyAlignment="1">
      <alignment horizontal="center"/>
    </xf>
    <xf numFmtId="49" fontId="29" fillId="44" borderId="99" xfId="0" applyNumberFormat="1" applyFont="1" applyFill="1" applyBorder="1" applyAlignment="1">
      <alignment horizontal="center"/>
    </xf>
    <xf numFmtId="49" fontId="29" fillId="44" borderId="100" xfId="0" applyNumberFormat="1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49" fontId="54" fillId="48" borderId="110" xfId="0" applyNumberFormat="1" applyFont="1" applyFill="1" applyBorder="1" applyAlignment="1">
      <alignment horizontal="center" vertical="center" wrapText="1"/>
    </xf>
    <xf numFmtId="0" fontId="74" fillId="48" borderId="20" xfId="0" applyFont="1" applyFill="1" applyBorder="1" applyAlignment="1">
      <alignment horizontal="center" wrapText="1"/>
    </xf>
    <xf numFmtId="0" fontId="74" fillId="48" borderId="23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vertical="center" textRotation="180" wrapText="1"/>
    </xf>
    <xf numFmtId="0" fontId="0" fillId="0" borderId="32" xfId="0" applyBorder="1" applyAlignment="1">
      <alignment horizontal="center" vertical="center" textRotation="180" wrapText="1"/>
    </xf>
    <xf numFmtId="0" fontId="0" fillId="0" borderId="38" xfId="0" applyBorder="1" applyAlignment="1">
      <alignment horizontal="center" vertical="center" textRotation="180" wrapText="1"/>
    </xf>
    <xf numFmtId="0" fontId="3" fillId="35" borderId="4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textRotation="180" wrapText="1"/>
    </xf>
    <xf numFmtId="0" fontId="3" fillId="35" borderId="66" xfId="0" applyFont="1" applyFill="1" applyBorder="1" applyAlignment="1">
      <alignment horizontal="center" vertical="center"/>
    </xf>
    <xf numFmtId="49" fontId="29" fillId="44" borderId="113" xfId="0" applyNumberFormat="1" applyFont="1" applyFill="1" applyBorder="1" applyAlignment="1">
      <alignment horizontal="center"/>
    </xf>
    <xf numFmtId="49" fontId="29" fillId="44" borderId="114" xfId="0" applyNumberFormat="1" applyFont="1" applyFill="1" applyBorder="1" applyAlignment="1">
      <alignment horizontal="center"/>
    </xf>
    <xf numFmtId="49" fontId="29" fillId="44" borderId="115" xfId="0" applyNumberFormat="1" applyFont="1" applyFill="1" applyBorder="1" applyAlignment="1">
      <alignment horizontal="center"/>
    </xf>
    <xf numFmtId="0" fontId="8" fillId="35" borderId="112" xfId="0" applyFont="1" applyFill="1" applyBorder="1" applyAlignment="1">
      <alignment horizontal="center"/>
    </xf>
    <xf numFmtId="0" fontId="8" fillId="35" borderId="99" xfId="0" applyFont="1" applyFill="1" applyBorder="1" applyAlignment="1">
      <alignment horizontal="center"/>
    </xf>
    <xf numFmtId="0" fontId="8" fillId="35" borderId="100" xfId="0" applyFont="1" applyFill="1" applyBorder="1" applyAlignment="1">
      <alignment horizontal="center"/>
    </xf>
    <xf numFmtId="0" fontId="8" fillId="35" borderId="113" xfId="0" applyFont="1" applyFill="1" applyBorder="1" applyAlignment="1">
      <alignment horizontal="center"/>
    </xf>
    <xf numFmtId="0" fontId="8" fillId="35" borderId="114" xfId="0" applyFont="1" applyFill="1" applyBorder="1" applyAlignment="1">
      <alignment horizontal="center"/>
    </xf>
    <xf numFmtId="0" fontId="8" fillId="35" borderId="115" xfId="0" applyFont="1" applyFill="1" applyBorder="1" applyAlignment="1">
      <alignment horizontal="center"/>
    </xf>
    <xf numFmtId="0" fontId="3" fillId="35" borderId="116" xfId="0" applyFont="1" applyFill="1" applyBorder="1" applyAlignment="1">
      <alignment horizontal="center"/>
    </xf>
    <xf numFmtId="0" fontId="3" fillId="35" borderId="99" xfId="0" applyFont="1" applyFill="1" applyBorder="1" applyAlignment="1">
      <alignment horizontal="center"/>
    </xf>
    <xf numFmtId="0" fontId="3" fillId="35" borderId="100" xfId="0" applyFont="1" applyFill="1" applyBorder="1" applyAlignment="1">
      <alignment horizontal="center"/>
    </xf>
    <xf numFmtId="49" fontId="54" fillId="46" borderId="110" xfId="0" applyNumberFormat="1" applyFont="1" applyFill="1" applyBorder="1" applyAlignment="1">
      <alignment horizontal="center" vertical="center" wrapText="1"/>
    </xf>
    <xf numFmtId="0" fontId="74" fillId="46" borderId="20" xfId="0" applyFont="1" applyFill="1" applyBorder="1" applyAlignment="1">
      <alignment horizontal="center" wrapText="1"/>
    </xf>
    <xf numFmtId="0" fontId="74" fillId="46" borderId="23" xfId="0" applyFont="1" applyFill="1" applyBorder="1" applyAlignment="1">
      <alignment horizontal="center" wrapText="1"/>
    </xf>
    <xf numFmtId="3" fontId="3" fillId="35" borderId="32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0" fillId="44" borderId="99" xfId="0" applyFont="1" applyFill="1" applyBorder="1" applyAlignment="1">
      <alignment horizontal="center"/>
    </xf>
    <xf numFmtId="0" fontId="30" fillId="44" borderId="99" xfId="0" applyFont="1" applyFill="1" applyBorder="1" applyAlignment="1">
      <alignment/>
    </xf>
    <xf numFmtId="0" fontId="8" fillId="35" borderId="67" xfId="0" applyNumberFormat="1" applyFont="1" applyFill="1" applyBorder="1" applyAlignment="1">
      <alignment horizontal="center"/>
    </xf>
    <xf numFmtId="0" fontId="8" fillId="35" borderId="18" xfId="0" applyNumberFormat="1" applyFont="1" applyFill="1" applyBorder="1" applyAlignment="1">
      <alignment horizontal="center"/>
    </xf>
    <xf numFmtId="0" fontId="8" fillId="35" borderId="19" xfId="0" applyNumberFormat="1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8" fillId="35" borderId="77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117" xfId="0" applyFont="1" applyFill="1" applyBorder="1" applyAlignment="1">
      <alignment horizontal="center"/>
    </xf>
    <xf numFmtId="0" fontId="8" fillId="35" borderId="118" xfId="0" applyFont="1" applyFill="1" applyBorder="1" applyAlignment="1">
      <alignment horizontal="center"/>
    </xf>
    <xf numFmtId="0" fontId="8" fillId="35" borderId="119" xfId="0" applyFont="1" applyFill="1" applyBorder="1" applyAlignment="1">
      <alignment horizontal="center"/>
    </xf>
    <xf numFmtId="49" fontId="29" fillId="44" borderId="107" xfId="0" applyNumberFormat="1" applyFont="1" applyFill="1" applyBorder="1" applyAlignment="1">
      <alignment horizontal="center"/>
    </xf>
    <xf numFmtId="49" fontId="29" fillId="44" borderId="84" xfId="0" applyNumberFormat="1" applyFont="1" applyFill="1" applyBorder="1" applyAlignment="1">
      <alignment horizontal="center"/>
    </xf>
    <xf numFmtId="49" fontId="29" fillId="44" borderId="109" xfId="0" applyNumberFormat="1" applyFont="1" applyFill="1" applyBorder="1" applyAlignment="1">
      <alignment horizontal="center"/>
    </xf>
    <xf numFmtId="0" fontId="8" fillId="35" borderId="120" xfId="0" applyFont="1" applyFill="1" applyBorder="1" applyAlignment="1">
      <alignment horizontal="center"/>
    </xf>
    <xf numFmtId="0" fontId="8" fillId="35" borderId="121" xfId="0" applyFont="1" applyFill="1" applyBorder="1" applyAlignment="1">
      <alignment horizontal="center"/>
    </xf>
    <xf numFmtId="0" fontId="8" fillId="35" borderId="88" xfId="0" applyFont="1" applyFill="1" applyBorder="1" applyAlignment="1">
      <alignment horizontal="center"/>
    </xf>
    <xf numFmtId="49" fontId="54" fillId="46" borderId="57" xfId="0" applyNumberFormat="1" applyFont="1" applyFill="1" applyBorder="1" applyAlignment="1">
      <alignment horizontal="center" vertical="center" wrapText="1"/>
    </xf>
    <xf numFmtId="49" fontId="54" fillId="46" borderId="9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9" fillId="44" borderId="122" xfId="0" applyNumberFormat="1" applyFont="1" applyFill="1" applyBorder="1" applyAlignment="1">
      <alignment horizontal="center"/>
    </xf>
    <xf numFmtId="0" fontId="30" fillId="44" borderId="60" xfId="0" applyFont="1" applyFill="1" applyBorder="1" applyAlignment="1">
      <alignment horizontal="center"/>
    </xf>
    <xf numFmtId="0" fontId="30" fillId="44" borderId="60" xfId="0" applyFont="1" applyFill="1" applyBorder="1" applyAlignment="1">
      <alignment/>
    </xf>
    <xf numFmtId="0" fontId="30" fillId="44" borderId="61" xfId="0" applyFont="1" applyFill="1" applyBorder="1" applyAlignment="1">
      <alignment/>
    </xf>
    <xf numFmtId="0" fontId="2" fillId="35" borderId="6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3" fontId="19" fillId="34" borderId="48" xfId="0" applyNumberFormat="1" applyFont="1" applyFill="1" applyBorder="1" applyAlignment="1">
      <alignment horizontal="right" vertical="center"/>
    </xf>
    <xf numFmtId="3" fontId="19" fillId="34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5" fillId="49" borderId="0" xfId="0" applyFont="1" applyFill="1" applyAlignment="1">
      <alignment horizontal="center" wrapText="1"/>
    </xf>
    <xf numFmtId="49" fontId="31" fillId="38" borderId="107" xfId="0" applyNumberFormat="1" applyFont="1" applyFill="1" applyBorder="1" applyAlignment="1">
      <alignment horizontal="left" vertical="center"/>
    </xf>
    <xf numFmtId="0" fontId="32" fillId="38" borderId="105" xfId="0" applyFont="1" applyFill="1" applyBorder="1" applyAlignment="1">
      <alignment vertical="center"/>
    </xf>
    <xf numFmtId="0" fontId="32" fillId="38" borderId="72" xfId="0" applyFont="1" applyFill="1" applyBorder="1" applyAlignment="1">
      <alignment vertical="center"/>
    </xf>
    <xf numFmtId="0" fontId="32" fillId="38" borderId="31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34" borderId="123" xfId="0" applyFont="1" applyFill="1" applyBorder="1" applyAlignment="1">
      <alignment vertical="center"/>
    </xf>
    <xf numFmtId="0" fontId="51" fillId="0" borderId="80" xfId="0" applyFont="1" applyBorder="1" applyAlignment="1">
      <alignment vertical="center"/>
    </xf>
    <xf numFmtId="0" fontId="8" fillId="34" borderId="123" xfId="0" applyFont="1" applyFill="1" applyBorder="1" applyAlignment="1">
      <alignment horizontal="left" vertical="center"/>
    </xf>
    <xf numFmtId="0" fontId="51" fillId="0" borderId="80" xfId="0" applyFont="1" applyBorder="1" applyAlignment="1">
      <alignment horizontal="left" vertical="center"/>
    </xf>
    <xf numFmtId="3" fontId="31" fillId="43" borderId="48" xfId="0" applyNumberFormat="1" applyFont="1" applyFill="1" applyBorder="1" applyAlignment="1">
      <alignment vertical="center"/>
    </xf>
    <xf numFmtId="0" fontId="50" fillId="43" borderId="15" xfId="0" applyFont="1" applyFill="1" applyBorder="1" applyAlignment="1">
      <alignment vertical="center"/>
    </xf>
    <xf numFmtId="3" fontId="31" fillId="42" borderId="48" xfId="0" applyNumberFormat="1" applyFont="1" applyFill="1" applyBorder="1" applyAlignment="1">
      <alignment horizontal="right" vertical="center"/>
    </xf>
    <xf numFmtId="0" fontId="76" fillId="42" borderId="15" xfId="0" applyFont="1" applyFill="1" applyBorder="1" applyAlignment="1">
      <alignment horizontal="right" vertical="center"/>
    </xf>
    <xf numFmtId="0" fontId="52" fillId="38" borderId="124" xfId="0" applyFont="1" applyFill="1" applyBorder="1" applyAlignment="1">
      <alignment horizontal="left" vertical="center"/>
    </xf>
    <xf numFmtId="0" fontId="53" fillId="38" borderId="96" xfId="0" applyFont="1" applyFill="1" applyBorder="1" applyAlignment="1">
      <alignment horizontal="left" vertical="center"/>
    </xf>
    <xf numFmtId="0" fontId="53" fillId="38" borderId="125" xfId="0" applyFont="1" applyFill="1" applyBorder="1" applyAlignment="1">
      <alignment horizontal="left" vertical="center"/>
    </xf>
    <xf numFmtId="0" fontId="7" fillId="33" borderId="86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19" fillId="34" borderId="30" xfId="0" applyNumberFormat="1" applyFont="1" applyFill="1" applyBorder="1" applyAlignment="1">
      <alignment horizontal="right" vertical="center"/>
    </xf>
    <xf numFmtId="3" fontId="19" fillId="34" borderId="13" xfId="0" applyNumberFormat="1" applyFont="1" applyFill="1" applyBorder="1" applyAlignment="1">
      <alignment horizontal="right" vertical="center"/>
    </xf>
    <xf numFmtId="3" fontId="19" fillId="34" borderId="89" xfId="0" applyNumberFormat="1" applyFont="1" applyFill="1" applyBorder="1" applyAlignment="1">
      <alignment horizontal="right" vertical="center"/>
    </xf>
    <xf numFmtId="3" fontId="19" fillId="34" borderId="87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 horizontal="center" vertical="center"/>
    </xf>
    <xf numFmtId="4" fontId="19" fillId="34" borderId="13" xfId="0" applyNumberFormat="1" applyFont="1" applyFill="1" applyBorder="1" applyAlignment="1">
      <alignment horizontal="center" vertical="center"/>
    </xf>
    <xf numFmtId="4" fontId="19" fillId="34" borderId="89" xfId="0" applyNumberFormat="1" applyFont="1" applyFill="1" applyBorder="1" applyAlignment="1">
      <alignment horizontal="center" vertical="center"/>
    </xf>
    <xf numFmtId="4" fontId="19" fillId="34" borderId="87" xfId="0" applyNumberFormat="1" applyFont="1" applyFill="1" applyBorder="1" applyAlignment="1">
      <alignment horizontal="center" vertical="center"/>
    </xf>
    <xf numFmtId="0" fontId="8" fillId="40" borderId="107" xfId="0" applyFont="1" applyFill="1" applyBorder="1" applyAlignment="1">
      <alignment horizontal="center"/>
    </xf>
    <xf numFmtId="0" fontId="8" fillId="40" borderId="84" xfId="0" applyFont="1" applyFill="1" applyBorder="1" applyAlignment="1">
      <alignment horizontal="center"/>
    </xf>
    <xf numFmtId="0" fontId="8" fillId="40" borderId="109" xfId="0" applyFont="1" applyFill="1" applyBorder="1" applyAlignment="1">
      <alignment horizontal="center"/>
    </xf>
    <xf numFmtId="0" fontId="49" fillId="43" borderId="86" xfId="0" applyFont="1" applyFill="1" applyBorder="1" applyAlignment="1">
      <alignment/>
    </xf>
    <xf numFmtId="0" fontId="77" fillId="43" borderId="18" xfId="0" applyFont="1" applyFill="1" applyBorder="1" applyAlignment="1">
      <alignment/>
    </xf>
    <xf numFmtId="0" fontId="77" fillId="43" borderId="14" xfId="0" applyFont="1" applyFill="1" applyBorder="1" applyAlignment="1">
      <alignment/>
    </xf>
    <xf numFmtId="0" fontId="49" fillId="43" borderId="80" xfId="0" applyFont="1" applyFill="1" applyBorder="1" applyAlignment="1">
      <alignment/>
    </xf>
    <xf numFmtId="0" fontId="77" fillId="43" borderId="21" xfId="0" applyFont="1" applyFill="1" applyBorder="1" applyAlignment="1">
      <alignment/>
    </xf>
    <xf numFmtId="0" fontId="77" fillId="43" borderId="12" xfId="0" applyFont="1" applyFill="1" applyBorder="1" applyAlignment="1">
      <alignment/>
    </xf>
    <xf numFmtId="0" fontId="36" fillId="38" borderId="126" xfId="0" applyFont="1" applyFill="1" applyBorder="1" applyAlignment="1">
      <alignment horizontal="center" vertical="center" wrapText="1"/>
    </xf>
    <xf numFmtId="0" fontId="36" fillId="38" borderId="84" xfId="0" applyFont="1" applyFill="1" applyBorder="1" applyAlignment="1">
      <alignment horizontal="center" vertical="center" wrapText="1"/>
    </xf>
    <xf numFmtId="0" fontId="36" fillId="38" borderId="109" xfId="0" applyFont="1" applyFill="1" applyBorder="1" applyAlignment="1">
      <alignment horizontal="center" vertical="center" wrapText="1"/>
    </xf>
    <xf numFmtId="0" fontId="36" fillId="38" borderId="102" xfId="0" applyFont="1" applyFill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 wrapText="1"/>
    </xf>
    <xf numFmtId="0" fontId="36" fillId="38" borderId="24" xfId="0" applyFont="1" applyFill="1" applyBorder="1" applyAlignment="1">
      <alignment horizontal="center" vertical="center" wrapText="1"/>
    </xf>
    <xf numFmtId="0" fontId="36" fillId="38" borderId="41" xfId="0" applyFont="1" applyFill="1" applyBorder="1" applyAlignment="1">
      <alignment horizontal="center" vertical="center" wrapText="1"/>
    </xf>
    <xf numFmtId="0" fontId="36" fillId="38" borderId="39" xfId="0" applyFont="1" applyFill="1" applyBorder="1" applyAlignment="1">
      <alignment horizontal="center" vertical="center" wrapText="1"/>
    </xf>
    <xf numFmtId="0" fontId="36" fillId="38" borderId="25" xfId="0" applyFont="1" applyFill="1" applyBorder="1" applyAlignment="1">
      <alignment horizontal="center" vertical="center" wrapText="1"/>
    </xf>
    <xf numFmtId="3" fontId="31" fillId="42" borderId="89" xfId="0" applyNumberFormat="1" applyFont="1" applyFill="1" applyBorder="1" applyAlignment="1">
      <alignment horizontal="right" vertical="center"/>
    </xf>
    <xf numFmtId="3" fontId="31" fillId="42" borderId="87" xfId="0" applyNumberFormat="1" applyFont="1" applyFill="1" applyBorder="1" applyAlignment="1">
      <alignment horizontal="right" vertical="center"/>
    </xf>
    <xf numFmtId="3" fontId="31" fillId="43" borderId="89" xfId="0" applyNumberFormat="1" applyFont="1" applyFill="1" applyBorder="1" applyAlignment="1">
      <alignment horizontal="right" vertical="center"/>
    </xf>
    <xf numFmtId="3" fontId="31" fillId="43" borderId="87" xfId="0" applyNumberFormat="1" applyFont="1" applyFill="1" applyBorder="1" applyAlignment="1">
      <alignment horizontal="right" vertical="center"/>
    </xf>
    <xf numFmtId="4" fontId="19" fillId="34" borderId="48" xfId="0" applyNumberFormat="1" applyFont="1" applyFill="1" applyBorder="1" applyAlignment="1">
      <alignment horizontal="center" vertical="center"/>
    </xf>
    <xf numFmtId="4" fontId="19" fillId="34" borderId="15" xfId="0" applyNumberFormat="1" applyFont="1" applyFill="1" applyBorder="1" applyAlignment="1">
      <alignment horizontal="center" vertical="center"/>
    </xf>
    <xf numFmtId="3" fontId="31" fillId="42" borderId="66" xfId="0" applyNumberFormat="1" applyFont="1" applyFill="1" applyBorder="1" applyAlignment="1">
      <alignment horizontal="right" vertical="center"/>
    </xf>
    <xf numFmtId="0" fontId="76" fillId="42" borderId="12" xfId="0" applyFont="1" applyFill="1" applyBorder="1" applyAlignment="1">
      <alignment horizontal="right" vertical="center"/>
    </xf>
    <xf numFmtId="3" fontId="31" fillId="43" borderId="66" xfId="0" applyNumberFormat="1" applyFont="1" applyFill="1" applyBorder="1" applyAlignment="1">
      <alignment vertical="center"/>
    </xf>
    <xf numFmtId="0" fontId="50" fillId="43" borderId="12" xfId="0" applyFont="1" applyFill="1" applyBorder="1" applyAlignment="1">
      <alignment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4" xfId="47"/>
    <cellStyle name="normálne 9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17" customWidth="1"/>
    <col min="3" max="3" width="5.57421875" style="18" customWidth="1"/>
    <col min="4" max="4" width="4.00390625" style="18" customWidth="1"/>
    <col min="5" max="5" width="4.140625" style="18" customWidth="1"/>
    <col min="6" max="6" width="3.57421875" style="17" customWidth="1"/>
    <col min="7" max="7" width="51.00390625" style="17" customWidth="1"/>
    <col min="8" max="8" width="14.8515625" style="0" customWidth="1"/>
    <col min="9" max="9" width="13.28125" style="0" customWidth="1"/>
    <col min="10" max="10" width="12.421875" style="0" customWidth="1"/>
    <col min="11" max="11" width="10.8515625" style="0" customWidth="1"/>
  </cols>
  <sheetData>
    <row r="1" spans="2:10" ht="57" customHeight="1">
      <c r="B1" s="1000" t="s">
        <v>449</v>
      </c>
      <c r="C1" s="1000"/>
      <c r="D1" s="1000"/>
      <c r="E1" s="1000"/>
      <c r="F1" s="1000"/>
      <c r="G1" s="1000"/>
      <c r="H1" s="1000"/>
      <c r="I1" s="1000"/>
      <c r="J1" s="1000"/>
    </row>
    <row r="2" spans="2:10" ht="7.5" customHeight="1" thickBot="1">
      <c r="B2" s="969"/>
      <c r="C2" s="969"/>
      <c r="D2" s="969"/>
      <c r="E2" s="969"/>
      <c r="F2" s="969"/>
      <c r="G2" s="969"/>
      <c r="H2" s="970"/>
      <c r="I2" s="970"/>
      <c r="J2" s="970"/>
    </row>
    <row r="3" spans="2:10" ht="15.75" customHeight="1">
      <c r="B3" s="1001" t="s">
        <v>13</v>
      </c>
      <c r="C3" s="1002"/>
      <c r="D3" s="1002"/>
      <c r="E3" s="1002"/>
      <c r="F3" s="1002"/>
      <c r="G3" s="1003"/>
      <c r="H3" s="1007" t="s">
        <v>450</v>
      </c>
      <c r="I3" s="994" t="s">
        <v>451</v>
      </c>
      <c r="J3" s="997" t="s">
        <v>452</v>
      </c>
    </row>
    <row r="4" spans="2:10" ht="15" customHeight="1">
      <c r="B4" s="1004"/>
      <c r="C4" s="1005"/>
      <c r="D4" s="1005"/>
      <c r="E4" s="1005"/>
      <c r="F4" s="1005"/>
      <c r="G4" s="1006"/>
      <c r="H4" s="1008"/>
      <c r="I4" s="995"/>
      <c r="J4" s="998"/>
    </row>
    <row r="5" spans="2:10" ht="14.25" customHeight="1">
      <c r="B5" s="181"/>
      <c r="C5" s="182" t="s">
        <v>14</v>
      </c>
      <c r="D5" s="182" t="s">
        <v>15</v>
      </c>
      <c r="E5" s="182" t="s">
        <v>16</v>
      </c>
      <c r="F5" s="183"/>
      <c r="G5" s="184"/>
      <c r="H5" s="1008"/>
      <c r="I5" s="995"/>
      <c r="J5" s="998"/>
    </row>
    <row r="6" spans="2:10" ht="16.5" customHeight="1" thickBot="1">
      <c r="B6" s="185"/>
      <c r="C6" s="186"/>
      <c r="D6" s="187"/>
      <c r="E6" s="186" t="s">
        <v>17</v>
      </c>
      <c r="F6" s="188" t="s">
        <v>18</v>
      </c>
      <c r="G6" s="189"/>
      <c r="H6" s="1009"/>
      <c r="I6" s="996"/>
      <c r="J6" s="999"/>
    </row>
    <row r="7" spans="2:10" ht="19.5" customHeight="1" thickTop="1">
      <c r="B7" s="68">
        <v>1</v>
      </c>
      <c r="C7" s="241" t="s">
        <v>19</v>
      </c>
      <c r="D7" s="242"/>
      <c r="E7" s="243"/>
      <c r="F7" s="251" t="s">
        <v>20</v>
      </c>
      <c r="G7" s="244"/>
      <c r="H7" s="582">
        <f>H9+H12+H18</f>
        <v>18373000</v>
      </c>
      <c r="I7" s="910">
        <f>I9</f>
        <v>150000</v>
      </c>
      <c r="J7" s="730">
        <f>I7+H7</f>
        <v>18523000</v>
      </c>
    </row>
    <row r="8" spans="2:10" ht="12.75">
      <c r="B8" s="69">
        <f>B7+1</f>
        <v>2</v>
      </c>
      <c r="C8" s="4"/>
      <c r="D8" s="70"/>
      <c r="E8" s="8"/>
      <c r="F8" s="71"/>
      <c r="G8" s="20"/>
      <c r="H8" s="418"/>
      <c r="I8" s="418"/>
      <c r="J8" s="716"/>
    </row>
    <row r="9" spans="2:10" ht="12.75">
      <c r="B9" s="69">
        <f aca="true" t="shared" si="0" ref="B9:B68">B8+1</f>
        <v>3</v>
      </c>
      <c r="C9" s="9" t="s">
        <v>21</v>
      </c>
      <c r="D9" s="72"/>
      <c r="E9" s="73"/>
      <c r="F9" s="74" t="s">
        <v>22</v>
      </c>
      <c r="G9" s="112"/>
      <c r="H9" s="419">
        <f>H10</f>
        <v>12000000</v>
      </c>
      <c r="I9" s="419">
        <f>I10</f>
        <v>150000</v>
      </c>
      <c r="J9" s="722">
        <f aca="true" t="shared" si="1" ref="J9:J70">I9+H9</f>
        <v>12150000</v>
      </c>
    </row>
    <row r="10" spans="2:10" ht="12.75" customHeight="1">
      <c r="B10" s="69">
        <f t="shared" si="0"/>
        <v>4</v>
      </c>
      <c r="C10" s="9"/>
      <c r="D10" s="72" t="s">
        <v>23</v>
      </c>
      <c r="E10" s="73" t="s">
        <v>24</v>
      </c>
      <c r="F10" s="67" t="s">
        <v>25</v>
      </c>
      <c r="G10" s="112"/>
      <c r="H10" s="425">
        <v>12000000</v>
      </c>
      <c r="I10" s="425">
        <v>150000</v>
      </c>
      <c r="J10" s="718">
        <f t="shared" si="1"/>
        <v>12150000</v>
      </c>
    </row>
    <row r="11" spans="2:10" ht="12.75">
      <c r="B11" s="69">
        <f t="shared" si="0"/>
        <v>5</v>
      </c>
      <c r="C11" s="10"/>
      <c r="D11" s="76"/>
      <c r="E11" s="77"/>
      <c r="F11" s="78"/>
      <c r="G11" s="113"/>
      <c r="H11" s="420"/>
      <c r="I11" s="420"/>
      <c r="J11" s="731"/>
    </row>
    <row r="12" spans="2:10" ht="12.75">
      <c r="B12" s="69">
        <f t="shared" si="0"/>
        <v>6</v>
      </c>
      <c r="C12" s="9" t="s">
        <v>26</v>
      </c>
      <c r="D12" s="76"/>
      <c r="E12" s="80"/>
      <c r="F12" s="74" t="s">
        <v>27</v>
      </c>
      <c r="G12" s="113"/>
      <c r="H12" s="421">
        <f>H13</f>
        <v>4320000</v>
      </c>
      <c r="I12" s="421"/>
      <c r="J12" s="732">
        <f t="shared" si="1"/>
        <v>4320000</v>
      </c>
    </row>
    <row r="13" spans="2:10" ht="12.75">
      <c r="B13" s="69">
        <f t="shared" si="0"/>
        <v>7</v>
      </c>
      <c r="C13" s="10"/>
      <c r="D13" s="76" t="s">
        <v>28</v>
      </c>
      <c r="E13" s="80"/>
      <c r="F13" s="67" t="s">
        <v>29</v>
      </c>
      <c r="G13" s="113"/>
      <c r="H13" s="422">
        <f>SUM(H14:H16)</f>
        <v>4320000</v>
      </c>
      <c r="I13" s="422"/>
      <c r="J13" s="717">
        <f t="shared" si="1"/>
        <v>4320000</v>
      </c>
    </row>
    <row r="14" spans="2:10" ht="12.75">
      <c r="B14" s="69">
        <f t="shared" si="0"/>
        <v>8</v>
      </c>
      <c r="C14" s="10"/>
      <c r="D14" s="76"/>
      <c r="E14" s="80" t="s">
        <v>30</v>
      </c>
      <c r="F14" s="71" t="s">
        <v>31</v>
      </c>
      <c r="G14" s="113"/>
      <c r="H14" s="423">
        <v>420000</v>
      </c>
      <c r="I14" s="423"/>
      <c r="J14" s="733">
        <f t="shared" si="1"/>
        <v>420000</v>
      </c>
    </row>
    <row r="15" spans="2:10" ht="12.75">
      <c r="B15" s="69">
        <f t="shared" si="0"/>
        <v>9</v>
      </c>
      <c r="C15" s="10"/>
      <c r="D15" s="76"/>
      <c r="E15" s="80" t="s">
        <v>32</v>
      </c>
      <c r="F15" s="71" t="s">
        <v>33</v>
      </c>
      <c r="G15" s="113"/>
      <c r="H15" s="423">
        <v>3600000</v>
      </c>
      <c r="I15" s="423"/>
      <c r="J15" s="733">
        <f t="shared" si="1"/>
        <v>3600000</v>
      </c>
    </row>
    <row r="16" spans="2:10" ht="12.75">
      <c r="B16" s="69">
        <f t="shared" si="0"/>
        <v>10</v>
      </c>
      <c r="C16" s="10"/>
      <c r="D16" s="76"/>
      <c r="E16" s="80" t="s">
        <v>24</v>
      </c>
      <c r="F16" s="71" t="s">
        <v>34</v>
      </c>
      <c r="G16" s="113"/>
      <c r="H16" s="423">
        <v>300000</v>
      </c>
      <c r="I16" s="423"/>
      <c r="J16" s="733">
        <f t="shared" si="1"/>
        <v>300000</v>
      </c>
    </row>
    <row r="17" spans="2:10" ht="12.75">
      <c r="B17" s="69">
        <f t="shared" si="0"/>
        <v>11</v>
      </c>
      <c r="C17" s="81"/>
      <c r="D17" s="76"/>
      <c r="E17" s="80"/>
      <c r="F17" s="82"/>
      <c r="G17" s="113"/>
      <c r="H17" s="424"/>
      <c r="I17" s="424"/>
      <c r="J17" s="734"/>
    </row>
    <row r="18" spans="2:10" ht="12.75">
      <c r="B18" s="69">
        <f t="shared" si="0"/>
        <v>12</v>
      </c>
      <c r="C18" s="9" t="s">
        <v>35</v>
      </c>
      <c r="D18" s="76"/>
      <c r="E18" s="80"/>
      <c r="F18" s="74" t="s">
        <v>36</v>
      </c>
      <c r="G18" s="113"/>
      <c r="H18" s="421">
        <f>SUM(H19:H21)</f>
        <v>2053000</v>
      </c>
      <c r="I18" s="421"/>
      <c r="J18" s="732">
        <f t="shared" si="1"/>
        <v>2053000</v>
      </c>
    </row>
    <row r="19" spans="2:10" ht="12.75">
      <c r="B19" s="69">
        <f t="shared" si="0"/>
        <v>13</v>
      </c>
      <c r="C19" s="48"/>
      <c r="D19" s="2" t="s">
        <v>37</v>
      </c>
      <c r="E19" s="3" t="s">
        <v>38</v>
      </c>
      <c r="F19" s="71" t="s">
        <v>39</v>
      </c>
      <c r="G19" s="20"/>
      <c r="H19" s="422">
        <v>18000</v>
      </c>
      <c r="I19" s="422"/>
      <c r="J19" s="717">
        <f t="shared" si="1"/>
        <v>18000</v>
      </c>
    </row>
    <row r="20" spans="2:10" ht="12.75">
      <c r="B20" s="69">
        <f t="shared" si="0"/>
        <v>14</v>
      </c>
      <c r="C20" s="48"/>
      <c r="D20" s="2" t="s">
        <v>37</v>
      </c>
      <c r="E20" s="3" t="s">
        <v>30</v>
      </c>
      <c r="F20" s="71" t="s">
        <v>148</v>
      </c>
      <c r="G20" s="20"/>
      <c r="H20" s="422">
        <v>35000</v>
      </c>
      <c r="I20" s="422"/>
      <c r="J20" s="717">
        <f t="shared" si="1"/>
        <v>35000</v>
      </c>
    </row>
    <row r="21" spans="2:10" ht="12.75">
      <c r="B21" s="69">
        <f t="shared" si="0"/>
        <v>15</v>
      </c>
      <c r="C21" s="48"/>
      <c r="D21" s="2" t="s">
        <v>37</v>
      </c>
      <c r="E21" s="3" t="s">
        <v>40</v>
      </c>
      <c r="F21" s="71" t="s">
        <v>285</v>
      </c>
      <c r="G21" s="20"/>
      <c r="H21" s="422">
        <v>2000000</v>
      </c>
      <c r="I21" s="422"/>
      <c r="J21" s="717">
        <f t="shared" si="1"/>
        <v>2000000</v>
      </c>
    </row>
    <row r="22" spans="2:10" ht="12.75">
      <c r="B22" s="69">
        <f t="shared" si="0"/>
        <v>16</v>
      </c>
      <c r="C22" s="10"/>
      <c r="D22" s="76"/>
      <c r="E22" s="80"/>
      <c r="F22" s="78"/>
      <c r="G22" s="113"/>
      <c r="H22" s="420"/>
      <c r="I22" s="420"/>
      <c r="J22" s="731"/>
    </row>
    <row r="23" spans="2:10" ht="19.5" customHeight="1">
      <c r="B23" s="904">
        <f t="shared" si="0"/>
        <v>17</v>
      </c>
      <c r="C23" s="246" t="s">
        <v>41</v>
      </c>
      <c r="D23" s="247"/>
      <c r="E23" s="248"/>
      <c r="F23" s="250" t="s">
        <v>42</v>
      </c>
      <c r="G23" s="249"/>
      <c r="H23" s="583">
        <f>H25+H37+H50+H52+H57+H83+H108+H119+H127</f>
        <v>2926632</v>
      </c>
      <c r="I23" s="911">
        <f>I57+I83</f>
        <v>63400</v>
      </c>
      <c r="J23" s="735">
        <f t="shared" si="1"/>
        <v>2990032</v>
      </c>
    </row>
    <row r="24" spans="2:10" ht="12.75">
      <c r="B24" s="69">
        <f t="shared" si="0"/>
        <v>18</v>
      </c>
      <c r="C24" s="83"/>
      <c r="D24" s="83"/>
      <c r="E24" s="84"/>
      <c r="F24" s="71"/>
      <c r="G24" s="112"/>
      <c r="H24" s="425"/>
      <c r="I24" s="425"/>
      <c r="J24" s="718"/>
    </row>
    <row r="25" spans="2:10" ht="12.75">
      <c r="B25" s="69">
        <f t="shared" si="0"/>
        <v>19</v>
      </c>
      <c r="C25" s="9" t="s">
        <v>43</v>
      </c>
      <c r="D25" s="9"/>
      <c r="E25" s="11"/>
      <c r="F25" s="74" t="s">
        <v>44</v>
      </c>
      <c r="G25" s="112"/>
      <c r="H25" s="421">
        <f>H29+H27</f>
        <v>557790</v>
      </c>
      <c r="I25" s="421"/>
      <c r="J25" s="732">
        <f t="shared" si="1"/>
        <v>557790</v>
      </c>
    </row>
    <row r="26" spans="2:10" ht="12.75">
      <c r="B26" s="69">
        <f t="shared" si="0"/>
        <v>20</v>
      </c>
      <c r="C26" s="9"/>
      <c r="D26" s="9"/>
      <c r="E26" s="11"/>
      <c r="F26" s="74"/>
      <c r="G26" s="112"/>
      <c r="H26" s="421"/>
      <c r="I26" s="421"/>
      <c r="J26" s="732"/>
    </row>
    <row r="27" spans="2:10" ht="12.75">
      <c r="B27" s="69">
        <f t="shared" si="0"/>
        <v>21</v>
      </c>
      <c r="C27" s="9"/>
      <c r="D27" s="9" t="s">
        <v>420</v>
      </c>
      <c r="E27" s="11"/>
      <c r="F27" s="114" t="s">
        <v>421</v>
      </c>
      <c r="G27" s="112"/>
      <c r="H27" s="423">
        <v>26940</v>
      </c>
      <c r="I27" s="423"/>
      <c r="J27" s="733">
        <f t="shared" si="1"/>
        <v>26940</v>
      </c>
    </row>
    <row r="28" spans="2:10" ht="12.75">
      <c r="B28" s="69">
        <f t="shared" si="0"/>
        <v>22</v>
      </c>
      <c r="C28" s="9"/>
      <c r="D28" s="9"/>
      <c r="E28" s="11"/>
      <c r="F28" s="74"/>
      <c r="G28" s="112"/>
      <c r="H28" s="421"/>
      <c r="I28" s="421"/>
      <c r="J28" s="732"/>
    </row>
    <row r="29" spans="2:10" ht="12.75">
      <c r="B29" s="69">
        <f t="shared" si="0"/>
        <v>23</v>
      </c>
      <c r="C29" s="9"/>
      <c r="D29" s="9" t="s">
        <v>45</v>
      </c>
      <c r="E29" s="11"/>
      <c r="F29" s="114" t="s">
        <v>100</v>
      </c>
      <c r="G29" s="112"/>
      <c r="H29" s="423">
        <f>H30+H32+H31</f>
        <v>530850</v>
      </c>
      <c r="I29" s="423"/>
      <c r="J29" s="733">
        <f t="shared" si="1"/>
        <v>530850</v>
      </c>
    </row>
    <row r="30" spans="2:10" ht="12.75">
      <c r="B30" s="69">
        <f t="shared" si="0"/>
        <v>24</v>
      </c>
      <c r="C30" s="83"/>
      <c r="D30" s="72"/>
      <c r="E30" s="12" t="s">
        <v>32</v>
      </c>
      <c r="F30" s="79" t="s">
        <v>46</v>
      </c>
      <c r="G30" s="112"/>
      <c r="H30" s="423">
        <v>144400</v>
      </c>
      <c r="I30" s="423"/>
      <c r="J30" s="733">
        <f t="shared" si="1"/>
        <v>144400</v>
      </c>
    </row>
    <row r="31" spans="2:10" ht="12.75">
      <c r="B31" s="69">
        <f t="shared" si="0"/>
        <v>25</v>
      </c>
      <c r="C31" s="83"/>
      <c r="D31" s="72"/>
      <c r="E31" s="12"/>
      <c r="F31" s="79" t="s">
        <v>422</v>
      </c>
      <c r="G31" s="112"/>
      <c r="H31" s="423">
        <v>50000</v>
      </c>
      <c r="I31" s="423"/>
      <c r="J31" s="733">
        <f t="shared" si="1"/>
        <v>50000</v>
      </c>
    </row>
    <row r="32" spans="2:10" ht="12.75">
      <c r="B32" s="69">
        <f t="shared" si="0"/>
        <v>26</v>
      </c>
      <c r="C32" s="83"/>
      <c r="D32" s="72"/>
      <c r="E32" s="12" t="s">
        <v>24</v>
      </c>
      <c r="F32" s="79" t="s">
        <v>47</v>
      </c>
      <c r="G32" s="112"/>
      <c r="H32" s="425">
        <f>SUM(H33:H35)</f>
        <v>336450</v>
      </c>
      <c r="I32" s="425"/>
      <c r="J32" s="718">
        <f t="shared" si="1"/>
        <v>336450</v>
      </c>
    </row>
    <row r="33" spans="2:10" ht="12.75">
      <c r="B33" s="69">
        <f t="shared" si="0"/>
        <v>27</v>
      </c>
      <c r="C33" s="83"/>
      <c r="D33" s="72"/>
      <c r="E33" s="84"/>
      <c r="F33" s="67"/>
      <c r="G33" s="112" t="s">
        <v>48</v>
      </c>
      <c r="H33" s="425">
        <v>42600</v>
      </c>
      <c r="I33" s="425"/>
      <c r="J33" s="718">
        <f t="shared" si="1"/>
        <v>42600</v>
      </c>
    </row>
    <row r="34" spans="2:10" ht="12.75">
      <c r="B34" s="69">
        <f t="shared" si="0"/>
        <v>28</v>
      </c>
      <c r="C34" s="83"/>
      <c r="D34" s="72"/>
      <c r="E34" s="84"/>
      <c r="F34" s="79"/>
      <c r="G34" s="112" t="s">
        <v>49</v>
      </c>
      <c r="H34" s="425">
        <v>270050</v>
      </c>
      <c r="I34" s="425"/>
      <c r="J34" s="718">
        <f t="shared" si="1"/>
        <v>270050</v>
      </c>
    </row>
    <row r="35" spans="2:10" ht="12.75">
      <c r="B35" s="69">
        <f t="shared" si="0"/>
        <v>29</v>
      </c>
      <c r="C35" s="83"/>
      <c r="D35" s="83"/>
      <c r="E35" s="84"/>
      <c r="F35" s="79"/>
      <c r="G35" s="112" t="s">
        <v>146</v>
      </c>
      <c r="H35" s="429">
        <v>23800</v>
      </c>
      <c r="I35" s="429"/>
      <c r="J35" s="727">
        <f t="shared" si="1"/>
        <v>23800</v>
      </c>
    </row>
    <row r="36" spans="2:10" ht="12.75">
      <c r="B36" s="69">
        <f t="shared" si="0"/>
        <v>30</v>
      </c>
      <c r="C36" s="83"/>
      <c r="D36" s="83"/>
      <c r="E36" s="84"/>
      <c r="F36" s="79"/>
      <c r="G36" s="112"/>
      <c r="H36" s="425"/>
      <c r="I36" s="425"/>
      <c r="J36" s="718"/>
    </row>
    <row r="37" spans="2:10" ht="12.75">
      <c r="B37" s="69">
        <f t="shared" si="0"/>
        <v>31</v>
      </c>
      <c r="C37" s="9" t="s">
        <v>50</v>
      </c>
      <c r="D37" s="83"/>
      <c r="E37" s="84"/>
      <c r="F37" s="74" t="s">
        <v>51</v>
      </c>
      <c r="G37" s="112"/>
      <c r="H37" s="430">
        <f>H38+H41+H42+H48</f>
        <v>558400</v>
      </c>
      <c r="I37" s="430"/>
      <c r="J37" s="719">
        <f t="shared" si="1"/>
        <v>558400</v>
      </c>
    </row>
    <row r="38" spans="2:10" ht="12.75">
      <c r="B38" s="69">
        <f t="shared" si="0"/>
        <v>32</v>
      </c>
      <c r="C38" s="83"/>
      <c r="D38" s="72" t="s">
        <v>52</v>
      </c>
      <c r="E38" s="12" t="s">
        <v>53</v>
      </c>
      <c r="F38" s="79" t="s">
        <v>54</v>
      </c>
      <c r="G38" s="112"/>
      <c r="H38" s="425">
        <f>SUM(H39:H40)</f>
        <v>400000</v>
      </c>
      <c r="I38" s="425"/>
      <c r="J38" s="718">
        <f t="shared" si="1"/>
        <v>400000</v>
      </c>
    </row>
    <row r="39" spans="2:10" ht="12.75">
      <c r="B39" s="69">
        <f t="shared" si="0"/>
        <v>33</v>
      </c>
      <c r="C39" s="83"/>
      <c r="D39" s="83"/>
      <c r="E39" s="84"/>
      <c r="F39" s="67"/>
      <c r="G39" s="112" t="s">
        <v>101</v>
      </c>
      <c r="H39" s="425">
        <v>300000</v>
      </c>
      <c r="I39" s="425"/>
      <c r="J39" s="718">
        <f t="shared" si="1"/>
        <v>300000</v>
      </c>
    </row>
    <row r="40" spans="2:10" ht="12.75">
      <c r="B40" s="69">
        <f t="shared" si="0"/>
        <v>34</v>
      </c>
      <c r="C40" s="83"/>
      <c r="D40" s="83"/>
      <c r="E40" s="84"/>
      <c r="F40" s="67"/>
      <c r="G40" s="112" t="s">
        <v>55</v>
      </c>
      <c r="H40" s="425">
        <v>100000</v>
      </c>
      <c r="I40" s="425"/>
      <c r="J40" s="718">
        <f t="shared" si="1"/>
        <v>100000</v>
      </c>
    </row>
    <row r="41" spans="2:10" ht="12.75">
      <c r="B41" s="69">
        <f t="shared" si="0"/>
        <v>35</v>
      </c>
      <c r="C41" s="83"/>
      <c r="D41" s="10" t="s">
        <v>56</v>
      </c>
      <c r="E41" s="84" t="s">
        <v>24</v>
      </c>
      <c r="F41" s="85" t="s">
        <v>57</v>
      </c>
      <c r="G41" s="112"/>
      <c r="H41" s="425">
        <v>75000</v>
      </c>
      <c r="I41" s="425"/>
      <c r="J41" s="718">
        <f t="shared" si="1"/>
        <v>75000</v>
      </c>
    </row>
    <row r="42" spans="2:10" ht="12.75">
      <c r="B42" s="69">
        <f t="shared" si="0"/>
        <v>36</v>
      </c>
      <c r="C42" s="83"/>
      <c r="D42" s="72" t="s">
        <v>58</v>
      </c>
      <c r="E42" s="12" t="s">
        <v>30</v>
      </c>
      <c r="F42" s="79" t="s">
        <v>59</v>
      </c>
      <c r="G42" s="112"/>
      <c r="H42" s="425">
        <f>H43+H44+H47+H45+H46</f>
        <v>81400</v>
      </c>
      <c r="I42" s="425"/>
      <c r="J42" s="718">
        <f t="shared" si="1"/>
        <v>81400</v>
      </c>
    </row>
    <row r="43" spans="2:10" ht="12.75">
      <c r="B43" s="69">
        <f t="shared" si="0"/>
        <v>37</v>
      </c>
      <c r="C43" s="83"/>
      <c r="D43" s="83"/>
      <c r="E43" s="12"/>
      <c r="F43" s="86" t="s">
        <v>0</v>
      </c>
      <c r="G43" s="431"/>
      <c r="H43" s="425">
        <v>500</v>
      </c>
      <c r="I43" s="425"/>
      <c r="J43" s="718">
        <f t="shared" si="1"/>
        <v>500</v>
      </c>
    </row>
    <row r="44" spans="2:10" ht="12.75">
      <c r="B44" s="69">
        <f t="shared" si="0"/>
        <v>38</v>
      </c>
      <c r="C44" s="89"/>
      <c r="D44" s="89"/>
      <c r="E44" s="13"/>
      <c r="F44" s="115" t="s">
        <v>4</v>
      </c>
      <c r="G44" s="432"/>
      <c r="H44" s="425">
        <v>0</v>
      </c>
      <c r="I44" s="425"/>
      <c r="J44" s="718">
        <f t="shared" si="1"/>
        <v>0</v>
      </c>
    </row>
    <row r="45" spans="2:10" ht="12.75">
      <c r="B45" s="69">
        <f t="shared" si="0"/>
        <v>39</v>
      </c>
      <c r="C45" s="89"/>
      <c r="D45" s="89"/>
      <c r="E45" s="13"/>
      <c r="F45" s="115" t="s">
        <v>423</v>
      </c>
      <c r="G45" s="432"/>
      <c r="H45" s="425">
        <v>29400</v>
      </c>
      <c r="I45" s="425"/>
      <c r="J45" s="718">
        <f t="shared" si="1"/>
        <v>29400</v>
      </c>
    </row>
    <row r="46" spans="2:10" ht="12.75">
      <c r="B46" s="69">
        <f t="shared" si="0"/>
        <v>40</v>
      </c>
      <c r="C46" s="89"/>
      <c r="D46" s="89"/>
      <c r="E46" s="13"/>
      <c r="F46" s="115" t="s">
        <v>424</v>
      </c>
      <c r="G46" s="432"/>
      <c r="H46" s="425">
        <v>21500</v>
      </c>
      <c r="I46" s="425"/>
      <c r="J46" s="718">
        <f t="shared" si="1"/>
        <v>21500</v>
      </c>
    </row>
    <row r="47" spans="2:10" ht="12.75">
      <c r="B47" s="69">
        <f t="shared" si="0"/>
        <v>41</v>
      </c>
      <c r="C47" s="89"/>
      <c r="D47" s="89"/>
      <c r="E47" s="13"/>
      <c r="F47" s="115"/>
      <c r="G47" s="432" t="s">
        <v>146</v>
      </c>
      <c r="H47" s="425">
        <v>30000</v>
      </c>
      <c r="I47" s="425"/>
      <c r="J47" s="718">
        <f t="shared" si="1"/>
        <v>30000</v>
      </c>
    </row>
    <row r="48" spans="2:10" ht="12.75">
      <c r="B48" s="69">
        <f t="shared" si="0"/>
        <v>42</v>
      </c>
      <c r="C48" s="116"/>
      <c r="D48" s="88" t="s">
        <v>60</v>
      </c>
      <c r="E48" s="65" t="s">
        <v>61</v>
      </c>
      <c r="F48" s="66" t="s">
        <v>102</v>
      </c>
      <c r="G48" s="117"/>
      <c r="H48" s="425">
        <v>2000</v>
      </c>
      <c r="I48" s="425"/>
      <c r="J48" s="718">
        <f t="shared" si="1"/>
        <v>2000</v>
      </c>
    </row>
    <row r="49" spans="2:10" ht="12.75">
      <c r="B49" s="69">
        <f t="shared" si="0"/>
        <v>43</v>
      </c>
      <c r="C49" s="89"/>
      <c r="D49" s="90"/>
      <c r="E49" s="13"/>
      <c r="F49" s="87"/>
      <c r="G49" s="118"/>
      <c r="H49" s="429"/>
      <c r="I49" s="429"/>
      <c r="J49" s="727"/>
    </row>
    <row r="50" spans="2:10" ht="12.75">
      <c r="B50" s="69">
        <f t="shared" si="0"/>
        <v>44</v>
      </c>
      <c r="C50" s="91" t="s">
        <v>62</v>
      </c>
      <c r="D50" s="90"/>
      <c r="E50" s="92"/>
      <c r="F50" s="93" t="s">
        <v>63</v>
      </c>
      <c r="G50" s="118"/>
      <c r="H50" s="430">
        <v>2000</v>
      </c>
      <c r="I50" s="430"/>
      <c r="J50" s="719">
        <f t="shared" si="1"/>
        <v>2000</v>
      </c>
    </row>
    <row r="51" spans="2:10" ht="12.75">
      <c r="B51" s="69">
        <f t="shared" si="0"/>
        <v>45</v>
      </c>
      <c r="C51" s="91"/>
      <c r="D51" s="13"/>
      <c r="E51" s="92"/>
      <c r="F51" s="94"/>
      <c r="G51" s="118"/>
      <c r="H51" s="429"/>
      <c r="I51" s="429"/>
      <c r="J51" s="727"/>
    </row>
    <row r="52" spans="2:10" ht="12.75">
      <c r="B52" s="69">
        <f t="shared" si="0"/>
        <v>46</v>
      </c>
      <c r="C52" s="91" t="s">
        <v>64</v>
      </c>
      <c r="D52" s="90"/>
      <c r="E52" s="92"/>
      <c r="F52" s="93" t="s">
        <v>65</v>
      </c>
      <c r="G52" s="118"/>
      <c r="H52" s="430">
        <f>SUM(H53:H55)</f>
        <v>340022</v>
      </c>
      <c r="I52" s="430"/>
      <c r="J52" s="719">
        <f t="shared" si="1"/>
        <v>340022</v>
      </c>
    </row>
    <row r="53" spans="2:11" ht="12.75" customHeight="1">
      <c r="B53" s="69">
        <f t="shared" si="0"/>
        <v>47</v>
      </c>
      <c r="C53" s="9"/>
      <c r="D53" s="84" t="s">
        <v>66</v>
      </c>
      <c r="E53" s="12" t="s">
        <v>67</v>
      </c>
      <c r="F53" s="79" t="s">
        <v>68</v>
      </c>
      <c r="G53" s="112"/>
      <c r="H53" s="425">
        <v>210000</v>
      </c>
      <c r="I53" s="425"/>
      <c r="J53" s="718">
        <f t="shared" si="1"/>
        <v>210000</v>
      </c>
      <c r="K53" s="714"/>
    </row>
    <row r="54" spans="2:10" ht="12.75">
      <c r="B54" s="69">
        <f t="shared" si="0"/>
        <v>48</v>
      </c>
      <c r="C54" s="9"/>
      <c r="D54" s="84"/>
      <c r="E54" s="12" t="s">
        <v>314</v>
      </c>
      <c r="F54" s="79" t="s">
        <v>315</v>
      </c>
      <c r="G54" s="112"/>
      <c r="H54" s="425">
        <v>0</v>
      </c>
      <c r="I54" s="425"/>
      <c r="J54" s="718"/>
    </row>
    <row r="55" spans="2:10" ht="12.75">
      <c r="B55" s="69">
        <f t="shared" si="0"/>
        <v>49</v>
      </c>
      <c r="C55" s="91"/>
      <c r="D55" s="97" t="s">
        <v>66</v>
      </c>
      <c r="E55" s="13"/>
      <c r="F55" s="87" t="s">
        <v>69</v>
      </c>
      <c r="G55" s="118"/>
      <c r="H55" s="425">
        <v>130022</v>
      </c>
      <c r="I55" s="425"/>
      <c r="J55" s="718">
        <f t="shared" si="1"/>
        <v>130022</v>
      </c>
    </row>
    <row r="56" spans="2:10" ht="12.75">
      <c r="B56" s="69">
        <f t="shared" si="0"/>
        <v>50</v>
      </c>
      <c r="C56" s="96"/>
      <c r="D56" s="97"/>
      <c r="E56" s="13"/>
      <c r="F56" s="87"/>
      <c r="G56" s="118"/>
      <c r="H56" s="429"/>
      <c r="I56" s="429"/>
      <c r="J56" s="727"/>
    </row>
    <row r="57" spans="2:10" ht="12.75">
      <c r="B57" s="69">
        <f t="shared" si="0"/>
        <v>51</v>
      </c>
      <c r="C57" s="98"/>
      <c r="D57" s="99"/>
      <c r="E57" s="98"/>
      <c r="F57" s="458" t="s">
        <v>70</v>
      </c>
      <c r="G57" s="459"/>
      <c r="H57" s="457">
        <f>H59+H63</f>
        <v>380200</v>
      </c>
      <c r="I57" s="457">
        <f>I59+I63+I72</f>
        <v>103400</v>
      </c>
      <c r="J57" s="736">
        <f t="shared" si="1"/>
        <v>483600</v>
      </c>
    </row>
    <row r="58" spans="2:10" ht="12.75">
      <c r="B58" s="69">
        <f t="shared" si="0"/>
        <v>52</v>
      </c>
      <c r="C58" s="100"/>
      <c r="D58" s="101"/>
      <c r="E58" s="98"/>
      <c r="F58" s="102"/>
      <c r="G58" s="119"/>
      <c r="H58" s="426"/>
      <c r="I58" s="426"/>
      <c r="J58" s="737"/>
    </row>
    <row r="59" spans="2:10" ht="12.75">
      <c r="B59" s="69">
        <f t="shared" si="0"/>
        <v>53</v>
      </c>
      <c r="C59" s="9" t="s">
        <v>43</v>
      </c>
      <c r="D59" s="101"/>
      <c r="E59" s="98"/>
      <c r="F59" s="74" t="s">
        <v>44</v>
      </c>
      <c r="G59" s="119"/>
      <c r="H59" s="421">
        <f>H60</f>
        <v>56800</v>
      </c>
      <c r="I59" s="421">
        <f>I60+I61</f>
        <v>-21100</v>
      </c>
      <c r="J59" s="732">
        <f t="shared" si="1"/>
        <v>35700</v>
      </c>
    </row>
    <row r="60" spans="2:10" ht="12.75">
      <c r="B60" s="69">
        <f t="shared" si="0"/>
        <v>54</v>
      </c>
      <c r="C60" s="103"/>
      <c r="D60" s="14"/>
      <c r="E60" s="3" t="s">
        <v>24</v>
      </c>
      <c r="F60" s="104" t="s">
        <v>47</v>
      </c>
      <c r="G60" s="433"/>
      <c r="H60" s="425">
        <v>56800</v>
      </c>
      <c r="I60" s="425">
        <v>-21180</v>
      </c>
      <c r="J60" s="718">
        <f t="shared" si="1"/>
        <v>35620</v>
      </c>
    </row>
    <row r="61" spans="2:10" ht="12.75">
      <c r="B61" s="69">
        <f t="shared" si="0"/>
        <v>55</v>
      </c>
      <c r="C61" s="103"/>
      <c r="D61" s="14"/>
      <c r="E61" s="3" t="s">
        <v>32</v>
      </c>
      <c r="F61" s="104" t="s">
        <v>46</v>
      </c>
      <c r="G61" s="433"/>
      <c r="H61" s="425"/>
      <c r="I61" s="425">
        <v>80</v>
      </c>
      <c r="J61" s="718">
        <f t="shared" si="1"/>
        <v>80</v>
      </c>
    </row>
    <row r="62" spans="2:10" ht="12.75">
      <c r="B62" s="69">
        <f t="shared" si="0"/>
        <v>56</v>
      </c>
      <c r="C62" s="103"/>
      <c r="D62" s="14"/>
      <c r="E62" s="3"/>
      <c r="F62" s="104"/>
      <c r="G62" s="433"/>
      <c r="H62" s="425"/>
      <c r="I62" s="425"/>
      <c r="J62" s="718"/>
    </row>
    <row r="63" spans="2:10" ht="12.75">
      <c r="B63" s="69">
        <f t="shared" si="0"/>
        <v>57</v>
      </c>
      <c r="C63" s="9" t="s">
        <v>50</v>
      </c>
      <c r="D63" s="101"/>
      <c r="E63" s="98"/>
      <c r="F63" s="74" t="s">
        <v>51</v>
      </c>
      <c r="G63" s="433"/>
      <c r="H63" s="430">
        <f>H64</f>
        <v>323400</v>
      </c>
      <c r="I63" s="430">
        <f>I64</f>
        <v>118500</v>
      </c>
      <c r="J63" s="719">
        <f t="shared" si="1"/>
        <v>441900</v>
      </c>
    </row>
    <row r="64" spans="2:10" ht="12.75">
      <c r="B64" s="69">
        <f t="shared" si="0"/>
        <v>58</v>
      </c>
      <c r="C64" s="100"/>
      <c r="D64" s="14" t="s">
        <v>58</v>
      </c>
      <c r="E64" s="3" t="s">
        <v>30</v>
      </c>
      <c r="F64" s="79" t="s">
        <v>71</v>
      </c>
      <c r="G64" s="433"/>
      <c r="H64" s="425">
        <f>SUM(H65:H70)</f>
        <v>323400</v>
      </c>
      <c r="I64" s="425">
        <f>SUM(I65:I70)</f>
        <v>118500</v>
      </c>
      <c r="J64" s="718">
        <f t="shared" si="1"/>
        <v>441900</v>
      </c>
    </row>
    <row r="65" spans="2:10" ht="12.75">
      <c r="B65" s="69">
        <f t="shared" si="0"/>
        <v>59</v>
      </c>
      <c r="C65" s="103"/>
      <c r="D65" s="3"/>
      <c r="E65" s="3"/>
      <c r="F65" s="79"/>
      <c r="G65" s="434" t="s">
        <v>103</v>
      </c>
      <c r="H65" s="425">
        <v>23300</v>
      </c>
      <c r="I65" s="425">
        <v>2000</v>
      </c>
      <c r="J65" s="718">
        <f t="shared" si="1"/>
        <v>25300</v>
      </c>
    </row>
    <row r="66" spans="2:10" ht="12.75">
      <c r="B66" s="69">
        <f t="shared" si="0"/>
        <v>60</v>
      </c>
      <c r="C66" s="100"/>
      <c r="D66" s="579"/>
      <c r="E66" s="579"/>
      <c r="F66" s="87"/>
      <c r="G66" s="433" t="s">
        <v>82</v>
      </c>
      <c r="H66" s="429">
        <v>55000</v>
      </c>
      <c r="I66" s="429">
        <v>84000</v>
      </c>
      <c r="J66" s="727">
        <f t="shared" si="1"/>
        <v>139000</v>
      </c>
    </row>
    <row r="67" spans="2:10" ht="12.75">
      <c r="B67" s="69">
        <f t="shared" si="0"/>
        <v>61</v>
      </c>
      <c r="C67" s="103"/>
      <c r="D67" s="3"/>
      <c r="E67" s="3"/>
      <c r="F67" s="79"/>
      <c r="G67" s="434" t="s">
        <v>104</v>
      </c>
      <c r="H67" s="425">
        <v>109600</v>
      </c>
      <c r="I67" s="425">
        <v>10000</v>
      </c>
      <c r="J67" s="718">
        <f t="shared" si="1"/>
        <v>119600</v>
      </c>
    </row>
    <row r="68" spans="2:10" ht="12.75">
      <c r="B68" s="69">
        <f t="shared" si="0"/>
        <v>62</v>
      </c>
      <c r="C68" s="103"/>
      <c r="D68" s="3"/>
      <c r="E68" s="3"/>
      <c r="F68" s="79" t="s">
        <v>425</v>
      </c>
      <c r="G68" s="434"/>
      <c r="H68" s="425">
        <v>50000</v>
      </c>
      <c r="I68" s="425">
        <v>-3000</v>
      </c>
      <c r="J68" s="718">
        <f t="shared" si="1"/>
        <v>47000</v>
      </c>
    </row>
    <row r="69" spans="2:10" ht="12.75">
      <c r="B69" s="69">
        <f>B67+1</f>
        <v>62</v>
      </c>
      <c r="C69" s="103"/>
      <c r="D69" s="3"/>
      <c r="E69" s="3"/>
      <c r="F69" s="79" t="s">
        <v>426</v>
      </c>
      <c r="G69" s="434"/>
      <c r="H69" s="425">
        <v>60000</v>
      </c>
      <c r="I69" s="425">
        <v>26000</v>
      </c>
      <c r="J69" s="718">
        <f t="shared" si="1"/>
        <v>86000</v>
      </c>
    </row>
    <row r="70" spans="2:10" ht="12.75">
      <c r="B70" s="95">
        <f>B69+1</f>
        <v>63</v>
      </c>
      <c r="C70" s="101"/>
      <c r="D70" s="579"/>
      <c r="E70" s="579"/>
      <c r="F70" s="87"/>
      <c r="G70" s="433" t="s">
        <v>72</v>
      </c>
      <c r="H70" s="429">
        <v>25500</v>
      </c>
      <c r="I70" s="429">
        <v>-500</v>
      </c>
      <c r="J70" s="727">
        <f t="shared" si="1"/>
        <v>25000</v>
      </c>
    </row>
    <row r="71" spans="2:10" ht="12.75">
      <c r="B71" s="95">
        <f>B70+1</f>
        <v>64</v>
      </c>
      <c r="C71" s="101"/>
      <c r="D71" s="579"/>
      <c r="E71" s="579"/>
      <c r="F71" s="87"/>
      <c r="G71" s="433"/>
      <c r="H71" s="429"/>
      <c r="I71" s="429"/>
      <c r="J71" s="727"/>
    </row>
    <row r="72" spans="2:10" ht="12.75">
      <c r="B72" s="95">
        <f>B71+1</f>
        <v>65</v>
      </c>
      <c r="C72" s="9" t="s">
        <v>89</v>
      </c>
      <c r="D72" s="101"/>
      <c r="E72" s="98"/>
      <c r="F72" s="74" t="s">
        <v>460</v>
      </c>
      <c r="G72" s="433"/>
      <c r="H72" s="430"/>
      <c r="I72" s="430">
        <v>6000</v>
      </c>
      <c r="J72" s="719">
        <f>I72+H72</f>
        <v>6000</v>
      </c>
    </row>
    <row r="73" spans="2:10" ht="13.5" thickBot="1">
      <c r="B73" s="121">
        <f>B72+1</f>
        <v>66</v>
      </c>
      <c r="C73" s="575"/>
      <c r="D73" s="576"/>
      <c r="E73" s="576"/>
      <c r="F73" s="577"/>
      <c r="G73" s="578"/>
      <c r="H73" s="435"/>
      <c r="I73" s="435"/>
      <c r="J73" s="738"/>
    </row>
    <row r="74" spans="2:10" ht="12.75">
      <c r="B74" s="971"/>
      <c r="C74" s="972"/>
      <c r="D74" s="973"/>
      <c r="E74" s="973"/>
      <c r="F74" s="974"/>
      <c r="G74" s="975"/>
      <c r="H74" s="976"/>
      <c r="I74" s="970"/>
      <c r="J74" s="970"/>
    </row>
    <row r="75" spans="2:10" ht="12.75">
      <c r="B75" s="971"/>
      <c r="C75" s="972"/>
      <c r="D75" s="973"/>
      <c r="E75" s="973"/>
      <c r="F75" s="974"/>
      <c r="G75" s="975"/>
      <c r="H75" s="976"/>
      <c r="I75" s="970"/>
      <c r="J75" s="970"/>
    </row>
    <row r="76" spans="2:10" ht="12.75">
      <c r="B76" s="971"/>
      <c r="C76" s="972"/>
      <c r="D76" s="973"/>
      <c r="E76" s="973"/>
      <c r="F76" s="974"/>
      <c r="G76" s="975"/>
      <c r="H76" s="976"/>
      <c r="I76" s="970"/>
      <c r="J76" s="970"/>
    </row>
    <row r="77" spans="1:10" ht="12.75">
      <c r="A77" s="34"/>
      <c r="B77" s="971"/>
      <c r="C77" s="972"/>
      <c r="D77" s="973"/>
      <c r="E77" s="973"/>
      <c r="F77" s="974"/>
      <c r="G77" s="975"/>
      <c r="H77" s="976"/>
      <c r="I77" s="970"/>
      <c r="J77" s="970"/>
    </row>
    <row r="78" spans="1:10" ht="13.5" thickBot="1">
      <c r="A78" s="34"/>
      <c r="B78" s="971"/>
      <c r="C78" s="972"/>
      <c r="D78" s="973"/>
      <c r="E78" s="973"/>
      <c r="F78" s="975"/>
      <c r="G78" s="975"/>
      <c r="H78" s="976"/>
      <c r="I78" s="970"/>
      <c r="J78" s="970"/>
    </row>
    <row r="79" spans="2:10" ht="13.5" customHeight="1">
      <c r="B79" s="1001" t="s">
        <v>13</v>
      </c>
      <c r="C79" s="1002"/>
      <c r="D79" s="1002"/>
      <c r="E79" s="1002"/>
      <c r="F79" s="1002"/>
      <c r="G79" s="1003"/>
      <c r="H79" s="1007" t="s">
        <v>450</v>
      </c>
      <c r="I79" s="994" t="s">
        <v>451</v>
      </c>
      <c r="J79" s="997" t="s">
        <v>452</v>
      </c>
    </row>
    <row r="80" spans="2:10" ht="12.75" customHeight="1">
      <c r="B80" s="1004"/>
      <c r="C80" s="1005"/>
      <c r="D80" s="1005"/>
      <c r="E80" s="1005"/>
      <c r="F80" s="1005"/>
      <c r="G80" s="1006"/>
      <c r="H80" s="1008"/>
      <c r="I80" s="995"/>
      <c r="J80" s="998"/>
    </row>
    <row r="81" spans="2:10" ht="16.5" customHeight="1">
      <c r="B81" s="181"/>
      <c r="C81" s="182" t="s">
        <v>14</v>
      </c>
      <c r="D81" s="182" t="s">
        <v>15</v>
      </c>
      <c r="E81" s="182" t="s">
        <v>16</v>
      </c>
      <c r="F81" s="183"/>
      <c r="G81" s="184"/>
      <c r="H81" s="1008"/>
      <c r="I81" s="995"/>
      <c r="J81" s="998"/>
    </row>
    <row r="82" spans="2:10" ht="26.25" customHeight="1" thickBot="1">
      <c r="B82" s="185"/>
      <c r="C82" s="186"/>
      <c r="D82" s="187"/>
      <c r="E82" s="186" t="s">
        <v>17</v>
      </c>
      <c r="F82" s="188" t="s">
        <v>18</v>
      </c>
      <c r="G82" s="189"/>
      <c r="H82" s="1009"/>
      <c r="I82" s="996"/>
      <c r="J82" s="999"/>
    </row>
    <row r="83" spans="2:10" ht="13.5" customHeight="1" thickTop="1">
      <c r="B83" s="69">
        <f>B70+1</f>
        <v>64</v>
      </c>
      <c r="C83" s="9"/>
      <c r="D83" s="9"/>
      <c r="E83" s="11"/>
      <c r="F83" s="460" t="s">
        <v>73</v>
      </c>
      <c r="G83" s="461"/>
      <c r="H83" s="462">
        <f>H84+H88+H94+H96+H101+H105+H106+H95</f>
        <v>652500</v>
      </c>
      <c r="I83" s="462">
        <f>I84+I88+I94+I95+I96+I101</f>
        <v>-40000</v>
      </c>
      <c r="J83" s="715">
        <f aca="true" t="shared" si="2" ref="J83:J146">I83+H83</f>
        <v>612500</v>
      </c>
    </row>
    <row r="84" spans="2:10" ht="12.75">
      <c r="B84" s="95">
        <f>B83+1</f>
        <v>65</v>
      </c>
      <c r="C84" s="72"/>
      <c r="D84" s="72"/>
      <c r="E84" s="3"/>
      <c r="F84" s="105" t="s">
        <v>74</v>
      </c>
      <c r="G84" s="21"/>
      <c r="H84" s="418">
        <f>SUM(H85:H87)</f>
        <v>116000</v>
      </c>
      <c r="I84" s="418">
        <f>I85+I86</f>
        <v>-11000</v>
      </c>
      <c r="J84" s="716">
        <f t="shared" si="2"/>
        <v>105000</v>
      </c>
    </row>
    <row r="85" spans="2:10" ht="12.75">
      <c r="B85" s="95">
        <f aca="true" t="shared" si="3" ref="B85:B149">B84+1</f>
        <v>66</v>
      </c>
      <c r="C85" s="14"/>
      <c r="D85" s="14" t="s">
        <v>58</v>
      </c>
      <c r="E85" s="3" t="s">
        <v>32</v>
      </c>
      <c r="F85" s="85" t="s">
        <v>187</v>
      </c>
      <c r="G85" s="21"/>
      <c r="H85" s="422">
        <f>95000+6000</f>
        <v>101000</v>
      </c>
      <c r="I85" s="422">
        <v>-10000</v>
      </c>
      <c r="J85" s="717">
        <f t="shared" si="2"/>
        <v>91000</v>
      </c>
    </row>
    <row r="86" spans="2:10" ht="12.75">
      <c r="B86" s="95">
        <f t="shared" si="3"/>
        <v>67</v>
      </c>
      <c r="C86" s="72"/>
      <c r="D86" s="72" t="s">
        <v>58</v>
      </c>
      <c r="E86" s="73" t="s">
        <v>24</v>
      </c>
      <c r="F86" s="67" t="s">
        <v>188</v>
      </c>
      <c r="G86" s="22"/>
      <c r="H86" s="425">
        <v>9000</v>
      </c>
      <c r="I86" s="425">
        <v>-1000</v>
      </c>
      <c r="J86" s="718">
        <f t="shared" si="2"/>
        <v>8000</v>
      </c>
    </row>
    <row r="87" spans="2:10" ht="12.75">
      <c r="B87" s="95">
        <f t="shared" si="3"/>
        <v>68</v>
      </c>
      <c r="C87" s="72"/>
      <c r="D87" s="72" t="s">
        <v>58</v>
      </c>
      <c r="E87" s="73" t="s">
        <v>24</v>
      </c>
      <c r="F87" s="67" t="s">
        <v>189</v>
      </c>
      <c r="G87" s="22"/>
      <c r="H87" s="425">
        <v>6000</v>
      </c>
      <c r="I87" s="425"/>
      <c r="J87" s="718">
        <f t="shared" si="2"/>
        <v>6000</v>
      </c>
    </row>
    <row r="88" spans="2:10" ht="12.75">
      <c r="B88" s="95">
        <f t="shared" si="3"/>
        <v>69</v>
      </c>
      <c r="C88" s="72"/>
      <c r="D88" s="72"/>
      <c r="E88" s="73"/>
      <c r="F88" s="106" t="s">
        <v>76</v>
      </c>
      <c r="G88" s="22"/>
      <c r="H88" s="430">
        <f>SUM(H89:H93)</f>
        <v>118500</v>
      </c>
      <c r="I88" s="430">
        <f>SUM(I89:I93)</f>
        <v>-28000</v>
      </c>
      <c r="J88" s="719">
        <f t="shared" si="2"/>
        <v>90500</v>
      </c>
    </row>
    <row r="89" spans="2:10" ht="12.75">
      <c r="B89" s="95">
        <f t="shared" si="3"/>
        <v>70</v>
      </c>
      <c r="C89" s="72"/>
      <c r="D89" s="72" t="s">
        <v>58</v>
      </c>
      <c r="E89" s="73" t="s">
        <v>30</v>
      </c>
      <c r="F89" s="67" t="s">
        <v>196</v>
      </c>
      <c r="G89" s="22"/>
      <c r="H89" s="425">
        <v>109000</v>
      </c>
      <c r="I89" s="422">
        <v>-27000</v>
      </c>
      <c r="J89" s="718">
        <f t="shared" si="2"/>
        <v>82000</v>
      </c>
    </row>
    <row r="90" spans="2:10" ht="12.75">
      <c r="B90" s="95">
        <f t="shared" si="3"/>
        <v>71</v>
      </c>
      <c r="C90" s="72"/>
      <c r="D90" s="72" t="s">
        <v>58</v>
      </c>
      <c r="E90" s="73" t="s">
        <v>30</v>
      </c>
      <c r="F90" s="67" t="s">
        <v>191</v>
      </c>
      <c r="G90" s="22"/>
      <c r="H90" s="425">
        <v>0</v>
      </c>
      <c r="I90" s="425"/>
      <c r="J90" s="718">
        <f t="shared" si="2"/>
        <v>0</v>
      </c>
    </row>
    <row r="91" spans="2:10" ht="12.75">
      <c r="B91" s="95">
        <f t="shared" si="3"/>
        <v>72</v>
      </c>
      <c r="C91" s="72"/>
      <c r="D91" s="72" t="s">
        <v>58</v>
      </c>
      <c r="E91" s="73" t="s">
        <v>30</v>
      </c>
      <c r="F91" s="67" t="s">
        <v>186</v>
      </c>
      <c r="G91" s="22"/>
      <c r="H91" s="425">
        <v>0</v>
      </c>
      <c r="I91" s="425"/>
      <c r="J91" s="718">
        <f t="shared" si="2"/>
        <v>0</v>
      </c>
    </row>
    <row r="92" spans="2:10" ht="12.75">
      <c r="B92" s="95">
        <f t="shared" si="3"/>
        <v>73</v>
      </c>
      <c r="C92" s="72"/>
      <c r="D92" s="72" t="s">
        <v>58</v>
      </c>
      <c r="E92" s="73" t="s">
        <v>30</v>
      </c>
      <c r="F92" s="67" t="s">
        <v>197</v>
      </c>
      <c r="G92" s="22"/>
      <c r="H92" s="425">
        <v>2500</v>
      </c>
      <c r="I92" s="425"/>
      <c r="J92" s="718">
        <f t="shared" si="2"/>
        <v>2500</v>
      </c>
    </row>
    <row r="93" spans="2:10" ht="12.75" customHeight="1">
      <c r="B93" s="95">
        <f t="shared" si="3"/>
        <v>74</v>
      </c>
      <c r="C93" s="72"/>
      <c r="D93" s="72" t="s">
        <v>58</v>
      </c>
      <c r="E93" s="73" t="s">
        <v>30</v>
      </c>
      <c r="F93" s="67" t="s">
        <v>77</v>
      </c>
      <c r="G93" s="22"/>
      <c r="H93" s="425">
        <v>7000</v>
      </c>
      <c r="I93" s="425">
        <v>-1000</v>
      </c>
      <c r="J93" s="718">
        <f t="shared" si="2"/>
        <v>6000</v>
      </c>
    </row>
    <row r="94" spans="2:10" ht="12.75" customHeight="1">
      <c r="B94" s="95">
        <f t="shared" si="3"/>
        <v>75</v>
      </c>
      <c r="C94" s="72"/>
      <c r="D94" s="72"/>
      <c r="E94" s="73"/>
      <c r="F94" s="106" t="s">
        <v>149</v>
      </c>
      <c r="G94" s="22"/>
      <c r="H94" s="430">
        <v>3000</v>
      </c>
      <c r="I94" s="430">
        <v>-1000</v>
      </c>
      <c r="J94" s="719">
        <f t="shared" si="2"/>
        <v>2000</v>
      </c>
    </row>
    <row r="95" spans="2:10" ht="12.75" customHeight="1">
      <c r="B95" s="95">
        <f t="shared" si="3"/>
        <v>76</v>
      </c>
      <c r="C95" s="72"/>
      <c r="D95" s="72"/>
      <c r="E95" s="73"/>
      <c r="F95" s="106" t="s">
        <v>180</v>
      </c>
      <c r="G95" s="22"/>
      <c r="H95" s="430">
        <v>2000</v>
      </c>
      <c r="I95" s="430">
        <v>-2000</v>
      </c>
      <c r="J95" s="719">
        <f t="shared" si="2"/>
        <v>0</v>
      </c>
    </row>
    <row r="96" spans="2:10" ht="12.75" customHeight="1">
      <c r="B96" s="95">
        <f t="shared" si="3"/>
        <v>77</v>
      </c>
      <c r="C96" s="72"/>
      <c r="D96" s="72"/>
      <c r="E96" s="73"/>
      <c r="F96" s="106" t="s">
        <v>75</v>
      </c>
      <c r="G96" s="22"/>
      <c r="H96" s="430">
        <f>SUM(H97:H99)</f>
        <v>270000</v>
      </c>
      <c r="I96" s="430">
        <f>SUM(I97:I99)</f>
        <v>-9000</v>
      </c>
      <c r="J96" s="719">
        <f t="shared" si="2"/>
        <v>261000</v>
      </c>
    </row>
    <row r="97" spans="2:10" ht="13.5" customHeight="1">
      <c r="B97" s="95">
        <f t="shared" si="3"/>
        <v>78</v>
      </c>
      <c r="C97" s="72"/>
      <c r="D97" s="72" t="s">
        <v>58</v>
      </c>
      <c r="E97" s="73" t="s">
        <v>30</v>
      </c>
      <c r="F97" s="67" t="s">
        <v>193</v>
      </c>
      <c r="G97" s="22"/>
      <c r="H97" s="425">
        <f>22000-1000</f>
        <v>21000</v>
      </c>
      <c r="I97" s="425">
        <v>-3000</v>
      </c>
      <c r="J97" s="718">
        <f t="shared" si="2"/>
        <v>18000</v>
      </c>
    </row>
    <row r="98" spans="2:10" ht="12.75">
      <c r="B98" s="95">
        <f t="shared" si="3"/>
        <v>79</v>
      </c>
      <c r="C98" s="72"/>
      <c r="D98" s="72" t="s">
        <v>58</v>
      </c>
      <c r="E98" s="73" t="s">
        <v>30</v>
      </c>
      <c r="F98" s="67" t="s">
        <v>192</v>
      </c>
      <c r="G98" s="22"/>
      <c r="H98" s="425">
        <f>115000+2000</f>
        <v>117000</v>
      </c>
      <c r="I98" s="425">
        <v>-3000</v>
      </c>
      <c r="J98" s="718">
        <f t="shared" si="2"/>
        <v>114000</v>
      </c>
    </row>
    <row r="99" spans="2:10" ht="12.75">
      <c r="B99" s="95">
        <f t="shared" si="3"/>
        <v>80</v>
      </c>
      <c r="C99" s="72"/>
      <c r="D99" s="72" t="s">
        <v>58</v>
      </c>
      <c r="E99" s="73" t="s">
        <v>30</v>
      </c>
      <c r="F99" s="67" t="s">
        <v>283</v>
      </c>
      <c r="G99" s="22"/>
      <c r="H99" s="425">
        <f>138000-6000</f>
        <v>132000</v>
      </c>
      <c r="I99" s="425">
        <v>-3000</v>
      </c>
      <c r="J99" s="718">
        <f t="shared" si="2"/>
        <v>129000</v>
      </c>
    </row>
    <row r="100" spans="2:10" ht="12.75">
      <c r="B100" s="95">
        <f t="shared" si="3"/>
        <v>81</v>
      </c>
      <c r="C100" s="72"/>
      <c r="D100" s="72"/>
      <c r="E100" s="73"/>
      <c r="F100" s="85"/>
      <c r="G100" s="22"/>
      <c r="H100" s="425"/>
      <c r="I100" s="425"/>
      <c r="J100" s="718"/>
    </row>
    <row r="101" spans="2:10" ht="12.75">
      <c r="B101" s="95">
        <f t="shared" si="3"/>
        <v>82</v>
      </c>
      <c r="C101" s="72"/>
      <c r="D101" s="73"/>
      <c r="E101" s="73"/>
      <c r="F101" s="106" t="s">
        <v>317</v>
      </c>
      <c r="G101" s="22"/>
      <c r="H101" s="430">
        <f>H102+H103</f>
        <v>122000</v>
      </c>
      <c r="I101" s="430">
        <f>SUM(I102:I103)</f>
        <v>11000</v>
      </c>
      <c r="J101" s="719">
        <f t="shared" si="2"/>
        <v>133000</v>
      </c>
    </row>
    <row r="102" spans="2:10" ht="15.75" customHeight="1">
      <c r="B102" s="95">
        <f t="shared" si="3"/>
        <v>83</v>
      </c>
      <c r="C102" s="72"/>
      <c r="D102" s="3" t="s">
        <v>58</v>
      </c>
      <c r="E102" s="3" t="s">
        <v>30</v>
      </c>
      <c r="F102" s="67" t="s">
        <v>88</v>
      </c>
      <c r="G102" s="21"/>
      <c r="H102" s="425">
        <f>97000+3000</f>
        <v>100000</v>
      </c>
      <c r="I102" s="425"/>
      <c r="J102" s="718">
        <f t="shared" si="2"/>
        <v>100000</v>
      </c>
    </row>
    <row r="103" spans="2:10" ht="13.5" customHeight="1">
      <c r="B103" s="95">
        <f t="shared" si="3"/>
        <v>84</v>
      </c>
      <c r="C103" s="72"/>
      <c r="D103" s="3" t="s">
        <v>58</v>
      </c>
      <c r="E103" s="3" t="s">
        <v>30</v>
      </c>
      <c r="F103" s="67" t="s">
        <v>80</v>
      </c>
      <c r="G103" s="21"/>
      <c r="H103" s="425">
        <v>22000</v>
      </c>
      <c r="I103" s="425">
        <v>11000</v>
      </c>
      <c r="J103" s="718">
        <f t="shared" si="2"/>
        <v>33000</v>
      </c>
    </row>
    <row r="104" spans="2:10" ht="12.75">
      <c r="B104" s="95">
        <f t="shared" si="3"/>
        <v>85</v>
      </c>
      <c r="C104" s="72"/>
      <c r="D104" s="3"/>
      <c r="E104" s="3"/>
      <c r="F104" s="67"/>
      <c r="G104" s="21"/>
      <c r="H104" s="425"/>
      <c r="I104" s="425"/>
      <c r="J104" s="718"/>
    </row>
    <row r="105" spans="2:10" ht="12.75">
      <c r="B105" s="95">
        <f t="shared" si="3"/>
        <v>86</v>
      </c>
      <c r="C105" s="72"/>
      <c r="D105" s="72" t="s">
        <v>45</v>
      </c>
      <c r="E105" s="73" t="s">
        <v>24</v>
      </c>
      <c r="F105" s="85" t="s">
        <v>78</v>
      </c>
      <c r="G105" s="22"/>
      <c r="H105" s="425">
        <v>1000</v>
      </c>
      <c r="I105" s="425"/>
      <c r="J105" s="718">
        <f t="shared" si="2"/>
        <v>1000</v>
      </c>
    </row>
    <row r="106" spans="2:10" ht="12.75">
      <c r="B106" s="95">
        <f t="shared" si="3"/>
        <v>87</v>
      </c>
      <c r="C106" s="72"/>
      <c r="D106" s="72"/>
      <c r="E106" s="73"/>
      <c r="F106" s="85" t="s">
        <v>428</v>
      </c>
      <c r="G106" s="22"/>
      <c r="H106" s="425">
        <v>20000</v>
      </c>
      <c r="I106" s="425"/>
      <c r="J106" s="718">
        <f t="shared" si="2"/>
        <v>20000</v>
      </c>
    </row>
    <row r="107" spans="2:10" ht="12.75">
      <c r="B107" s="95">
        <f t="shared" si="3"/>
        <v>88</v>
      </c>
      <c r="C107" s="72"/>
      <c r="D107" s="72"/>
      <c r="E107" s="73"/>
      <c r="F107" s="85"/>
      <c r="G107" s="22"/>
      <c r="H107" s="427"/>
      <c r="I107" s="427"/>
      <c r="J107" s="720"/>
    </row>
    <row r="108" spans="2:10" ht="12.75">
      <c r="B108" s="95">
        <f t="shared" si="3"/>
        <v>89</v>
      </c>
      <c r="C108" s="9"/>
      <c r="D108" s="91"/>
      <c r="E108" s="107"/>
      <c r="F108" s="460" t="s">
        <v>79</v>
      </c>
      <c r="G108" s="461"/>
      <c r="H108" s="463">
        <f>H109+H111+H114</f>
        <v>130550</v>
      </c>
      <c r="I108" s="463"/>
      <c r="J108" s="721">
        <f t="shared" si="2"/>
        <v>130550</v>
      </c>
    </row>
    <row r="109" spans="2:10" ht="12.75">
      <c r="B109" s="95">
        <f t="shared" si="3"/>
        <v>90</v>
      </c>
      <c r="C109" s="9" t="s">
        <v>43</v>
      </c>
      <c r="D109" s="9"/>
      <c r="E109" s="11"/>
      <c r="F109" s="74" t="s">
        <v>44</v>
      </c>
      <c r="G109" s="112"/>
      <c r="H109" s="419">
        <f>H110</f>
        <v>6880</v>
      </c>
      <c r="I109" s="419"/>
      <c r="J109" s="722">
        <f t="shared" si="2"/>
        <v>6880</v>
      </c>
    </row>
    <row r="110" spans="2:10" ht="14.25" customHeight="1">
      <c r="B110" s="95">
        <f t="shared" si="3"/>
        <v>91</v>
      </c>
      <c r="C110" s="83"/>
      <c r="D110" s="72" t="s">
        <v>45</v>
      </c>
      <c r="E110" s="12" t="s">
        <v>24</v>
      </c>
      <c r="F110" s="79" t="s">
        <v>85</v>
      </c>
      <c r="G110" s="112"/>
      <c r="H110" s="425">
        <v>6880</v>
      </c>
      <c r="I110" s="425"/>
      <c r="J110" s="718">
        <f t="shared" si="2"/>
        <v>6880</v>
      </c>
    </row>
    <row r="111" spans="2:10" ht="12.75">
      <c r="B111" s="95">
        <f t="shared" si="3"/>
        <v>92</v>
      </c>
      <c r="C111" s="9" t="s">
        <v>50</v>
      </c>
      <c r="D111" s="83"/>
      <c r="E111" s="84"/>
      <c r="F111" s="74" t="s">
        <v>51</v>
      </c>
      <c r="G111" s="112"/>
      <c r="H111" s="419">
        <f>SUM(H112:H113)</f>
        <v>123570</v>
      </c>
      <c r="I111" s="419"/>
      <c r="J111" s="722">
        <f t="shared" si="2"/>
        <v>123570</v>
      </c>
    </row>
    <row r="112" spans="2:10" ht="14.25" customHeight="1">
      <c r="B112" s="95">
        <f t="shared" si="3"/>
        <v>93</v>
      </c>
      <c r="C112" s="83"/>
      <c r="D112" s="73" t="s">
        <v>58</v>
      </c>
      <c r="E112" s="73" t="s">
        <v>32</v>
      </c>
      <c r="F112" s="79" t="s">
        <v>86</v>
      </c>
      <c r="G112" s="112"/>
      <c r="H112" s="425">
        <f>126690-4300</f>
        <v>122390</v>
      </c>
      <c r="I112" s="425"/>
      <c r="J112" s="718">
        <f t="shared" si="2"/>
        <v>122390</v>
      </c>
    </row>
    <row r="113" spans="2:10" ht="12.75">
      <c r="B113" s="95">
        <f t="shared" si="3"/>
        <v>94</v>
      </c>
      <c r="C113" s="83"/>
      <c r="D113" s="73"/>
      <c r="E113" s="73"/>
      <c r="F113" s="79" t="s">
        <v>145</v>
      </c>
      <c r="G113" s="112"/>
      <c r="H113" s="425">
        <v>1180</v>
      </c>
      <c r="I113" s="425"/>
      <c r="J113" s="718">
        <f t="shared" si="2"/>
        <v>1180</v>
      </c>
    </row>
    <row r="114" spans="2:10" ht="12.75" customHeight="1">
      <c r="B114" s="95">
        <f t="shared" si="3"/>
        <v>95</v>
      </c>
      <c r="C114" s="9" t="s">
        <v>62</v>
      </c>
      <c r="D114" s="90"/>
      <c r="E114" s="92"/>
      <c r="F114" s="74" t="s">
        <v>63</v>
      </c>
      <c r="G114" s="118"/>
      <c r="H114" s="419">
        <v>100</v>
      </c>
      <c r="I114" s="419"/>
      <c r="J114" s="722">
        <f t="shared" si="2"/>
        <v>100</v>
      </c>
    </row>
    <row r="115" spans="2:10" ht="12.75" customHeight="1">
      <c r="B115" s="95">
        <f t="shared" si="3"/>
        <v>96</v>
      </c>
      <c r="C115" s="91"/>
      <c r="D115" s="10" t="s">
        <v>140</v>
      </c>
      <c r="E115" s="92"/>
      <c r="F115" s="85" t="s">
        <v>141</v>
      </c>
      <c r="G115" s="118"/>
      <c r="H115" s="425">
        <v>100</v>
      </c>
      <c r="I115" s="425"/>
      <c r="J115" s="718">
        <f t="shared" si="2"/>
        <v>100</v>
      </c>
    </row>
    <row r="116" spans="2:10" ht="12.75" customHeight="1">
      <c r="B116" s="95">
        <f t="shared" si="3"/>
        <v>97</v>
      </c>
      <c r="C116" s="91"/>
      <c r="D116" s="13"/>
      <c r="E116" s="92"/>
      <c r="F116" s="85" t="s">
        <v>69</v>
      </c>
      <c r="G116" s="118"/>
      <c r="H116" s="425"/>
      <c r="I116" s="425"/>
      <c r="J116" s="718">
        <f t="shared" si="2"/>
        <v>0</v>
      </c>
    </row>
    <row r="117" spans="2:10" ht="12.75" customHeight="1">
      <c r="B117" s="95">
        <f t="shared" si="3"/>
        <v>98</v>
      </c>
      <c r="C117" s="91"/>
      <c r="D117" s="13"/>
      <c r="E117" s="92"/>
      <c r="F117" s="580"/>
      <c r="G117" s="581"/>
      <c r="H117" s="574"/>
      <c r="I117" s="574"/>
      <c r="J117" s="723"/>
    </row>
    <row r="118" spans="2:10" ht="12.75" customHeight="1">
      <c r="B118" s="95">
        <f t="shared" si="3"/>
        <v>99</v>
      </c>
      <c r="C118" s="91"/>
      <c r="D118" s="96"/>
      <c r="E118" s="107"/>
      <c r="F118" s="464" t="s">
        <v>143</v>
      </c>
      <c r="G118" s="465"/>
      <c r="H118" s="466"/>
      <c r="I118" s="466"/>
      <c r="J118" s="724"/>
    </row>
    <row r="119" spans="2:10" ht="13.5" customHeight="1">
      <c r="B119" s="95">
        <f t="shared" si="3"/>
        <v>100</v>
      </c>
      <c r="C119" s="9"/>
      <c r="D119" s="16"/>
      <c r="E119" s="108"/>
      <c r="F119" s="460" t="s">
        <v>144</v>
      </c>
      <c r="G119" s="461"/>
      <c r="H119" s="477">
        <f>H120+H122</f>
        <v>226470</v>
      </c>
      <c r="I119" s="477"/>
      <c r="J119" s="715">
        <f t="shared" si="2"/>
        <v>226470</v>
      </c>
    </row>
    <row r="120" spans="2:10" ht="12.75">
      <c r="B120" s="95">
        <f t="shared" si="3"/>
        <v>101</v>
      </c>
      <c r="C120" s="9" t="s">
        <v>43</v>
      </c>
      <c r="D120" s="9"/>
      <c r="E120" s="11"/>
      <c r="F120" s="74" t="s">
        <v>44</v>
      </c>
      <c r="G120" s="112"/>
      <c r="H120" s="419">
        <f>H121</f>
        <v>106670</v>
      </c>
      <c r="I120" s="419"/>
      <c r="J120" s="722">
        <f t="shared" si="2"/>
        <v>106670</v>
      </c>
    </row>
    <row r="121" spans="2:10" ht="12.75">
      <c r="B121" s="95">
        <f t="shared" si="3"/>
        <v>102</v>
      </c>
      <c r="C121" s="83"/>
      <c r="D121" s="72" t="s">
        <v>45</v>
      </c>
      <c r="E121" s="80" t="s">
        <v>24</v>
      </c>
      <c r="F121" s="79" t="s">
        <v>85</v>
      </c>
      <c r="G121" s="112"/>
      <c r="H121" s="425">
        <v>106670</v>
      </c>
      <c r="I121" s="425"/>
      <c r="J121" s="718">
        <f t="shared" si="2"/>
        <v>106670</v>
      </c>
    </row>
    <row r="122" spans="2:10" ht="12.75">
      <c r="B122" s="95">
        <f t="shared" si="3"/>
        <v>103</v>
      </c>
      <c r="C122" s="9" t="s">
        <v>50</v>
      </c>
      <c r="D122" s="83"/>
      <c r="E122" s="84"/>
      <c r="F122" s="74" t="s">
        <v>51</v>
      </c>
      <c r="G122" s="112"/>
      <c r="H122" s="419">
        <f>SUM(H123:H124)</f>
        <v>119800</v>
      </c>
      <c r="I122" s="419"/>
      <c r="J122" s="722">
        <f t="shared" si="2"/>
        <v>119800</v>
      </c>
    </row>
    <row r="123" spans="2:10" ht="12.75">
      <c r="B123" s="95">
        <f t="shared" si="3"/>
        <v>104</v>
      </c>
      <c r="C123" s="83"/>
      <c r="D123" s="73" t="s">
        <v>58</v>
      </c>
      <c r="E123" s="73" t="s">
        <v>32</v>
      </c>
      <c r="F123" s="79" t="s">
        <v>87</v>
      </c>
      <c r="G123" s="112"/>
      <c r="H123" s="425">
        <v>63200</v>
      </c>
      <c r="I123" s="425"/>
      <c r="J123" s="718">
        <f t="shared" si="2"/>
        <v>63200</v>
      </c>
    </row>
    <row r="124" spans="2:10" ht="12.75">
      <c r="B124" s="95">
        <f t="shared" si="3"/>
        <v>105</v>
      </c>
      <c r="C124" s="83"/>
      <c r="D124" s="73" t="s">
        <v>58</v>
      </c>
      <c r="E124" s="73" t="s">
        <v>32</v>
      </c>
      <c r="F124" s="75" t="s">
        <v>145</v>
      </c>
      <c r="G124" s="112"/>
      <c r="H124" s="425">
        <v>56600</v>
      </c>
      <c r="I124" s="425"/>
      <c r="J124" s="718">
        <f t="shared" si="2"/>
        <v>56600</v>
      </c>
    </row>
    <row r="125" spans="2:10" ht="12.75" customHeight="1">
      <c r="B125" s="95">
        <f t="shared" si="3"/>
        <v>106</v>
      </c>
      <c r="C125" s="9"/>
      <c r="D125" s="3"/>
      <c r="E125" s="3"/>
      <c r="F125" s="85"/>
      <c r="G125" s="21"/>
      <c r="H125" s="425"/>
      <c r="I125" s="425"/>
      <c r="J125" s="718"/>
    </row>
    <row r="126" spans="2:10" ht="12.75" customHeight="1">
      <c r="B126" s="95">
        <f t="shared" si="3"/>
        <v>107</v>
      </c>
      <c r="C126" s="9"/>
      <c r="D126" s="3"/>
      <c r="E126" s="3"/>
      <c r="F126" s="85"/>
      <c r="G126" s="21"/>
      <c r="H126" s="425"/>
      <c r="I126" s="425"/>
      <c r="J126" s="718"/>
    </row>
    <row r="127" spans="2:10" ht="12.75" customHeight="1">
      <c r="B127" s="95">
        <f t="shared" si="3"/>
        <v>108</v>
      </c>
      <c r="C127" s="9"/>
      <c r="D127" s="16"/>
      <c r="E127" s="11"/>
      <c r="F127" s="460" t="s">
        <v>142</v>
      </c>
      <c r="G127" s="461"/>
      <c r="H127" s="463">
        <f>90900-12200</f>
        <v>78700</v>
      </c>
      <c r="I127" s="463"/>
      <c r="J127" s="721">
        <f t="shared" si="2"/>
        <v>78700</v>
      </c>
    </row>
    <row r="128" spans="2:10" ht="12" customHeight="1">
      <c r="B128" s="95">
        <f t="shared" si="3"/>
        <v>109</v>
      </c>
      <c r="C128" s="9"/>
      <c r="D128" s="12"/>
      <c r="E128" s="84"/>
      <c r="F128" s="85"/>
      <c r="G128" s="112"/>
      <c r="H128" s="425"/>
      <c r="I128" s="425"/>
      <c r="J128" s="718"/>
    </row>
    <row r="129" spans="2:10" ht="19.5" customHeight="1">
      <c r="B129" s="882">
        <f t="shared" si="3"/>
        <v>110</v>
      </c>
      <c r="C129" s="246" t="s">
        <v>89</v>
      </c>
      <c r="D129" s="247"/>
      <c r="E129" s="248"/>
      <c r="F129" s="250" t="s">
        <v>90</v>
      </c>
      <c r="G129" s="249"/>
      <c r="H129" s="456">
        <f>H131</f>
        <v>5775952</v>
      </c>
      <c r="I129" s="912">
        <f>SUM(I131:I145)</f>
        <v>0</v>
      </c>
      <c r="J129" s="725">
        <f t="shared" si="2"/>
        <v>5775952</v>
      </c>
    </row>
    <row r="130" spans="2:10" ht="12.75">
      <c r="B130" s="95">
        <f t="shared" si="3"/>
        <v>111</v>
      </c>
      <c r="C130" s="9"/>
      <c r="D130" s="10"/>
      <c r="E130" s="12"/>
      <c r="F130" s="105"/>
      <c r="G130" s="112"/>
      <c r="H130" s="428"/>
      <c r="I130" s="428"/>
      <c r="J130" s="726"/>
    </row>
    <row r="131" spans="2:10" ht="12.75">
      <c r="B131" s="95">
        <f t="shared" si="3"/>
        <v>112</v>
      </c>
      <c r="C131" s="9"/>
      <c r="D131" s="10" t="s">
        <v>91</v>
      </c>
      <c r="E131" s="12"/>
      <c r="F131" s="105" t="s">
        <v>92</v>
      </c>
      <c r="G131" s="112"/>
      <c r="H131" s="419">
        <f>H132</f>
        <v>5775952</v>
      </c>
      <c r="I131" s="419"/>
      <c r="J131" s="722">
        <f t="shared" si="2"/>
        <v>5775952</v>
      </c>
    </row>
    <row r="132" spans="2:10" ht="12.75">
      <c r="B132" s="95">
        <f t="shared" si="3"/>
        <v>113</v>
      </c>
      <c r="C132" s="9"/>
      <c r="D132" s="12"/>
      <c r="E132" s="12" t="s">
        <v>30</v>
      </c>
      <c r="F132" s="67" t="s">
        <v>93</v>
      </c>
      <c r="G132" s="112"/>
      <c r="H132" s="428">
        <f>SUM(H133:H148)</f>
        <v>5775952</v>
      </c>
      <c r="I132" s="428"/>
      <c r="J132" s="726">
        <f t="shared" si="2"/>
        <v>5775952</v>
      </c>
    </row>
    <row r="133" spans="2:10" ht="12.75">
      <c r="B133" s="95">
        <f t="shared" si="3"/>
        <v>114</v>
      </c>
      <c r="C133" s="91"/>
      <c r="D133" s="13"/>
      <c r="E133" s="13"/>
      <c r="F133" s="144" t="s">
        <v>94</v>
      </c>
      <c r="G133" s="118"/>
      <c r="H133" s="429">
        <v>5028530</v>
      </c>
      <c r="I133" s="429"/>
      <c r="J133" s="727">
        <f t="shared" si="2"/>
        <v>5028530</v>
      </c>
    </row>
    <row r="134" spans="2:10" ht="12.75">
      <c r="B134" s="95">
        <f t="shared" si="3"/>
        <v>115</v>
      </c>
      <c r="C134" s="9"/>
      <c r="D134" s="12"/>
      <c r="E134" s="12"/>
      <c r="F134" s="71" t="s">
        <v>218</v>
      </c>
      <c r="G134" s="112"/>
      <c r="H134" s="425">
        <v>79650</v>
      </c>
      <c r="I134" s="425"/>
      <c r="J134" s="718">
        <f t="shared" si="2"/>
        <v>79650</v>
      </c>
    </row>
    <row r="135" spans="2:10" ht="12.75">
      <c r="B135" s="95">
        <f t="shared" si="3"/>
        <v>116</v>
      </c>
      <c r="C135" s="9"/>
      <c r="D135" s="12"/>
      <c r="E135" s="12"/>
      <c r="F135" s="79" t="s">
        <v>95</v>
      </c>
      <c r="G135" s="112"/>
      <c r="H135" s="425">
        <v>433090</v>
      </c>
      <c r="I135" s="425"/>
      <c r="J135" s="718">
        <f t="shared" si="2"/>
        <v>433090</v>
      </c>
    </row>
    <row r="136" spans="2:10" ht="12.75">
      <c r="B136" s="95">
        <f t="shared" si="3"/>
        <v>117</v>
      </c>
      <c r="C136" s="9"/>
      <c r="D136" s="16"/>
      <c r="E136" s="11"/>
      <c r="F136" s="79" t="s">
        <v>96</v>
      </c>
      <c r="G136" s="112"/>
      <c r="H136" s="425">
        <v>66631</v>
      </c>
      <c r="I136" s="425"/>
      <c r="J136" s="718">
        <f t="shared" si="2"/>
        <v>66631</v>
      </c>
    </row>
    <row r="137" spans="2:10" ht="12.75">
      <c r="B137" s="95">
        <f t="shared" si="3"/>
        <v>118</v>
      </c>
      <c r="C137" s="9"/>
      <c r="D137" s="16"/>
      <c r="E137" s="11"/>
      <c r="F137" s="79" t="s">
        <v>84</v>
      </c>
      <c r="G137" s="112"/>
      <c r="H137" s="425">
        <v>50000</v>
      </c>
      <c r="I137" s="425"/>
      <c r="J137" s="718">
        <f t="shared" si="2"/>
        <v>50000</v>
      </c>
    </row>
    <row r="138" spans="2:10" ht="12.75">
      <c r="B138" s="95">
        <f t="shared" si="3"/>
        <v>119</v>
      </c>
      <c r="C138" s="9"/>
      <c r="D138" s="16"/>
      <c r="E138" s="11"/>
      <c r="F138" s="79" t="s">
        <v>429</v>
      </c>
      <c r="G138" s="112"/>
      <c r="H138" s="425">
        <v>5584</v>
      </c>
      <c r="I138" s="425"/>
      <c r="J138" s="718">
        <f t="shared" si="2"/>
        <v>5584</v>
      </c>
    </row>
    <row r="139" spans="2:10" ht="12.75">
      <c r="B139" s="95">
        <f t="shared" si="3"/>
        <v>120</v>
      </c>
      <c r="C139" s="9"/>
      <c r="D139" s="16"/>
      <c r="E139" s="11"/>
      <c r="F139" s="79" t="s">
        <v>97</v>
      </c>
      <c r="G139" s="112"/>
      <c r="H139" s="425">
        <v>37160</v>
      </c>
      <c r="I139" s="425"/>
      <c r="J139" s="718">
        <f t="shared" si="2"/>
        <v>37160</v>
      </c>
    </row>
    <row r="140" spans="2:10" ht="12.75">
      <c r="B140" s="95">
        <f t="shared" si="3"/>
        <v>121</v>
      </c>
      <c r="C140" s="9"/>
      <c r="D140" s="16"/>
      <c r="E140" s="11"/>
      <c r="F140" s="79" t="s">
        <v>2</v>
      </c>
      <c r="G140" s="112"/>
      <c r="H140" s="425">
        <v>18700</v>
      </c>
      <c r="I140" s="425"/>
      <c r="J140" s="718">
        <f t="shared" si="2"/>
        <v>18700</v>
      </c>
    </row>
    <row r="141" spans="2:10" ht="12.75">
      <c r="B141" s="95">
        <f t="shared" si="3"/>
        <v>122</v>
      </c>
      <c r="C141" s="91"/>
      <c r="D141" s="96"/>
      <c r="E141" s="710"/>
      <c r="F141" s="87" t="s">
        <v>98</v>
      </c>
      <c r="G141" s="118"/>
      <c r="H141" s="429">
        <v>22500</v>
      </c>
      <c r="I141" s="429"/>
      <c r="J141" s="727">
        <f t="shared" si="2"/>
        <v>22500</v>
      </c>
    </row>
    <row r="142" spans="2:10" ht="12.75" customHeight="1">
      <c r="B142" s="95">
        <f t="shared" si="3"/>
        <v>123</v>
      </c>
      <c r="C142" s="91"/>
      <c r="D142" s="10"/>
      <c r="E142" s="710"/>
      <c r="F142" s="87" t="s">
        <v>430</v>
      </c>
      <c r="G142" s="118"/>
      <c r="H142" s="429">
        <v>17163</v>
      </c>
      <c r="I142" s="429"/>
      <c r="J142" s="727">
        <f t="shared" si="2"/>
        <v>17163</v>
      </c>
    </row>
    <row r="143" spans="2:10" ht="12.75" customHeight="1">
      <c r="B143" s="95">
        <f t="shared" si="3"/>
        <v>124</v>
      </c>
      <c r="C143" s="91"/>
      <c r="D143" s="13"/>
      <c r="E143" s="710"/>
      <c r="F143" s="87" t="s">
        <v>445</v>
      </c>
      <c r="G143" s="118"/>
      <c r="H143" s="429">
        <v>7000</v>
      </c>
      <c r="I143" s="429"/>
      <c r="J143" s="727">
        <f t="shared" si="2"/>
        <v>7000</v>
      </c>
    </row>
    <row r="144" spans="2:10" ht="12.75" customHeight="1">
      <c r="B144" s="95">
        <f t="shared" si="3"/>
        <v>125</v>
      </c>
      <c r="C144" s="91"/>
      <c r="D144" s="13"/>
      <c r="E144" s="710"/>
      <c r="F144" s="87" t="s">
        <v>446</v>
      </c>
      <c r="G144" s="118"/>
      <c r="H144" s="429">
        <v>2000</v>
      </c>
      <c r="I144" s="429"/>
      <c r="J144" s="727">
        <f t="shared" si="2"/>
        <v>2000</v>
      </c>
    </row>
    <row r="145" spans="2:10" ht="12.75" customHeight="1">
      <c r="B145" s="95">
        <f t="shared" si="3"/>
        <v>126</v>
      </c>
      <c r="C145" s="91"/>
      <c r="D145" s="13"/>
      <c r="E145" s="710"/>
      <c r="F145" s="87" t="s">
        <v>447</v>
      </c>
      <c r="G145" s="118"/>
      <c r="H145" s="429">
        <v>1500</v>
      </c>
      <c r="I145" s="429"/>
      <c r="J145" s="727">
        <f t="shared" si="2"/>
        <v>1500</v>
      </c>
    </row>
    <row r="146" spans="2:10" ht="12.75" customHeight="1">
      <c r="B146" s="95">
        <f t="shared" si="3"/>
        <v>127</v>
      </c>
      <c r="C146" s="868"/>
      <c r="D146" s="869"/>
      <c r="E146" s="870"/>
      <c r="F146" s="871" t="s">
        <v>467</v>
      </c>
      <c r="G146" s="581"/>
      <c r="H146" s="872">
        <v>6444</v>
      </c>
      <c r="I146" s="872"/>
      <c r="J146" s="727">
        <f t="shared" si="2"/>
        <v>6444</v>
      </c>
    </row>
    <row r="147" spans="2:10" ht="12.75" customHeight="1">
      <c r="B147" s="95">
        <f t="shared" si="3"/>
        <v>128</v>
      </c>
      <c r="C147" s="868"/>
      <c r="D147" s="869"/>
      <c r="E147" s="870"/>
      <c r="F147" s="871"/>
      <c r="G147" s="581"/>
      <c r="H147" s="872"/>
      <c r="I147" s="872"/>
      <c r="J147" s="881"/>
    </row>
    <row r="148" spans="2:10" ht="12.75" customHeight="1" thickBot="1">
      <c r="B148" s="95">
        <f t="shared" si="3"/>
        <v>129</v>
      </c>
      <c r="C148" s="448"/>
      <c r="D148" s="711"/>
      <c r="E148" s="449"/>
      <c r="F148" s="450"/>
      <c r="G148" s="451"/>
      <c r="H148" s="452"/>
      <c r="I148" s="452"/>
      <c r="J148" s="728"/>
    </row>
    <row r="149" spans="2:12" ht="31.5" customHeight="1" thickBot="1" thickTop="1">
      <c r="B149" s="882">
        <f t="shared" si="3"/>
        <v>130</v>
      </c>
      <c r="C149" s="468"/>
      <c r="D149" s="469"/>
      <c r="E149" s="470"/>
      <c r="F149" s="472" t="s">
        <v>99</v>
      </c>
      <c r="G149" s="471"/>
      <c r="H149" s="584">
        <f>H129+H23+H7</f>
        <v>27075584</v>
      </c>
      <c r="I149" s="913">
        <f>I129+I23+I7</f>
        <v>213400</v>
      </c>
      <c r="J149" s="729">
        <f>I149+H149</f>
        <v>27288984</v>
      </c>
      <c r="L149" s="19"/>
    </row>
    <row r="150" ht="15.75" customHeight="1"/>
    <row r="151" spans="2:9" ht="13.5" customHeight="1">
      <c r="B151"/>
      <c r="C151" s="109"/>
      <c r="D151"/>
      <c r="E151"/>
      <c r="F151"/>
      <c r="G151"/>
      <c r="I151" s="19"/>
    </row>
    <row r="152" spans="2:9" ht="12.75">
      <c r="B152"/>
      <c r="C152" s="109"/>
      <c r="D152"/>
      <c r="E152"/>
      <c r="F152" s="120"/>
      <c r="G152"/>
      <c r="I152" s="19"/>
    </row>
    <row r="153" spans="2:8" ht="12.75">
      <c r="B153" s="110"/>
      <c r="C153" s="110"/>
      <c r="D153"/>
      <c r="E153"/>
      <c r="F153"/>
      <c r="G153"/>
      <c r="H153" s="19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62" ht="15.75" customHeight="1"/>
    <row r="163" ht="13.5" customHeight="1"/>
    <row r="166" spans="2:7" ht="12.75">
      <c r="B166"/>
      <c r="C166"/>
      <c r="D166"/>
      <c r="E166"/>
      <c r="F166" s="7"/>
      <c r="G166" s="7"/>
    </row>
    <row r="167" spans="2:7" ht="12.75">
      <c r="B167"/>
      <c r="C167"/>
      <c r="D167"/>
      <c r="E167"/>
      <c r="F167" s="7"/>
      <c r="G167" s="7"/>
    </row>
    <row r="168" spans="6:7" ht="12.75">
      <c r="F168" s="7"/>
      <c r="G168" s="7"/>
    </row>
    <row r="169" spans="6:7" ht="12.75">
      <c r="F169" s="111"/>
      <c r="G169" s="7"/>
    </row>
    <row r="170" spans="6:7" ht="12.75">
      <c r="F170" s="111"/>
      <c r="G170" s="7"/>
    </row>
    <row r="171" spans="6:7" ht="12.75">
      <c r="F171" s="111"/>
      <c r="G171" s="7"/>
    </row>
    <row r="172" spans="6:7" ht="12.75">
      <c r="F172" s="111"/>
      <c r="G172" s="7"/>
    </row>
    <row r="173" spans="6:7" ht="12.75">
      <c r="F173" s="111"/>
      <c r="G173" s="7"/>
    </row>
    <row r="174" spans="6:7" ht="12.75">
      <c r="F174" s="111"/>
      <c r="G174" s="7"/>
    </row>
    <row r="175" spans="6:7" ht="12.75">
      <c r="F175" s="111"/>
      <c r="G175" s="7"/>
    </row>
    <row r="176" spans="6:7" ht="15.75" customHeight="1">
      <c r="F176" s="111"/>
      <c r="G176" s="7"/>
    </row>
    <row r="177" spans="6:7" ht="13.5" customHeight="1">
      <c r="F177" s="111"/>
      <c r="G177" s="7"/>
    </row>
    <row r="178" spans="6:7" ht="13.5" customHeight="1">
      <c r="F178" s="111"/>
      <c r="G178" s="7"/>
    </row>
    <row r="179" spans="6:7" ht="12.75">
      <c r="F179" s="111"/>
      <c r="G179" s="7"/>
    </row>
    <row r="180" spans="6:7" ht="12.75">
      <c r="F180" s="111"/>
      <c r="G180" s="7"/>
    </row>
    <row r="181" spans="6:7" ht="12.75">
      <c r="F181" s="111"/>
      <c r="G181" s="7"/>
    </row>
    <row r="182" spans="6:7" ht="12.75">
      <c r="F182" s="111"/>
      <c r="G182" s="7"/>
    </row>
    <row r="183" spans="6:7" ht="12.75">
      <c r="F183" s="111"/>
      <c r="G183" s="7"/>
    </row>
    <row r="184" spans="6:7" ht="12.75">
      <c r="F184" s="111"/>
      <c r="G184" s="7"/>
    </row>
    <row r="185" spans="6:7" ht="12.75">
      <c r="F185" s="111"/>
      <c r="G185" s="7"/>
    </row>
    <row r="186" spans="6:7" ht="12.75">
      <c r="F186" s="111"/>
      <c r="G186" s="7"/>
    </row>
    <row r="187" spans="6:7" ht="12.75">
      <c r="F187" s="111"/>
      <c r="G187" s="7"/>
    </row>
    <row r="188" spans="6:7" ht="12.75">
      <c r="F188" s="7"/>
      <c r="G188" s="7"/>
    </row>
  </sheetData>
  <sheetProtection selectLockedCells="1" selectUnlockedCells="1"/>
  <mergeCells count="9">
    <mergeCell ref="I3:I6"/>
    <mergeCell ref="J3:J6"/>
    <mergeCell ref="B1:J1"/>
    <mergeCell ref="I79:I82"/>
    <mergeCell ref="J79:J82"/>
    <mergeCell ref="B79:G80"/>
    <mergeCell ref="H3:H6"/>
    <mergeCell ref="H79:H82"/>
    <mergeCell ref="B3:G4"/>
  </mergeCells>
  <printOptions/>
  <pageMargins left="0.1968503937007874" right="0.1968503937007874" top="0.3937007874015748" bottom="0.15748031496062992" header="0.2755905511811024" footer="0.1574803149606299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54"/>
  <sheetViews>
    <sheetView view="pageBreakPreview" zoomScaleNormal="9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3.7109375" style="5" customWidth="1"/>
    <col min="4" max="4" width="2.28125" style="0" customWidth="1"/>
    <col min="5" max="5" width="43.140625" style="0" customWidth="1"/>
    <col min="6" max="6" width="7.00390625" style="0" customWidth="1"/>
    <col min="7" max="7" width="7.7109375" style="0" customWidth="1"/>
    <col min="8" max="8" width="8.7109375" style="0" customWidth="1"/>
    <col min="9" max="9" width="8.28125" style="0" customWidth="1"/>
    <col min="10" max="12" width="9.8515625" style="0" customWidth="1"/>
    <col min="13" max="13" width="1.7109375" style="124" customWidth="1"/>
    <col min="14" max="14" width="6.8515625" style="0" customWidth="1"/>
    <col min="15" max="15" width="8.00390625" style="0" customWidth="1"/>
    <col min="16" max="16" width="9.28125" style="0" customWidth="1"/>
    <col min="17" max="17" width="9.00390625" style="0" customWidth="1"/>
    <col min="18" max="18" width="9.8515625" style="0" customWidth="1"/>
    <col min="19" max="19" width="1.1484375" style="47" customWidth="1"/>
    <col min="20" max="20" width="12.00390625" style="0" customWidth="1"/>
    <col min="21" max="21" width="11.00390625" style="0" customWidth="1"/>
    <col min="22" max="22" width="11.7109375" style="0" customWidth="1"/>
    <col min="23" max="23" width="3.8515625" style="0" customWidth="1"/>
  </cols>
  <sheetData>
    <row r="1" spans="10:21" ht="15.75" customHeight="1">
      <c r="J1" s="193"/>
      <c r="K1" s="193"/>
      <c r="L1" s="193"/>
      <c r="M1" s="292"/>
      <c r="N1" s="45"/>
      <c r="O1" s="45"/>
      <c r="P1" s="51"/>
      <c r="Q1" s="51"/>
      <c r="R1" s="51"/>
      <c r="S1" s="266"/>
      <c r="T1" s="267"/>
      <c r="U1" s="45"/>
    </row>
    <row r="2" spans="2:22" ht="29.25" customHeight="1">
      <c r="B2" s="981"/>
      <c r="C2" s="982" t="s">
        <v>244</v>
      </c>
      <c r="D2" s="970"/>
      <c r="E2" s="970"/>
      <c r="F2" s="970"/>
      <c r="G2" s="970"/>
      <c r="H2" s="970"/>
      <c r="I2" s="979"/>
      <c r="J2" s="987"/>
      <c r="K2" s="987"/>
      <c r="L2" s="987"/>
      <c r="M2" s="987"/>
      <c r="N2" s="979"/>
      <c r="O2" s="970"/>
      <c r="P2" s="970"/>
      <c r="Q2" s="970"/>
      <c r="R2" s="970"/>
      <c r="S2" s="979"/>
      <c r="T2" s="988"/>
      <c r="U2" s="970"/>
      <c r="V2" s="970"/>
    </row>
    <row r="3" spans="2:22" ht="6" customHeight="1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9"/>
      <c r="T3" s="970"/>
      <c r="U3" s="970"/>
      <c r="V3" s="970"/>
    </row>
    <row r="4" spans="2:22" ht="12.75" customHeight="1" thickBot="1">
      <c r="B4" s="1089" t="s">
        <v>316</v>
      </c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1"/>
      <c r="S4" s="253"/>
      <c r="T4" s="1029" t="s">
        <v>450</v>
      </c>
      <c r="U4" s="1051" t="s">
        <v>451</v>
      </c>
      <c r="V4" s="1042" t="s">
        <v>452</v>
      </c>
    </row>
    <row r="5" spans="2:22" ht="18.75" customHeight="1" thickTop="1">
      <c r="B5" s="1086" t="s">
        <v>12</v>
      </c>
      <c r="C5" s="1087"/>
      <c r="D5" s="1087"/>
      <c r="E5" s="1087"/>
      <c r="F5" s="1087"/>
      <c r="G5" s="1087"/>
      <c r="H5" s="1087"/>
      <c r="I5" s="1087"/>
      <c r="J5" s="1087"/>
      <c r="K5" s="1087"/>
      <c r="L5" s="1088"/>
      <c r="M5" s="410"/>
      <c r="N5" s="1086" t="s">
        <v>300</v>
      </c>
      <c r="O5" s="1087"/>
      <c r="P5" s="1087"/>
      <c r="Q5" s="1087"/>
      <c r="R5" s="1088"/>
      <c r="S5" s="254"/>
      <c r="T5" s="1030"/>
      <c r="U5" s="1052"/>
      <c r="V5" s="1043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393"/>
      <c r="N6" s="1039" t="s">
        <v>11</v>
      </c>
      <c r="O6" s="1025"/>
      <c r="P6" s="1025"/>
      <c r="Q6" s="1025"/>
      <c r="R6" s="1026"/>
      <c r="S6" s="15"/>
      <c r="T6" s="1030"/>
      <c r="U6" s="1052"/>
      <c r="V6" s="1043"/>
    </row>
    <row r="7" spans="2:22" ht="39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38">
        <v>640</v>
      </c>
      <c r="J7" s="1027" t="s">
        <v>450</v>
      </c>
      <c r="K7" s="1034" t="s">
        <v>451</v>
      </c>
      <c r="L7" s="1040" t="s">
        <v>452</v>
      </c>
      <c r="M7" s="173"/>
      <c r="N7" s="1077">
        <v>713</v>
      </c>
      <c r="O7" s="1032">
        <v>717</v>
      </c>
      <c r="P7" s="1027" t="s">
        <v>450</v>
      </c>
      <c r="Q7" s="1034" t="s">
        <v>451</v>
      </c>
      <c r="R7" s="1040" t="s">
        <v>452</v>
      </c>
      <c r="S7" s="255"/>
      <c r="T7" s="1030"/>
      <c r="U7" s="1052"/>
      <c r="V7" s="1043"/>
    </row>
    <row r="8" spans="2:22" ht="33.75" customHeight="1" thickBot="1">
      <c r="B8" s="41"/>
      <c r="C8" s="1055"/>
      <c r="D8" s="1055"/>
      <c r="E8" s="52"/>
      <c r="F8" s="1036"/>
      <c r="G8" s="1032"/>
      <c r="H8" s="1032"/>
      <c r="I8" s="1033"/>
      <c r="J8" s="1028"/>
      <c r="K8" s="1035"/>
      <c r="L8" s="1041"/>
      <c r="M8" s="415"/>
      <c r="N8" s="1077"/>
      <c r="O8" s="1032"/>
      <c r="P8" s="1028"/>
      <c r="Q8" s="1035"/>
      <c r="R8" s="1041"/>
      <c r="S8" s="200"/>
      <c r="T8" s="1031"/>
      <c r="U8" s="1053"/>
      <c r="V8" s="1044"/>
    </row>
    <row r="9" spans="2:22" ht="25.5" customHeight="1" thickBot="1" thickTop="1">
      <c r="B9" s="123">
        <v>1</v>
      </c>
      <c r="C9" s="206" t="s">
        <v>245</v>
      </c>
      <c r="D9" s="326"/>
      <c r="E9" s="327"/>
      <c r="F9" s="328">
        <f>F10+F11+F14+F48</f>
        <v>73250</v>
      </c>
      <c r="G9" s="329">
        <f>G10+G11+G14+G48</f>
        <v>26761</v>
      </c>
      <c r="H9" s="329">
        <f>H10+H11+H14+H48</f>
        <v>555404</v>
      </c>
      <c r="I9" s="280">
        <f>I10+I11+I14+I48</f>
        <v>322330</v>
      </c>
      <c r="J9" s="676">
        <f aca="true" t="shared" si="0" ref="J9:J50">SUM(F9:I9)</f>
        <v>977745</v>
      </c>
      <c r="K9" s="953">
        <f>K10+K11+K14+K48</f>
        <v>-104481</v>
      </c>
      <c r="L9" s="790">
        <f>J9+K9</f>
        <v>873264</v>
      </c>
      <c r="M9" s="411"/>
      <c r="N9" s="330">
        <f>N10+N11+N14</f>
        <v>46350</v>
      </c>
      <c r="O9" s="329">
        <f>O10+O11+O14+O48</f>
        <v>485746</v>
      </c>
      <c r="P9" s="664">
        <f>SUM(N9:O9)</f>
        <v>532096</v>
      </c>
      <c r="Q9" s="946">
        <f>Q10+Q11+Q14+Q48</f>
        <v>-83118</v>
      </c>
      <c r="R9" s="784">
        <f>P9+Q9</f>
        <v>448978</v>
      </c>
      <c r="S9" s="281"/>
      <c r="T9" s="962">
        <f aca="true" t="shared" si="1" ref="T9:U16">J9+P9</f>
        <v>1509841</v>
      </c>
      <c r="U9" s="963">
        <f t="shared" si="1"/>
        <v>-187599</v>
      </c>
      <c r="V9" s="964">
        <f>T9+U9</f>
        <v>1322242</v>
      </c>
    </row>
    <row r="10" spans="2:22" ht="15.75" thickTop="1">
      <c r="B10" s="31">
        <f aca="true" t="shared" si="2" ref="B10:B49">B9+1</f>
        <v>2</v>
      </c>
      <c r="C10" s="42">
        <v>1</v>
      </c>
      <c r="D10" s="43" t="s">
        <v>130</v>
      </c>
      <c r="E10" s="44"/>
      <c r="F10" s="158"/>
      <c r="G10" s="162"/>
      <c r="H10" s="162"/>
      <c r="I10" s="162"/>
      <c r="J10" s="653">
        <f t="shared" si="0"/>
        <v>0</v>
      </c>
      <c r="K10" s="937"/>
      <c r="L10" s="773">
        <f aca="true" t="shared" si="3" ref="L10:L50">J10+K10</f>
        <v>0</v>
      </c>
      <c r="M10" s="191"/>
      <c r="N10" s="258"/>
      <c r="O10" s="162"/>
      <c r="P10" s="661">
        <v>0</v>
      </c>
      <c r="Q10" s="943"/>
      <c r="R10" s="776">
        <f aca="true" t="shared" si="4" ref="R10:R50">P10+Q10</f>
        <v>0</v>
      </c>
      <c r="S10" s="264"/>
      <c r="T10" s="768">
        <f t="shared" si="1"/>
        <v>0</v>
      </c>
      <c r="U10" s="941">
        <f t="shared" si="1"/>
        <v>0</v>
      </c>
      <c r="V10" s="770">
        <f aca="true" t="shared" si="5" ref="V10:V50">T10+U10</f>
        <v>0</v>
      </c>
    </row>
    <row r="11" spans="2:22" ht="15">
      <c r="B11" s="31">
        <f t="shared" si="2"/>
        <v>3</v>
      </c>
      <c r="C11" s="42">
        <v>2</v>
      </c>
      <c r="D11" s="43" t="s">
        <v>131</v>
      </c>
      <c r="E11" s="44"/>
      <c r="F11" s="158"/>
      <c r="G11" s="162"/>
      <c r="H11" s="162"/>
      <c r="I11" s="162">
        <f>I12+I13</f>
        <v>25000</v>
      </c>
      <c r="J11" s="645">
        <f t="shared" si="0"/>
        <v>25000</v>
      </c>
      <c r="K11" s="934"/>
      <c r="L11" s="758">
        <f t="shared" si="3"/>
        <v>25000</v>
      </c>
      <c r="M11" s="191"/>
      <c r="N11" s="258"/>
      <c r="O11" s="162"/>
      <c r="P11" s="659">
        <f>P12+P13</f>
        <v>0</v>
      </c>
      <c r="Q11" s="938"/>
      <c r="R11" s="765">
        <f t="shared" si="4"/>
        <v>0</v>
      </c>
      <c r="S11" s="264"/>
      <c r="T11" s="768">
        <f t="shared" si="1"/>
        <v>25000</v>
      </c>
      <c r="U11" s="941">
        <f t="shared" si="1"/>
        <v>0</v>
      </c>
      <c r="V11" s="770">
        <f t="shared" si="5"/>
        <v>25000</v>
      </c>
    </row>
    <row r="12" spans="2:22" ht="12.75">
      <c r="B12" s="31">
        <f t="shared" si="2"/>
        <v>4</v>
      </c>
      <c r="C12" s="40"/>
      <c r="D12" s="2"/>
      <c r="E12" s="145" t="s">
        <v>194</v>
      </c>
      <c r="F12" s="331"/>
      <c r="G12" s="332"/>
      <c r="H12" s="333"/>
      <c r="I12" s="332">
        <v>20000</v>
      </c>
      <c r="J12" s="640">
        <f t="shared" si="0"/>
        <v>20000</v>
      </c>
      <c r="K12" s="640"/>
      <c r="L12" s="640">
        <f t="shared" si="3"/>
        <v>20000</v>
      </c>
      <c r="M12" s="175"/>
      <c r="N12" s="367"/>
      <c r="O12" s="353"/>
      <c r="P12" s="639">
        <f>SUM(N12:O12)</f>
        <v>0</v>
      </c>
      <c r="Q12" s="639"/>
      <c r="R12" s="639">
        <f t="shared" si="4"/>
        <v>0</v>
      </c>
      <c r="S12" s="383"/>
      <c r="T12" s="384">
        <f t="shared" si="1"/>
        <v>20000</v>
      </c>
      <c r="U12" s="384">
        <f t="shared" si="1"/>
        <v>0</v>
      </c>
      <c r="V12" s="384">
        <f t="shared" si="5"/>
        <v>20000</v>
      </c>
    </row>
    <row r="13" spans="2:22" ht="12.75">
      <c r="B13" s="31">
        <f t="shared" si="2"/>
        <v>5</v>
      </c>
      <c r="C13" s="40"/>
      <c r="D13" s="14"/>
      <c r="E13" s="145" t="s">
        <v>195</v>
      </c>
      <c r="F13" s="334"/>
      <c r="G13" s="335"/>
      <c r="H13" s="336"/>
      <c r="I13" s="335">
        <v>5000</v>
      </c>
      <c r="J13" s="640">
        <f t="shared" si="0"/>
        <v>5000</v>
      </c>
      <c r="K13" s="640"/>
      <c r="L13" s="640">
        <f t="shared" si="3"/>
        <v>5000</v>
      </c>
      <c r="M13" s="175"/>
      <c r="N13" s="369"/>
      <c r="O13" s="332"/>
      <c r="P13" s="640">
        <f>SUM(N13:O13)</f>
        <v>0</v>
      </c>
      <c r="Q13" s="640"/>
      <c r="R13" s="640">
        <f t="shared" si="4"/>
        <v>0</v>
      </c>
      <c r="S13" s="383"/>
      <c r="T13" s="385">
        <f t="shared" si="1"/>
        <v>5000</v>
      </c>
      <c r="U13" s="385">
        <f t="shared" si="1"/>
        <v>0</v>
      </c>
      <c r="V13" s="385">
        <f t="shared" si="5"/>
        <v>5000</v>
      </c>
    </row>
    <row r="14" spans="2:22" ht="15">
      <c r="B14" s="31">
        <f t="shared" si="2"/>
        <v>6</v>
      </c>
      <c r="C14" s="42">
        <v>3</v>
      </c>
      <c r="D14" s="43" t="s">
        <v>177</v>
      </c>
      <c r="E14" s="44"/>
      <c r="F14" s="158">
        <f>F15+F19+F24+F30+F45</f>
        <v>73250</v>
      </c>
      <c r="G14" s="162">
        <f>G15+G19+G24+G30+G45</f>
        <v>26761</v>
      </c>
      <c r="H14" s="162">
        <f>H15+H19+H24+H30+H45</f>
        <v>549329</v>
      </c>
      <c r="I14" s="162">
        <f>I15+I19+I24+I30+I45</f>
        <v>297330</v>
      </c>
      <c r="J14" s="645">
        <f t="shared" si="0"/>
        <v>946670</v>
      </c>
      <c r="K14" s="934">
        <f>K15+K19+K24+K30+K45</f>
        <v>-104481</v>
      </c>
      <c r="L14" s="758">
        <f t="shared" si="3"/>
        <v>842189</v>
      </c>
      <c r="M14" s="191"/>
      <c r="N14" s="258">
        <f>N15+N19+N24+N30</f>
        <v>46350</v>
      </c>
      <c r="O14" s="162">
        <f>O15+O19+O24+O30</f>
        <v>475745</v>
      </c>
      <c r="P14" s="659">
        <f>SUM(N14:O14)</f>
        <v>522095</v>
      </c>
      <c r="Q14" s="938">
        <f>Q15+Q19+Q24+Q30+Q45</f>
        <v>-83828</v>
      </c>
      <c r="R14" s="765">
        <f t="shared" si="4"/>
        <v>438267</v>
      </c>
      <c r="S14" s="264"/>
      <c r="T14" s="768">
        <f t="shared" si="1"/>
        <v>1468765</v>
      </c>
      <c r="U14" s="941">
        <f t="shared" si="1"/>
        <v>-188309</v>
      </c>
      <c r="V14" s="770">
        <f t="shared" si="5"/>
        <v>1280456</v>
      </c>
    </row>
    <row r="15" spans="2:22" ht="12.75">
      <c r="B15" s="31">
        <f t="shared" si="2"/>
        <v>7</v>
      </c>
      <c r="C15" s="60"/>
      <c r="D15" s="63" t="s">
        <v>6</v>
      </c>
      <c r="E15" s="317" t="s">
        <v>132</v>
      </c>
      <c r="F15" s="337"/>
      <c r="G15" s="338"/>
      <c r="H15" s="339">
        <v>4530</v>
      </c>
      <c r="I15" s="338">
        <f>I16</f>
        <v>50000</v>
      </c>
      <c r="J15" s="647">
        <f t="shared" si="0"/>
        <v>54530</v>
      </c>
      <c r="K15" s="647"/>
      <c r="L15" s="647">
        <f t="shared" si="3"/>
        <v>54530</v>
      </c>
      <c r="M15" s="175"/>
      <c r="N15" s="346"/>
      <c r="O15" s="347">
        <f>O18</f>
        <v>993</v>
      </c>
      <c r="P15" s="638">
        <f aca="true" t="shared" si="6" ref="P15:P45">SUM(N15:O15)</f>
        <v>993</v>
      </c>
      <c r="Q15" s="638">
        <f>SUM(Q16:Q18)</f>
        <v>23</v>
      </c>
      <c r="R15" s="638">
        <f t="shared" si="4"/>
        <v>1016</v>
      </c>
      <c r="S15" s="383"/>
      <c r="T15" s="408">
        <f t="shared" si="1"/>
        <v>55523</v>
      </c>
      <c r="U15" s="408">
        <f t="shared" si="1"/>
        <v>23</v>
      </c>
      <c r="V15" s="408">
        <f t="shared" si="5"/>
        <v>55546</v>
      </c>
    </row>
    <row r="16" spans="2:22" ht="12.75">
      <c r="B16" s="31">
        <f t="shared" si="2"/>
        <v>8</v>
      </c>
      <c r="C16" s="29"/>
      <c r="D16" s="14"/>
      <c r="E16" s="145" t="s">
        <v>233</v>
      </c>
      <c r="F16" s="334"/>
      <c r="G16" s="335"/>
      <c r="H16" s="336"/>
      <c r="I16" s="335">
        <v>50000</v>
      </c>
      <c r="J16" s="640">
        <f t="shared" si="0"/>
        <v>50000</v>
      </c>
      <c r="K16" s="640"/>
      <c r="L16" s="640">
        <f t="shared" si="3"/>
        <v>50000</v>
      </c>
      <c r="M16" s="175"/>
      <c r="N16" s="369"/>
      <c r="O16" s="332"/>
      <c r="P16" s="640">
        <f t="shared" si="6"/>
        <v>0</v>
      </c>
      <c r="Q16" s="640"/>
      <c r="R16" s="640">
        <f t="shared" si="4"/>
        <v>0</v>
      </c>
      <c r="S16" s="383"/>
      <c r="T16" s="385">
        <f t="shared" si="1"/>
        <v>50000</v>
      </c>
      <c r="U16" s="385">
        <f t="shared" si="1"/>
        <v>0</v>
      </c>
      <c r="V16" s="385">
        <f t="shared" si="5"/>
        <v>50000</v>
      </c>
    </row>
    <row r="17" spans="2:22" ht="12.75">
      <c r="B17" s="31">
        <f t="shared" si="2"/>
        <v>9</v>
      </c>
      <c r="C17" s="29"/>
      <c r="D17" s="14"/>
      <c r="E17" s="145" t="s">
        <v>398</v>
      </c>
      <c r="F17" s="334"/>
      <c r="G17" s="335"/>
      <c r="H17" s="336">
        <v>4530</v>
      </c>
      <c r="I17" s="335"/>
      <c r="J17" s="640">
        <f t="shared" si="0"/>
        <v>4530</v>
      </c>
      <c r="K17" s="640"/>
      <c r="L17" s="640">
        <f t="shared" si="3"/>
        <v>4530</v>
      </c>
      <c r="M17" s="175"/>
      <c r="N17" s="369"/>
      <c r="O17" s="335"/>
      <c r="P17" s="640"/>
      <c r="Q17" s="640"/>
      <c r="R17" s="640">
        <f t="shared" si="4"/>
        <v>0</v>
      </c>
      <c r="S17" s="383"/>
      <c r="T17" s="385"/>
      <c r="U17" s="385">
        <f aca="true" t="shared" si="7" ref="U17:U29">K17+Q17</f>
        <v>0</v>
      </c>
      <c r="V17" s="385">
        <f t="shared" si="5"/>
        <v>0</v>
      </c>
    </row>
    <row r="18" spans="2:22" ht="12.75">
      <c r="B18" s="31">
        <f t="shared" si="2"/>
        <v>10</v>
      </c>
      <c r="C18" s="29"/>
      <c r="D18" s="14"/>
      <c r="E18" s="550" t="s">
        <v>358</v>
      </c>
      <c r="F18" s="334"/>
      <c r="G18" s="335"/>
      <c r="H18" s="336"/>
      <c r="I18" s="335"/>
      <c r="J18" s="640">
        <f t="shared" si="0"/>
        <v>0</v>
      </c>
      <c r="K18" s="640"/>
      <c r="L18" s="640">
        <f t="shared" si="3"/>
        <v>0</v>
      </c>
      <c r="M18" s="175"/>
      <c r="N18" s="352"/>
      <c r="O18" s="335">
        <v>993</v>
      </c>
      <c r="P18" s="640">
        <f t="shared" si="6"/>
        <v>993</v>
      </c>
      <c r="Q18" s="640">
        <v>23</v>
      </c>
      <c r="R18" s="640">
        <f t="shared" si="4"/>
        <v>1016</v>
      </c>
      <c r="S18" s="383"/>
      <c r="T18" s="385">
        <f>J18+P18</f>
        <v>993</v>
      </c>
      <c r="U18" s="385">
        <f t="shared" si="7"/>
        <v>23</v>
      </c>
      <c r="V18" s="385">
        <f t="shared" si="5"/>
        <v>1016</v>
      </c>
    </row>
    <row r="19" spans="2:22" ht="12.75">
      <c r="B19" s="31">
        <f t="shared" si="2"/>
        <v>11</v>
      </c>
      <c r="C19" s="60"/>
      <c r="D19" s="59" t="s">
        <v>7</v>
      </c>
      <c r="E19" s="325" t="s">
        <v>133</v>
      </c>
      <c r="F19" s="340"/>
      <c r="G19" s="341"/>
      <c r="H19" s="342">
        <v>1205</v>
      </c>
      <c r="I19" s="341">
        <f>I20+I21+I23</f>
        <v>127330</v>
      </c>
      <c r="J19" s="647">
        <f t="shared" si="0"/>
        <v>128535</v>
      </c>
      <c r="K19" s="647"/>
      <c r="L19" s="647">
        <f t="shared" si="3"/>
        <v>128535</v>
      </c>
      <c r="M19" s="175"/>
      <c r="N19" s="400"/>
      <c r="O19" s="341"/>
      <c r="P19" s="677">
        <f t="shared" si="6"/>
        <v>0</v>
      </c>
      <c r="Q19" s="677"/>
      <c r="R19" s="677">
        <f t="shared" si="4"/>
        <v>0</v>
      </c>
      <c r="S19" s="383"/>
      <c r="T19" s="408">
        <f>J19+P19</f>
        <v>128535</v>
      </c>
      <c r="U19" s="408">
        <f t="shared" si="7"/>
        <v>0</v>
      </c>
      <c r="V19" s="408">
        <f t="shared" si="5"/>
        <v>128535</v>
      </c>
    </row>
    <row r="20" spans="2:22" ht="12.75">
      <c r="B20" s="31">
        <f t="shared" si="2"/>
        <v>12</v>
      </c>
      <c r="C20" s="40"/>
      <c r="D20" s="14"/>
      <c r="E20" s="145" t="s">
        <v>233</v>
      </c>
      <c r="F20" s="334"/>
      <c r="G20" s="335"/>
      <c r="H20" s="336"/>
      <c r="I20" s="335">
        <v>120000</v>
      </c>
      <c r="J20" s="640">
        <f t="shared" si="0"/>
        <v>120000</v>
      </c>
      <c r="K20" s="640"/>
      <c r="L20" s="640">
        <f t="shared" si="3"/>
        <v>120000</v>
      </c>
      <c r="M20" s="175"/>
      <c r="N20" s="367"/>
      <c r="O20" s="353"/>
      <c r="P20" s="639">
        <f t="shared" si="6"/>
        <v>0</v>
      </c>
      <c r="Q20" s="639"/>
      <c r="R20" s="639">
        <f t="shared" si="4"/>
        <v>0</v>
      </c>
      <c r="S20" s="383"/>
      <c r="T20" s="385">
        <f>J20+P20</f>
        <v>120000</v>
      </c>
      <c r="U20" s="385">
        <f t="shared" si="7"/>
        <v>0</v>
      </c>
      <c r="V20" s="385">
        <f t="shared" si="5"/>
        <v>120000</v>
      </c>
    </row>
    <row r="21" spans="2:22" ht="12.75">
      <c r="B21" s="31">
        <f t="shared" si="2"/>
        <v>13</v>
      </c>
      <c r="C21" s="40"/>
      <c r="D21" s="14"/>
      <c r="E21" s="145" t="s">
        <v>321</v>
      </c>
      <c r="F21" s="334"/>
      <c r="G21" s="335"/>
      <c r="H21" s="336"/>
      <c r="I21" s="335">
        <f>2500+1500</f>
        <v>4000</v>
      </c>
      <c r="J21" s="640">
        <f t="shared" si="0"/>
        <v>4000</v>
      </c>
      <c r="K21" s="640"/>
      <c r="L21" s="640">
        <f t="shared" si="3"/>
        <v>4000</v>
      </c>
      <c r="M21" s="175"/>
      <c r="N21" s="367"/>
      <c r="O21" s="353"/>
      <c r="P21" s="639">
        <f t="shared" si="6"/>
        <v>0</v>
      </c>
      <c r="Q21" s="639"/>
      <c r="R21" s="639">
        <f t="shared" si="4"/>
        <v>0</v>
      </c>
      <c r="S21" s="383"/>
      <c r="T21" s="385">
        <f>J21+P21</f>
        <v>4000</v>
      </c>
      <c r="U21" s="385">
        <f t="shared" si="7"/>
        <v>0</v>
      </c>
      <c r="V21" s="385">
        <f t="shared" si="5"/>
        <v>4000</v>
      </c>
    </row>
    <row r="22" spans="2:22" ht="12.75">
      <c r="B22" s="31">
        <f t="shared" si="2"/>
        <v>14</v>
      </c>
      <c r="C22" s="40"/>
      <c r="D22" s="14"/>
      <c r="E22" s="145" t="s">
        <v>398</v>
      </c>
      <c r="F22" s="334"/>
      <c r="G22" s="335"/>
      <c r="H22" s="336">
        <v>1205</v>
      </c>
      <c r="I22" s="335"/>
      <c r="J22" s="640">
        <f t="shared" si="0"/>
        <v>1205</v>
      </c>
      <c r="K22" s="640"/>
      <c r="L22" s="640">
        <f t="shared" si="3"/>
        <v>1205</v>
      </c>
      <c r="M22" s="175"/>
      <c r="N22" s="367"/>
      <c r="O22" s="353"/>
      <c r="P22" s="639"/>
      <c r="Q22" s="639"/>
      <c r="R22" s="639">
        <f t="shared" si="4"/>
        <v>0</v>
      </c>
      <c r="S22" s="383"/>
      <c r="T22" s="385"/>
      <c r="U22" s="385">
        <f t="shared" si="7"/>
        <v>0</v>
      </c>
      <c r="V22" s="385">
        <f t="shared" si="5"/>
        <v>0</v>
      </c>
    </row>
    <row r="23" spans="2:22" ht="12.75">
      <c r="B23" s="31">
        <f t="shared" si="2"/>
        <v>15</v>
      </c>
      <c r="C23" s="40"/>
      <c r="D23" s="14"/>
      <c r="E23" s="550" t="s">
        <v>358</v>
      </c>
      <c r="F23" s="334"/>
      <c r="G23" s="335"/>
      <c r="H23" s="336"/>
      <c r="I23" s="335">
        <f>3330+1500-1500</f>
        <v>3330</v>
      </c>
      <c r="J23" s="640">
        <f t="shared" si="0"/>
        <v>3330</v>
      </c>
      <c r="K23" s="640"/>
      <c r="L23" s="640">
        <f t="shared" si="3"/>
        <v>3330</v>
      </c>
      <c r="M23" s="175"/>
      <c r="N23" s="367"/>
      <c r="O23" s="353"/>
      <c r="P23" s="639"/>
      <c r="Q23" s="639"/>
      <c r="R23" s="639">
        <f t="shared" si="4"/>
        <v>0</v>
      </c>
      <c r="S23" s="383"/>
      <c r="T23" s="385">
        <f aca="true" t="shared" si="8" ref="T23:T29">J23+P23</f>
        <v>3330</v>
      </c>
      <c r="U23" s="385">
        <f t="shared" si="7"/>
        <v>0</v>
      </c>
      <c r="V23" s="385">
        <f t="shared" si="5"/>
        <v>3330</v>
      </c>
    </row>
    <row r="24" spans="2:22" ht="12.75">
      <c r="B24" s="31">
        <f t="shared" si="2"/>
        <v>16</v>
      </c>
      <c r="C24" s="60"/>
      <c r="D24" s="63" t="s">
        <v>8</v>
      </c>
      <c r="E24" s="317" t="s">
        <v>83</v>
      </c>
      <c r="F24" s="337"/>
      <c r="G24" s="338"/>
      <c r="H24" s="339">
        <f>SUM(H25:H29)</f>
        <v>107270</v>
      </c>
      <c r="I24" s="339">
        <f>SUM(I25:I27)</f>
        <v>120000</v>
      </c>
      <c r="J24" s="647">
        <f t="shared" si="0"/>
        <v>227270</v>
      </c>
      <c r="K24" s="647">
        <f>SUM(K25:K29)</f>
        <v>9016</v>
      </c>
      <c r="L24" s="647">
        <f t="shared" si="3"/>
        <v>236286</v>
      </c>
      <c r="M24" s="175"/>
      <c r="N24" s="346"/>
      <c r="O24" s="339"/>
      <c r="P24" s="638">
        <f t="shared" si="6"/>
        <v>0</v>
      </c>
      <c r="Q24" s="638"/>
      <c r="R24" s="638">
        <f t="shared" si="4"/>
        <v>0</v>
      </c>
      <c r="S24" s="383"/>
      <c r="T24" s="408">
        <f t="shared" si="8"/>
        <v>227270</v>
      </c>
      <c r="U24" s="408">
        <f t="shared" si="7"/>
        <v>9016</v>
      </c>
      <c r="V24" s="408">
        <f t="shared" si="5"/>
        <v>236286</v>
      </c>
    </row>
    <row r="25" spans="2:22" ht="12.75">
      <c r="B25" s="31">
        <f t="shared" si="2"/>
        <v>17</v>
      </c>
      <c r="C25" s="29"/>
      <c r="D25" s="14"/>
      <c r="E25" s="145" t="s">
        <v>233</v>
      </c>
      <c r="F25" s="334"/>
      <c r="G25" s="335"/>
      <c r="H25" s="336"/>
      <c r="I25" s="335"/>
      <c r="J25" s="640">
        <f t="shared" si="0"/>
        <v>0</v>
      </c>
      <c r="K25" s="640"/>
      <c r="L25" s="640">
        <f t="shared" si="3"/>
        <v>0</v>
      </c>
      <c r="M25" s="175"/>
      <c r="N25" s="367"/>
      <c r="O25" s="353"/>
      <c r="P25" s="639">
        <f t="shared" si="6"/>
        <v>0</v>
      </c>
      <c r="Q25" s="639"/>
      <c r="R25" s="639">
        <f t="shared" si="4"/>
        <v>0</v>
      </c>
      <c r="S25" s="383"/>
      <c r="T25" s="385">
        <f t="shared" si="8"/>
        <v>0</v>
      </c>
      <c r="U25" s="385">
        <f t="shared" si="7"/>
        <v>0</v>
      </c>
      <c r="V25" s="385">
        <f t="shared" si="5"/>
        <v>0</v>
      </c>
    </row>
    <row r="26" spans="2:22" ht="12.75">
      <c r="B26" s="31">
        <f t="shared" si="2"/>
        <v>18</v>
      </c>
      <c r="C26" s="29"/>
      <c r="D26" s="14"/>
      <c r="E26" s="145" t="s">
        <v>398</v>
      </c>
      <c r="F26" s="334"/>
      <c r="G26" s="334"/>
      <c r="H26" s="361">
        <v>12270</v>
      </c>
      <c r="I26" s="335"/>
      <c r="J26" s="640">
        <f t="shared" si="0"/>
        <v>12270</v>
      </c>
      <c r="K26" s="640"/>
      <c r="L26" s="640">
        <f t="shared" si="3"/>
        <v>12270</v>
      </c>
      <c r="M26" s="175"/>
      <c r="N26" s="367"/>
      <c r="O26" s="353"/>
      <c r="P26" s="639"/>
      <c r="Q26" s="639"/>
      <c r="R26" s="639">
        <f t="shared" si="4"/>
        <v>0</v>
      </c>
      <c r="S26" s="383"/>
      <c r="T26" s="385">
        <f t="shared" si="8"/>
        <v>12270</v>
      </c>
      <c r="U26" s="384">
        <f t="shared" si="7"/>
        <v>0</v>
      </c>
      <c r="V26" s="384">
        <f t="shared" si="5"/>
        <v>12270</v>
      </c>
    </row>
    <row r="27" spans="2:22" ht="12.75">
      <c r="B27" s="31">
        <f t="shared" si="2"/>
        <v>19</v>
      </c>
      <c r="C27" s="29"/>
      <c r="D27" s="14"/>
      <c r="E27" s="145" t="s">
        <v>461</v>
      </c>
      <c r="F27" s="334"/>
      <c r="G27" s="334"/>
      <c r="H27" s="361"/>
      <c r="I27" s="335">
        <v>120000</v>
      </c>
      <c r="J27" s="640">
        <f t="shared" si="0"/>
        <v>120000</v>
      </c>
      <c r="K27" s="640">
        <v>-24000</v>
      </c>
      <c r="L27" s="640">
        <f t="shared" si="3"/>
        <v>96000</v>
      </c>
      <c r="M27" s="175"/>
      <c r="N27" s="367"/>
      <c r="O27" s="353"/>
      <c r="P27" s="639"/>
      <c r="Q27" s="639"/>
      <c r="R27" s="639">
        <f t="shared" si="4"/>
        <v>0</v>
      </c>
      <c r="S27" s="383"/>
      <c r="T27" s="385">
        <f t="shared" si="8"/>
        <v>120000</v>
      </c>
      <c r="U27" s="384">
        <f t="shared" si="7"/>
        <v>-24000</v>
      </c>
      <c r="V27" s="384">
        <f t="shared" si="5"/>
        <v>96000</v>
      </c>
    </row>
    <row r="28" spans="2:22" ht="12.75">
      <c r="B28" s="31">
        <f t="shared" si="2"/>
        <v>20</v>
      </c>
      <c r="C28" s="29"/>
      <c r="D28" s="14"/>
      <c r="E28" s="145" t="s">
        <v>399</v>
      </c>
      <c r="F28" s="334"/>
      <c r="G28" s="334"/>
      <c r="H28" s="361"/>
      <c r="I28" s="335"/>
      <c r="J28" s="640">
        <f t="shared" si="0"/>
        <v>0</v>
      </c>
      <c r="K28" s="640">
        <f>10760+3656</f>
        <v>14416</v>
      </c>
      <c r="L28" s="640">
        <f t="shared" si="3"/>
        <v>14416</v>
      </c>
      <c r="M28" s="175"/>
      <c r="N28" s="367"/>
      <c r="O28" s="353"/>
      <c r="P28" s="639"/>
      <c r="Q28" s="639"/>
      <c r="R28" s="639">
        <f t="shared" si="4"/>
        <v>0</v>
      </c>
      <c r="S28" s="383"/>
      <c r="T28" s="385">
        <f t="shared" si="8"/>
        <v>0</v>
      </c>
      <c r="U28" s="384">
        <f t="shared" si="7"/>
        <v>14416</v>
      </c>
      <c r="V28" s="384">
        <f t="shared" si="5"/>
        <v>14416</v>
      </c>
    </row>
    <row r="29" spans="2:22" ht="12.75">
      <c r="B29" s="31">
        <f t="shared" si="2"/>
        <v>21</v>
      </c>
      <c r="C29" s="29"/>
      <c r="D29" s="14"/>
      <c r="E29" s="145" t="s">
        <v>462</v>
      </c>
      <c r="F29" s="334"/>
      <c r="G29" s="334"/>
      <c r="H29" s="361">
        <v>95000</v>
      </c>
      <c r="I29" s="335"/>
      <c r="J29" s="640">
        <f t="shared" si="0"/>
        <v>95000</v>
      </c>
      <c r="K29" s="640">
        <v>18600</v>
      </c>
      <c r="L29" s="640">
        <f t="shared" si="3"/>
        <v>113600</v>
      </c>
      <c r="M29" s="175"/>
      <c r="N29" s="367"/>
      <c r="O29" s="353"/>
      <c r="P29" s="639"/>
      <c r="Q29" s="639"/>
      <c r="R29" s="639">
        <f t="shared" si="4"/>
        <v>0</v>
      </c>
      <c r="S29" s="383"/>
      <c r="T29" s="385">
        <f t="shared" si="8"/>
        <v>95000</v>
      </c>
      <c r="U29" s="384">
        <f t="shared" si="7"/>
        <v>18600</v>
      </c>
      <c r="V29" s="384">
        <f t="shared" si="5"/>
        <v>113600</v>
      </c>
    </row>
    <row r="30" spans="2:22" ht="12.75">
      <c r="B30" s="31">
        <f t="shared" si="2"/>
        <v>22</v>
      </c>
      <c r="C30" s="60"/>
      <c r="D30" s="59" t="s">
        <v>9</v>
      </c>
      <c r="E30" s="325" t="s">
        <v>134</v>
      </c>
      <c r="F30" s="340">
        <f>SUM(F32:F44)</f>
        <v>66600</v>
      </c>
      <c r="G30" s="340">
        <f>SUM(G32:G44)</f>
        <v>24400</v>
      </c>
      <c r="H30" s="340">
        <f>SUM(H32:H44)</f>
        <v>429685</v>
      </c>
      <c r="I30" s="341"/>
      <c r="J30" s="647">
        <f t="shared" si="0"/>
        <v>520685</v>
      </c>
      <c r="K30" s="647">
        <f>SUM(K31:K44)</f>
        <v>-113497</v>
      </c>
      <c r="L30" s="647">
        <f t="shared" si="3"/>
        <v>407188</v>
      </c>
      <c r="M30" s="175"/>
      <c r="N30" s="346">
        <f>SUM(N31:N38)</f>
        <v>46350</v>
      </c>
      <c r="O30" s="347">
        <f>SUM(O31:O44)</f>
        <v>474752</v>
      </c>
      <c r="P30" s="638">
        <f t="shared" si="6"/>
        <v>521102</v>
      </c>
      <c r="Q30" s="638">
        <f>SUM(Q31:Q44)</f>
        <v>-83851</v>
      </c>
      <c r="R30" s="638">
        <f t="shared" si="4"/>
        <v>437251</v>
      </c>
      <c r="S30" s="383"/>
      <c r="T30" s="408">
        <f aca="true" t="shared" si="9" ref="T30:U32">J30+P30</f>
        <v>1041787</v>
      </c>
      <c r="U30" s="408">
        <f t="shared" si="9"/>
        <v>-197348</v>
      </c>
      <c r="V30" s="408">
        <f t="shared" si="5"/>
        <v>844439</v>
      </c>
    </row>
    <row r="31" spans="2:22" ht="12.75">
      <c r="B31" s="31">
        <f t="shared" si="2"/>
        <v>23</v>
      </c>
      <c r="C31" s="29"/>
      <c r="D31" s="14"/>
      <c r="E31" s="145" t="s">
        <v>310</v>
      </c>
      <c r="F31" s="334"/>
      <c r="G31" s="335"/>
      <c r="H31" s="336"/>
      <c r="I31" s="335"/>
      <c r="J31" s="640">
        <f t="shared" si="0"/>
        <v>0</v>
      </c>
      <c r="K31" s="640"/>
      <c r="L31" s="640">
        <f t="shared" si="3"/>
        <v>0</v>
      </c>
      <c r="M31" s="175"/>
      <c r="N31" s="367"/>
      <c r="O31" s="353"/>
      <c r="P31" s="639">
        <f t="shared" si="6"/>
        <v>0</v>
      </c>
      <c r="Q31" s="639"/>
      <c r="R31" s="639">
        <f t="shared" si="4"/>
        <v>0</v>
      </c>
      <c r="S31" s="383"/>
      <c r="T31" s="385">
        <f t="shared" si="9"/>
        <v>0</v>
      </c>
      <c r="U31" s="385">
        <f t="shared" si="9"/>
        <v>0</v>
      </c>
      <c r="V31" s="385">
        <f t="shared" si="5"/>
        <v>0</v>
      </c>
    </row>
    <row r="32" spans="2:22" ht="12.75">
      <c r="B32" s="31">
        <f t="shared" si="2"/>
        <v>24</v>
      </c>
      <c r="C32" s="29"/>
      <c r="D32" s="14"/>
      <c r="E32" s="145" t="s">
        <v>282</v>
      </c>
      <c r="F32" s="343"/>
      <c r="G32" s="344"/>
      <c r="H32" s="345"/>
      <c r="I32" s="335"/>
      <c r="J32" s="640">
        <f t="shared" si="0"/>
        <v>0</v>
      </c>
      <c r="K32" s="640"/>
      <c r="L32" s="640">
        <f t="shared" si="3"/>
        <v>0</v>
      </c>
      <c r="M32" s="175"/>
      <c r="N32" s="367"/>
      <c r="O32" s="353"/>
      <c r="P32" s="639">
        <f>SUM(N32:O32)</f>
        <v>0</v>
      </c>
      <c r="Q32" s="639"/>
      <c r="R32" s="639">
        <f t="shared" si="4"/>
        <v>0</v>
      </c>
      <c r="S32" s="383"/>
      <c r="T32" s="385">
        <f t="shared" si="9"/>
        <v>0</v>
      </c>
      <c r="U32" s="385">
        <f t="shared" si="9"/>
        <v>0</v>
      </c>
      <c r="V32" s="385">
        <f t="shared" si="5"/>
        <v>0</v>
      </c>
    </row>
    <row r="33" spans="2:22" ht="12.75">
      <c r="B33" s="31">
        <f t="shared" si="2"/>
        <v>25</v>
      </c>
      <c r="C33" s="29"/>
      <c r="D33" s="14"/>
      <c r="E33" s="145" t="s">
        <v>400</v>
      </c>
      <c r="F33" s="334">
        <v>66600</v>
      </c>
      <c r="G33" s="335">
        <v>24400</v>
      </c>
      <c r="H33" s="620">
        <f>100320+25000</f>
        <v>125320</v>
      </c>
      <c r="I33" s="335"/>
      <c r="J33" s="640">
        <f t="shared" si="0"/>
        <v>216320</v>
      </c>
      <c r="K33" s="640">
        <f>-7535-3762</f>
        <v>-11297</v>
      </c>
      <c r="L33" s="640">
        <f t="shared" si="3"/>
        <v>205023</v>
      </c>
      <c r="M33" s="175"/>
      <c r="N33" s="367"/>
      <c r="O33" s="353"/>
      <c r="P33" s="639"/>
      <c r="Q33" s="639"/>
      <c r="R33" s="639">
        <f t="shared" si="4"/>
        <v>0</v>
      </c>
      <c r="S33" s="383"/>
      <c r="T33" s="385"/>
      <c r="U33" s="385">
        <f aca="true" t="shared" si="10" ref="U33:U50">K33+Q33</f>
        <v>-11297</v>
      </c>
      <c r="V33" s="385">
        <f t="shared" si="5"/>
        <v>-11297</v>
      </c>
    </row>
    <row r="34" spans="2:22" ht="12.75">
      <c r="B34" s="31">
        <f t="shared" si="2"/>
        <v>26</v>
      </c>
      <c r="C34" s="29"/>
      <c r="D34" s="14"/>
      <c r="E34" s="145" t="s">
        <v>401</v>
      </c>
      <c r="F34" s="343"/>
      <c r="G34" s="344"/>
      <c r="H34" s="620">
        <v>3305</v>
      </c>
      <c r="I34" s="335"/>
      <c r="J34" s="640">
        <f t="shared" si="0"/>
        <v>3305</v>
      </c>
      <c r="K34" s="640"/>
      <c r="L34" s="640">
        <f t="shared" si="3"/>
        <v>3305</v>
      </c>
      <c r="M34" s="175"/>
      <c r="N34" s="367"/>
      <c r="O34" s="353"/>
      <c r="P34" s="639"/>
      <c r="Q34" s="639"/>
      <c r="R34" s="639">
        <f t="shared" si="4"/>
        <v>0</v>
      </c>
      <c r="S34" s="383"/>
      <c r="T34" s="385"/>
      <c r="U34" s="385">
        <f t="shared" si="10"/>
        <v>0</v>
      </c>
      <c r="V34" s="385">
        <f t="shared" si="5"/>
        <v>0</v>
      </c>
    </row>
    <row r="35" spans="2:22" ht="12.75">
      <c r="B35" s="31">
        <f t="shared" si="2"/>
        <v>27</v>
      </c>
      <c r="C35" s="29"/>
      <c r="D35" s="14"/>
      <c r="E35" s="145" t="s">
        <v>435</v>
      </c>
      <c r="F35" s="343"/>
      <c r="G35" s="344"/>
      <c r="H35" s="620">
        <v>1805</v>
      </c>
      <c r="I35" s="335"/>
      <c r="J35" s="640">
        <f t="shared" si="0"/>
        <v>1805</v>
      </c>
      <c r="K35" s="640"/>
      <c r="L35" s="640">
        <f t="shared" si="3"/>
        <v>1805</v>
      </c>
      <c r="M35" s="175"/>
      <c r="N35" s="367"/>
      <c r="O35" s="353"/>
      <c r="P35" s="639"/>
      <c r="Q35" s="639"/>
      <c r="R35" s="639">
        <f t="shared" si="4"/>
        <v>0</v>
      </c>
      <c r="S35" s="383"/>
      <c r="T35" s="385"/>
      <c r="U35" s="385">
        <f t="shared" si="10"/>
        <v>0</v>
      </c>
      <c r="V35" s="385">
        <f t="shared" si="5"/>
        <v>0</v>
      </c>
    </row>
    <row r="36" spans="2:22" ht="12.75">
      <c r="B36" s="31">
        <f t="shared" si="2"/>
        <v>28</v>
      </c>
      <c r="C36" s="29"/>
      <c r="D36" s="14"/>
      <c r="E36" s="145" t="s">
        <v>436</v>
      </c>
      <c r="F36" s="343"/>
      <c r="G36" s="344"/>
      <c r="H36" s="620">
        <v>192250</v>
      </c>
      <c r="I36" s="335"/>
      <c r="J36" s="640">
        <f t="shared" si="0"/>
        <v>192250</v>
      </c>
      <c r="K36" s="640">
        <v>-52200</v>
      </c>
      <c r="L36" s="640">
        <f t="shared" si="3"/>
        <v>140050</v>
      </c>
      <c r="M36" s="175"/>
      <c r="N36" s="367"/>
      <c r="O36" s="353"/>
      <c r="P36" s="639"/>
      <c r="Q36" s="639"/>
      <c r="R36" s="639">
        <f t="shared" si="4"/>
        <v>0</v>
      </c>
      <c r="S36" s="383"/>
      <c r="T36" s="385"/>
      <c r="U36" s="385">
        <f t="shared" si="10"/>
        <v>-52200</v>
      </c>
      <c r="V36" s="385">
        <f t="shared" si="5"/>
        <v>-52200</v>
      </c>
    </row>
    <row r="37" spans="2:22" ht="12.75">
      <c r="B37" s="31">
        <f t="shared" si="2"/>
        <v>29</v>
      </c>
      <c r="C37" s="29"/>
      <c r="D37" s="14"/>
      <c r="E37" s="145" t="s">
        <v>437</v>
      </c>
      <c r="F37" s="343"/>
      <c r="G37" s="344"/>
      <c r="H37" s="620">
        <v>107005</v>
      </c>
      <c r="I37" s="335"/>
      <c r="J37" s="640">
        <f t="shared" si="0"/>
        <v>107005</v>
      </c>
      <c r="K37" s="640">
        <v>-50000</v>
      </c>
      <c r="L37" s="640">
        <f t="shared" si="3"/>
        <v>57005</v>
      </c>
      <c r="M37" s="175"/>
      <c r="N37" s="367"/>
      <c r="O37" s="353"/>
      <c r="P37" s="639"/>
      <c r="Q37" s="639"/>
      <c r="R37" s="639">
        <f t="shared" si="4"/>
        <v>0</v>
      </c>
      <c r="S37" s="383"/>
      <c r="T37" s="385"/>
      <c r="U37" s="385">
        <f t="shared" si="10"/>
        <v>-50000</v>
      </c>
      <c r="V37" s="385">
        <f t="shared" si="5"/>
        <v>-50000</v>
      </c>
    </row>
    <row r="38" spans="2:22" ht="12.75">
      <c r="B38" s="31">
        <f t="shared" si="2"/>
        <v>30</v>
      </c>
      <c r="C38" s="29"/>
      <c r="D38" s="14"/>
      <c r="E38" s="550" t="s">
        <v>382</v>
      </c>
      <c r="F38" s="334"/>
      <c r="G38" s="335"/>
      <c r="H38" s="336"/>
      <c r="I38" s="335"/>
      <c r="J38" s="640">
        <f t="shared" si="0"/>
        <v>0</v>
      </c>
      <c r="K38" s="640"/>
      <c r="L38" s="640">
        <f t="shared" si="3"/>
        <v>0</v>
      </c>
      <c r="M38" s="175"/>
      <c r="N38" s="367">
        <v>46350</v>
      </c>
      <c r="O38" s="353">
        <f>140162-31000</f>
        <v>109162</v>
      </c>
      <c r="P38" s="639">
        <f t="shared" si="6"/>
        <v>155512</v>
      </c>
      <c r="Q38" s="639"/>
      <c r="R38" s="639">
        <f t="shared" si="4"/>
        <v>155512</v>
      </c>
      <c r="S38" s="383"/>
      <c r="T38" s="385">
        <f>J38+P38</f>
        <v>155512</v>
      </c>
      <c r="U38" s="385">
        <f t="shared" si="10"/>
        <v>0</v>
      </c>
      <c r="V38" s="385">
        <f t="shared" si="5"/>
        <v>155512</v>
      </c>
    </row>
    <row r="39" spans="2:22" ht="12.75">
      <c r="B39" s="31">
        <f t="shared" si="2"/>
        <v>31</v>
      </c>
      <c r="C39" s="29"/>
      <c r="D39" s="14"/>
      <c r="E39" s="550" t="s">
        <v>383</v>
      </c>
      <c r="F39" s="334"/>
      <c r="G39" s="335"/>
      <c r="H39" s="336"/>
      <c r="I39" s="335"/>
      <c r="J39" s="640">
        <f t="shared" si="0"/>
        <v>0</v>
      </c>
      <c r="K39" s="640"/>
      <c r="L39" s="640">
        <f t="shared" si="3"/>
        <v>0</v>
      </c>
      <c r="M39" s="175"/>
      <c r="N39" s="367"/>
      <c r="O39" s="353">
        <v>126000</v>
      </c>
      <c r="P39" s="639">
        <f t="shared" si="6"/>
        <v>126000</v>
      </c>
      <c r="Q39" s="639">
        <v>-31497</v>
      </c>
      <c r="R39" s="639">
        <f t="shared" si="4"/>
        <v>94503</v>
      </c>
      <c r="S39" s="383"/>
      <c r="T39" s="385">
        <f>J39+P39</f>
        <v>126000</v>
      </c>
      <c r="U39" s="385">
        <f t="shared" si="10"/>
        <v>-31497</v>
      </c>
      <c r="V39" s="385">
        <f t="shared" si="5"/>
        <v>94503</v>
      </c>
    </row>
    <row r="40" spans="2:22" ht="12.75">
      <c r="B40" s="31">
        <f t="shared" si="2"/>
        <v>32</v>
      </c>
      <c r="C40" s="29"/>
      <c r="D40" s="14"/>
      <c r="E40" s="550" t="s">
        <v>438</v>
      </c>
      <c r="F40" s="334"/>
      <c r="G40" s="335"/>
      <c r="H40" s="336"/>
      <c r="I40" s="335"/>
      <c r="J40" s="640">
        <f>SUM(F40:I40)</f>
        <v>0</v>
      </c>
      <c r="K40" s="640"/>
      <c r="L40" s="640">
        <f t="shared" si="3"/>
        <v>0</v>
      </c>
      <c r="M40" s="175"/>
      <c r="N40" s="367"/>
      <c r="O40" s="353">
        <f>245590-95000</f>
        <v>150590</v>
      </c>
      <c r="P40" s="639">
        <f>SUM(N40:O40)</f>
        <v>150590</v>
      </c>
      <c r="Q40" s="639">
        <v>-52354</v>
      </c>
      <c r="R40" s="639">
        <f t="shared" si="4"/>
        <v>98236</v>
      </c>
      <c r="S40" s="383"/>
      <c r="T40" s="385">
        <f>J40+P40</f>
        <v>150590</v>
      </c>
      <c r="U40" s="385">
        <f t="shared" si="10"/>
        <v>-52354</v>
      </c>
      <c r="V40" s="385">
        <f t="shared" si="5"/>
        <v>98236</v>
      </c>
    </row>
    <row r="41" spans="2:22" ht="12.75">
      <c r="B41" s="31">
        <f t="shared" si="2"/>
        <v>33</v>
      </c>
      <c r="C41" s="29"/>
      <c r="D41" s="14"/>
      <c r="E41" s="146" t="s">
        <v>364</v>
      </c>
      <c r="F41" s="334"/>
      <c r="G41" s="335"/>
      <c r="H41" s="336"/>
      <c r="I41" s="335"/>
      <c r="J41" s="640">
        <f t="shared" si="0"/>
        <v>0</v>
      </c>
      <c r="K41" s="640"/>
      <c r="L41" s="640">
        <f t="shared" si="3"/>
        <v>0</v>
      </c>
      <c r="M41" s="175"/>
      <c r="N41" s="367"/>
      <c r="O41" s="353">
        <v>1460</v>
      </c>
      <c r="P41" s="639">
        <f>SUM(N41:O41)</f>
        <v>1460</v>
      </c>
      <c r="Q41" s="639"/>
      <c r="R41" s="639">
        <f t="shared" si="4"/>
        <v>1460</v>
      </c>
      <c r="S41" s="383"/>
      <c r="T41" s="385">
        <f>J41+P41</f>
        <v>1460</v>
      </c>
      <c r="U41" s="385">
        <f t="shared" si="10"/>
        <v>0</v>
      </c>
      <c r="V41" s="385">
        <f t="shared" si="5"/>
        <v>1460</v>
      </c>
    </row>
    <row r="42" spans="2:22" ht="12.75">
      <c r="B42" s="31">
        <f t="shared" si="2"/>
        <v>34</v>
      </c>
      <c r="C42" s="29"/>
      <c r="D42" s="14"/>
      <c r="E42" s="146" t="s">
        <v>360</v>
      </c>
      <c r="F42" s="334"/>
      <c r="G42" s="335"/>
      <c r="H42" s="336"/>
      <c r="I42" s="335"/>
      <c r="J42" s="640">
        <f t="shared" si="0"/>
        <v>0</v>
      </c>
      <c r="K42" s="640"/>
      <c r="L42" s="640">
        <f t="shared" si="3"/>
        <v>0</v>
      </c>
      <c r="M42" s="175"/>
      <c r="N42" s="367"/>
      <c r="O42" s="353">
        <v>22540</v>
      </c>
      <c r="P42" s="639">
        <f t="shared" si="6"/>
        <v>22540</v>
      </c>
      <c r="Q42" s="639"/>
      <c r="R42" s="639">
        <f t="shared" si="4"/>
        <v>22540</v>
      </c>
      <c r="S42" s="383"/>
      <c r="T42" s="384">
        <f>J42+P42</f>
        <v>22540</v>
      </c>
      <c r="U42" s="384">
        <f t="shared" si="10"/>
        <v>0</v>
      </c>
      <c r="V42" s="384">
        <f t="shared" si="5"/>
        <v>22540</v>
      </c>
    </row>
    <row r="43" spans="2:22" ht="12.75">
      <c r="B43" s="31">
        <f t="shared" si="2"/>
        <v>35</v>
      </c>
      <c r="C43" s="29"/>
      <c r="D43" s="14"/>
      <c r="E43" s="146" t="s">
        <v>419</v>
      </c>
      <c r="F43" s="334"/>
      <c r="G43" s="335"/>
      <c r="H43" s="336"/>
      <c r="I43" s="335"/>
      <c r="J43" s="640">
        <f t="shared" si="0"/>
        <v>0</v>
      </c>
      <c r="K43" s="640"/>
      <c r="L43" s="640">
        <f t="shared" si="3"/>
        <v>0</v>
      </c>
      <c r="M43" s="175"/>
      <c r="N43" s="367"/>
      <c r="O43" s="353"/>
      <c r="P43" s="639"/>
      <c r="Q43" s="639"/>
      <c r="R43" s="639">
        <f t="shared" si="4"/>
        <v>0</v>
      </c>
      <c r="S43" s="383"/>
      <c r="T43" s="384"/>
      <c r="U43" s="384">
        <f t="shared" si="10"/>
        <v>0</v>
      </c>
      <c r="V43" s="384">
        <f t="shared" si="5"/>
        <v>0</v>
      </c>
    </row>
    <row r="44" spans="2:22" ht="12.75">
      <c r="B44" s="31">
        <f t="shared" si="2"/>
        <v>36</v>
      </c>
      <c r="C44" s="29"/>
      <c r="D44" s="14"/>
      <c r="E44" s="146" t="s">
        <v>361</v>
      </c>
      <c r="F44" s="334"/>
      <c r="G44" s="335"/>
      <c r="H44" s="336"/>
      <c r="I44" s="335"/>
      <c r="J44" s="640">
        <f t="shared" si="0"/>
        <v>0</v>
      </c>
      <c r="K44" s="640"/>
      <c r="L44" s="640">
        <f t="shared" si="3"/>
        <v>0</v>
      </c>
      <c r="M44" s="175"/>
      <c r="N44" s="367"/>
      <c r="O44" s="353">
        <v>65000</v>
      </c>
      <c r="P44" s="639">
        <f t="shared" si="6"/>
        <v>65000</v>
      </c>
      <c r="Q44" s="639"/>
      <c r="R44" s="639">
        <f t="shared" si="4"/>
        <v>65000</v>
      </c>
      <c r="S44" s="383"/>
      <c r="T44" s="384">
        <f>J44+P44</f>
        <v>65000</v>
      </c>
      <c r="U44" s="384">
        <f t="shared" si="10"/>
        <v>0</v>
      </c>
      <c r="V44" s="384">
        <f t="shared" si="5"/>
        <v>65000</v>
      </c>
    </row>
    <row r="45" spans="2:22" ht="12.75">
      <c r="B45" s="31">
        <f t="shared" si="2"/>
        <v>37</v>
      </c>
      <c r="C45" s="60"/>
      <c r="D45" s="63" t="s">
        <v>10</v>
      </c>
      <c r="E45" s="317" t="s">
        <v>135</v>
      </c>
      <c r="F45" s="337">
        <f>F47</f>
        <v>6650</v>
      </c>
      <c r="G45" s="338">
        <f>G47</f>
        <v>2361</v>
      </c>
      <c r="H45" s="338">
        <f>H46+H47</f>
        <v>6639</v>
      </c>
      <c r="I45" s="338"/>
      <c r="J45" s="647">
        <f t="shared" si="0"/>
        <v>15650</v>
      </c>
      <c r="K45" s="647"/>
      <c r="L45" s="647">
        <f t="shared" si="3"/>
        <v>15650</v>
      </c>
      <c r="M45" s="175"/>
      <c r="N45" s="346"/>
      <c r="O45" s="347"/>
      <c r="P45" s="638">
        <f t="shared" si="6"/>
        <v>0</v>
      </c>
      <c r="Q45" s="638"/>
      <c r="R45" s="638">
        <f t="shared" si="4"/>
        <v>0</v>
      </c>
      <c r="S45" s="383"/>
      <c r="T45" s="408">
        <f>J45+P45</f>
        <v>15650</v>
      </c>
      <c r="U45" s="408">
        <f t="shared" si="10"/>
        <v>0</v>
      </c>
      <c r="V45" s="408">
        <f t="shared" si="5"/>
        <v>15650</v>
      </c>
    </row>
    <row r="46" spans="2:22" ht="12.75">
      <c r="B46" s="31">
        <f t="shared" si="2"/>
        <v>38</v>
      </c>
      <c r="C46" s="29"/>
      <c r="D46" s="14"/>
      <c r="E46" s="145" t="s">
        <v>401</v>
      </c>
      <c r="F46" s="343"/>
      <c r="G46" s="344"/>
      <c r="H46" s="620">
        <v>680</v>
      </c>
      <c r="I46" s="335"/>
      <c r="J46" s="640">
        <f>SUM(F46:I46)</f>
        <v>680</v>
      </c>
      <c r="K46" s="640"/>
      <c r="L46" s="640">
        <f t="shared" si="3"/>
        <v>680</v>
      </c>
      <c r="M46" s="175"/>
      <c r="N46" s="367"/>
      <c r="O46" s="353"/>
      <c r="P46" s="639"/>
      <c r="Q46" s="639"/>
      <c r="R46" s="639">
        <f t="shared" si="4"/>
        <v>0</v>
      </c>
      <c r="S46" s="383"/>
      <c r="T46" s="385"/>
      <c r="U46" s="385">
        <f t="shared" si="10"/>
        <v>0</v>
      </c>
      <c r="V46" s="385">
        <f t="shared" si="5"/>
        <v>0</v>
      </c>
    </row>
    <row r="47" spans="2:22" ht="12.75">
      <c r="B47" s="31">
        <f t="shared" si="2"/>
        <v>39</v>
      </c>
      <c r="C47" s="29"/>
      <c r="D47" s="2"/>
      <c r="E47" s="438" t="s">
        <v>327</v>
      </c>
      <c r="F47" s="331">
        <v>6650</v>
      </c>
      <c r="G47" s="332">
        <v>2361</v>
      </c>
      <c r="H47" s="333">
        <f>7989-2030</f>
        <v>5959</v>
      </c>
      <c r="I47" s="332"/>
      <c r="J47" s="640">
        <f t="shared" si="0"/>
        <v>14970</v>
      </c>
      <c r="K47" s="640"/>
      <c r="L47" s="640">
        <f t="shared" si="3"/>
        <v>14970</v>
      </c>
      <c r="M47" s="175"/>
      <c r="N47" s="367"/>
      <c r="O47" s="353"/>
      <c r="P47" s="639"/>
      <c r="Q47" s="639"/>
      <c r="R47" s="639">
        <f t="shared" si="4"/>
        <v>0</v>
      </c>
      <c r="S47" s="383"/>
      <c r="T47" s="385">
        <f>J47+P47</f>
        <v>14970</v>
      </c>
      <c r="U47" s="385">
        <f t="shared" si="10"/>
        <v>0</v>
      </c>
      <c r="V47" s="385">
        <f t="shared" si="5"/>
        <v>14970</v>
      </c>
    </row>
    <row r="48" spans="2:22" ht="15">
      <c r="B48" s="31">
        <f t="shared" si="2"/>
        <v>40</v>
      </c>
      <c r="C48" s="37">
        <v>4</v>
      </c>
      <c r="D48" s="38" t="s">
        <v>272</v>
      </c>
      <c r="E48" s="39"/>
      <c r="F48" s="163"/>
      <c r="G48" s="164"/>
      <c r="H48" s="164">
        <f>6000+75</f>
        <v>6075</v>
      </c>
      <c r="I48" s="164"/>
      <c r="J48" s="645">
        <f t="shared" si="0"/>
        <v>6075</v>
      </c>
      <c r="K48" s="934"/>
      <c r="L48" s="758">
        <f t="shared" si="3"/>
        <v>6075</v>
      </c>
      <c r="M48" s="191"/>
      <c r="N48" s="263"/>
      <c r="O48" s="164">
        <f>O50</f>
        <v>10001</v>
      </c>
      <c r="P48" s="659">
        <f>SUM(N48:O48)</f>
        <v>10001</v>
      </c>
      <c r="Q48" s="938">
        <f>SUM(Q49:Q50)</f>
        <v>710</v>
      </c>
      <c r="R48" s="765">
        <f t="shared" si="4"/>
        <v>10711</v>
      </c>
      <c r="S48" s="264"/>
      <c r="T48" s="754">
        <f>J48+P48</f>
        <v>16076</v>
      </c>
      <c r="U48" s="942">
        <f t="shared" si="10"/>
        <v>710</v>
      </c>
      <c r="V48" s="771">
        <f t="shared" si="5"/>
        <v>16786</v>
      </c>
    </row>
    <row r="49" spans="2:22" ht="12.75">
      <c r="B49" s="31">
        <f t="shared" si="2"/>
        <v>41</v>
      </c>
      <c r="C49" s="29"/>
      <c r="D49" s="14"/>
      <c r="E49" s="146" t="s">
        <v>357</v>
      </c>
      <c r="F49" s="334"/>
      <c r="G49" s="335"/>
      <c r="H49" s="336">
        <v>2000</v>
      </c>
      <c r="I49" s="335"/>
      <c r="J49" s="640">
        <f t="shared" si="0"/>
        <v>2000</v>
      </c>
      <c r="K49" s="640"/>
      <c r="L49" s="640">
        <f t="shared" si="3"/>
        <v>2000</v>
      </c>
      <c r="M49" s="175"/>
      <c r="N49" s="369"/>
      <c r="O49" s="332"/>
      <c r="P49" s="640">
        <f>SUM(N49:O49)</f>
        <v>0</v>
      </c>
      <c r="Q49" s="640"/>
      <c r="R49" s="640">
        <f t="shared" si="4"/>
        <v>0</v>
      </c>
      <c r="S49" s="383"/>
      <c r="T49" s="385">
        <f>J49+P49</f>
        <v>2000</v>
      </c>
      <c r="U49" s="385">
        <f t="shared" si="10"/>
        <v>0</v>
      </c>
      <c r="V49" s="385">
        <f t="shared" si="5"/>
        <v>2000</v>
      </c>
    </row>
    <row r="50" spans="2:22" ht="13.5" thickBot="1">
      <c r="B50" s="32">
        <f>B49+1</f>
        <v>42</v>
      </c>
      <c r="C50" s="522"/>
      <c r="D50" s="523"/>
      <c r="E50" s="621" t="s">
        <v>358</v>
      </c>
      <c r="F50" s="525"/>
      <c r="G50" s="502"/>
      <c r="H50" s="526">
        <v>140</v>
      </c>
      <c r="I50" s="502"/>
      <c r="J50" s="666">
        <f t="shared" si="0"/>
        <v>140</v>
      </c>
      <c r="K50" s="666"/>
      <c r="L50" s="666">
        <f t="shared" si="3"/>
        <v>140</v>
      </c>
      <c r="M50" s="175"/>
      <c r="N50" s="521"/>
      <c r="O50" s="502">
        <v>10001</v>
      </c>
      <c r="P50" s="654">
        <f>O50</f>
        <v>10001</v>
      </c>
      <c r="Q50" s="654">
        <v>710</v>
      </c>
      <c r="R50" s="654">
        <f t="shared" si="4"/>
        <v>10711</v>
      </c>
      <c r="S50" s="383"/>
      <c r="T50" s="409">
        <f>J50+P50</f>
        <v>10141</v>
      </c>
      <c r="U50" s="409">
        <f t="shared" si="10"/>
        <v>710</v>
      </c>
      <c r="V50" s="409">
        <f t="shared" si="5"/>
        <v>10851</v>
      </c>
    </row>
    <row r="51" spans="10:18" ht="12.75">
      <c r="J51" s="19"/>
      <c r="K51" s="19"/>
      <c r="L51" s="19"/>
      <c r="P51" s="19"/>
      <c r="Q51" s="19"/>
      <c r="R51" s="19"/>
    </row>
    <row r="52" ht="12.75">
      <c r="U52" s="19"/>
    </row>
    <row r="53" spans="10:17" ht="12.75">
      <c r="J53" s="19"/>
      <c r="K53" s="19"/>
      <c r="L53" s="19"/>
      <c r="Q53" s="19"/>
    </row>
    <row r="54" ht="12.75">
      <c r="K54" s="19"/>
    </row>
  </sheetData>
  <sheetProtection/>
  <mergeCells count="22">
    <mergeCell ref="N6:R6"/>
    <mergeCell ref="N7:N8"/>
    <mergeCell ref="U4:U8"/>
    <mergeCell ref="T4:T8"/>
    <mergeCell ref="O7:O8"/>
    <mergeCell ref="V4:V8"/>
    <mergeCell ref="B5:L5"/>
    <mergeCell ref="E6:L6"/>
    <mergeCell ref="Q7:Q8"/>
    <mergeCell ref="R7:R8"/>
    <mergeCell ref="B4:R4"/>
    <mergeCell ref="C6:C8"/>
    <mergeCell ref="P7:P8"/>
    <mergeCell ref="D6:D8"/>
    <mergeCell ref="N5:R5"/>
    <mergeCell ref="L7:L8"/>
    <mergeCell ref="F7:F8"/>
    <mergeCell ref="I7:I8"/>
    <mergeCell ref="J7:J8"/>
    <mergeCell ref="H7:H8"/>
    <mergeCell ref="G7:G8"/>
    <mergeCell ref="K7:K8"/>
  </mergeCells>
  <printOptions/>
  <pageMargins left="0.15748031496062992" right="0.1968503937007874" top="0.31496062992125984" bottom="0.472440944881889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57421875" style="6" customWidth="1"/>
    <col min="3" max="3" width="2.140625" style="5" customWidth="1"/>
    <col min="4" max="4" width="2.00390625" style="0" customWidth="1"/>
    <col min="5" max="5" width="42.421875" style="0" customWidth="1"/>
    <col min="6" max="6" width="4.57421875" style="0" customWidth="1"/>
    <col min="7" max="7" width="5.00390625" style="0" customWidth="1"/>
    <col min="8" max="8" width="8.28125" style="0" customWidth="1"/>
    <col min="9" max="9" width="7.421875" style="0" customWidth="1"/>
    <col min="10" max="10" width="9.421875" style="0" customWidth="1"/>
    <col min="11" max="11" width="9.28125" style="0" customWidth="1"/>
    <col min="12" max="12" width="10.140625" style="0" customWidth="1"/>
    <col min="13" max="13" width="0.9921875" style="47" customWidth="1"/>
    <col min="14" max="14" width="4.57421875" style="0" customWidth="1"/>
    <col min="15" max="15" width="8.00390625" style="0" customWidth="1"/>
    <col min="16" max="16" width="10.00390625" style="0" customWidth="1"/>
    <col min="17" max="17" width="9.7109375" style="0" customWidth="1"/>
    <col min="18" max="18" width="9.28125" style="0" customWidth="1"/>
    <col min="19" max="19" width="2.00390625" style="47" customWidth="1"/>
    <col min="20" max="20" width="9.57421875" style="0" customWidth="1"/>
    <col min="21" max="21" width="9.00390625" style="0" customWidth="1"/>
    <col min="22" max="22" width="9.421875" style="0" customWidth="1"/>
    <col min="23" max="23" width="3.7109375" style="0" customWidth="1"/>
  </cols>
  <sheetData>
    <row r="1" spans="10:20" ht="15.75" customHeight="1">
      <c r="J1" s="193"/>
      <c r="K1" s="193"/>
      <c r="L1" s="193"/>
      <c r="M1" s="49"/>
      <c r="N1" s="45"/>
      <c r="O1" s="45"/>
      <c r="P1" s="51"/>
      <c r="Q1" s="51"/>
      <c r="R1" s="51"/>
      <c r="S1" s="266"/>
      <c r="T1" s="267"/>
    </row>
    <row r="2" spans="2:22" ht="27">
      <c r="B2" s="981"/>
      <c r="C2" s="982" t="s">
        <v>256</v>
      </c>
      <c r="D2" s="970"/>
      <c r="E2" s="970"/>
      <c r="F2" s="970"/>
      <c r="G2" s="970"/>
      <c r="H2" s="970"/>
      <c r="I2" s="984"/>
      <c r="J2" s="992">
        <v>577500</v>
      </c>
      <c r="K2" s="992"/>
      <c r="L2" s="992"/>
      <c r="M2" s="984"/>
      <c r="N2" s="984"/>
      <c r="O2" s="970"/>
      <c r="P2" s="988"/>
      <c r="Q2" s="988"/>
      <c r="R2" s="988"/>
      <c r="S2" s="979"/>
      <c r="T2" s="988"/>
      <c r="U2" s="970"/>
      <c r="V2" s="970"/>
    </row>
    <row r="3" spans="2:22" ht="5.25" customHeight="1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79"/>
      <c r="N3" s="970"/>
      <c r="O3" s="970"/>
      <c r="P3" s="970"/>
      <c r="Q3" s="970"/>
      <c r="R3" s="970"/>
      <c r="S3" s="979"/>
      <c r="T3" s="970"/>
      <c r="U3" s="970"/>
      <c r="V3" s="970"/>
    </row>
    <row r="4" spans="2:22" ht="12.75" customHeight="1" thickBot="1">
      <c r="B4" s="1089" t="s">
        <v>316</v>
      </c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1"/>
      <c r="S4" s="253"/>
      <c r="T4" s="1029" t="s">
        <v>450</v>
      </c>
      <c r="U4" s="1051" t="s">
        <v>451</v>
      </c>
      <c r="V4" s="1042" t="s">
        <v>452</v>
      </c>
    </row>
    <row r="5" spans="2:22" ht="18.75" customHeight="1" thickTop="1">
      <c r="B5" s="1092" t="s">
        <v>12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4"/>
      <c r="M5" s="254"/>
      <c r="N5" s="1092" t="s">
        <v>300</v>
      </c>
      <c r="O5" s="1093"/>
      <c r="P5" s="1093"/>
      <c r="Q5" s="1093"/>
      <c r="R5" s="1094"/>
      <c r="S5" s="254"/>
      <c r="T5" s="1030"/>
      <c r="U5" s="1052"/>
      <c r="V5" s="1043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15"/>
      <c r="N6" s="1039" t="s">
        <v>11</v>
      </c>
      <c r="O6" s="1025"/>
      <c r="P6" s="1025"/>
      <c r="Q6" s="1025"/>
      <c r="R6" s="1026"/>
      <c r="S6" s="15"/>
      <c r="T6" s="1030"/>
      <c r="U6" s="1052"/>
      <c r="V6" s="1043"/>
    </row>
    <row r="7" spans="2:22" ht="43.5" customHeight="1">
      <c r="B7" s="41"/>
      <c r="C7" s="1055"/>
      <c r="D7" s="1055"/>
      <c r="E7" s="441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M7" s="269"/>
      <c r="N7" s="1077">
        <v>716</v>
      </c>
      <c r="O7" s="1032">
        <v>717</v>
      </c>
      <c r="P7" s="1027" t="s">
        <v>450</v>
      </c>
      <c r="Q7" s="1034" t="s">
        <v>451</v>
      </c>
      <c r="R7" s="1040" t="s">
        <v>452</v>
      </c>
      <c r="S7" s="255"/>
      <c r="T7" s="1030"/>
      <c r="U7" s="1052"/>
      <c r="V7" s="1043"/>
    </row>
    <row r="8" spans="2:22" ht="34.5" customHeight="1" thickBot="1">
      <c r="B8" s="46"/>
      <c r="C8" s="1056"/>
      <c r="D8" s="1056"/>
      <c r="E8" s="127"/>
      <c r="F8" s="1037"/>
      <c r="G8" s="1033"/>
      <c r="H8" s="1033"/>
      <c r="I8" s="1033"/>
      <c r="J8" s="1028"/>
      <c r="K8" s="1035"/>
      <c r="L8" s="1041"/>
      <c r="M8" s="200"/>
      <c r="N8" s="1058"/>
      <c r="O8" s="1033"/>
      <c r="P8" s="1028"/>
      <c r="Q8" s="1035"/>
      <c r="R8" s="1041"/>
      <c r="S8" s="200"/>
      <c r="T8" s="1031"/>
      <c r="U8" s="1053"/>
      <c r="V8" s="1044"/>
    </row>
    <row r="9" spans="2:23" ht="24.75" customHeight="1" thickBot="1" thickTop="1">
      <c r="B9" s="31">
        <v>1</v>
      </c>
      <c r="C9" s="203" t="s">
        <v>257</v>
      </c>
      <c r="D9" s="283"/>
      <c r="E9" s="301"/>
      <c r="F9" s="280">
        <f>F10+F26+F35+F37+F40</f>
        <v>0</v>
      </c>
      <c r="G9" s="280">
        <f>G10+G26+G35+G37+G40</f>
        <v>0</v>
      </c>
      <c r="H9" s="280">
        <f>H10+H26+H35+H37+H40</f>
        <v>228235</v>
      </c>
      <c r="I9" s="280">
        <f>I10+I26+I35+I37+I40</f>
        <v>49000</v>
      </c>
      <c r="J9" s="665">
        <f aca="true" t="shared" si="0" ref="J9:J25">SUM(F9:I9)</f>
        <v>277235</v>
      </c>
      <c r="K9" s="951">
        <f>K10+K26+K35+K37+K40</f>
        <v>0</v>
      </c>
      <c r="L9" s="788">
        <f>J9+K9</f>
        <v>277235</v>
      </c>
      <c r="M9" s="374"/>
      <c r="N9" s="282">
        <f>N10+N26+N35+N37+N40</f>
        <v>250</v>
      </c>
      <c r="O9" s="280">
        <f>O10+O26+O35+O37+O40</f>
        <v>46102</v>
      </c>
      <c r="P9" s="665">
        <f>SUM(N9:O9)</f>
        <v>46352</v>
      </c>
      <c r="Q9" s="951">
        <f>Q10+Q26+Q35+Q37+Q40</f>
        <v>2145</v>
      </c>
      <c r="R9" s="788">
        <f>P9+Q9</f>
        <v>48497</v>
      </c>
      <c r="S9" s="281"/>
      <c r="T9" s="791">
        <f aca="true" t="shared" si="1" ref="T9:T23">J9+P9</f>
        <v>323587</v>
      </c>
      <c r="U9" s="954">
        <f>K9+Q9</f>
        <v>2145</v>
      </c>
      <c r="V9" s="769">
        <f>T9+U9</f>
        <v>325732</v>
      </c>
      <c r="W9" s="19"/>
    </row>
    <row r="10" spans="2:22" ht="15.75" thickTop="1">
      <c r="B10" s="31">
        <f>B9+1</f>
        <v>2</v>
      </c>
      <c r="C10" s="42">
        <v>1</v>
      </c>
      <c r="D10" s="43" t="s">
        <v>125</v>
      </c>
      <c r="E10" s="140"/>
      <c r="F10" s="158"/>
      <c r="G10" s="162"/>
      <c r="H10" s="162">
        <f>H11+H12+H25</f>
        <v>48209</v>
      </c>
      <c r="I10" s="162">
        <f>I11+I12</f>
        <v>38000</v>
      </c>
      <c r="J10" s="632">
        <f t="shared" si="0"/>
        <v>86209</v>
      </c>
      <c r="K10" s="947"/>
      <c r="L10" s="740">
        <f aca="true" t="shared" si="2" ref="L10:L40">J10+K10</f>
        <v>86209</v>
      </c>
      <c r="M10" s="264"/>
      <c r="N10" s="258"/>
      <c r="O10" s="162"/>
      <c r="P10" s="661">
        <v>0</v>
      </c>
      <c r="Q10" s="943"/>
      <c r="R10" s="776">
        <f aca="true" t="shared" si="3" ref="R10:R40">P10+Q10</f>
        <v>0</v>
      </c>
      <c r="S10" s="264"/>
      <c r="T10" s="750">
        <f t="shared" si="1"/>
        <v>86209</v>
      </c>
      <c r="U10" s="931">
        <f aca="true" t="shared" si="4" ref="U10:U23">K10+Q10</f>
        <v>0</v>
      </c>
      <c r="V10" s="770">
        <f aca="true" t="shared" si="5" ref="V10:V40">T10+U10</f>
        <v>86209</v>
      </c>
    </row>
    <row r="11" spans="2:22" ht="12.75">
      <c r="B11" s="31">
        <f aca="true" t="shared" si="6" ref="B11:B39">B10+1</f>
        <v>3</v>
      </c>
      <c r="C11" s="29"/>
      <c r="D11" s="2"/>
      <c r="E11" s="442" t="s">
        <v>249</v>
      </c>
      <c r="F11" s="331"/>
      <c r="G11" s="332"/>
      <c r="H11" s="333"/>
      <c r="I11" s="332">
        <f>20000-2500</f>
        <v>17500</v>
      </c>
      <c r="J11" s="634">
        <f t="shared" si="0"/>
        <v>17500</v>
      </c>
      <c r="K11" s="634"/>
      <c r="L11" s="634">
        <f t="shared" si="2"/>
        <v>17500</v>
      </c>
      <c r="M11" s="36"/>
      <c r="N11" s="367"/>
      <c r="O11" s="353"/>
      <c r="P11" s="639">
        <f aca="true" t="shared" si="7" ref="P11:P25">SUM(N11:O11)</f>
        <v>0</v>
      </c>
      <c r="Q11" s="639"/>
      <c r="R11" s="639">
        <f t="shared" si="3"/>
        <v>0</v>
      </c>
      <c r="S11" s="36"/>
      <c r="T11" s="278">
        <f t="shared" si="1"/>
        <v>17500</v>
      </c>
      <c r="U11" s="278">
        <f t="shared" si="4"/>
        <v>0</v>
      </c>
      <c r="V11" s="291">
        <f t="shared" si="5"/>
        <v>17500</v>
      </c>
    </row>
    <row r="12" spans="2:22" ht="12.75">
      <c r="B12" s="31">
        <f t="shared" si="6"/>
        <v>4</v>
      </c>
      <c r="C12" s="40"/>
      <c r="D12" s="14"/>
      <c r="E12" s="150" t="s">
        <v>284</v>
      </c>
      <c r="F12" s="334"/>
      <c r="G12" s="335"/>
      <c r="H12" s="335">
        <f>SUM(H13:H24)</f>
        <v>39500</v>
      </c>
      <c r="I12" s="335">
        <f>SUM(I13:I23)</f>
        <v>20500</v>
      </c>
      <c r="J12" s="634">
        <f t="shared" si="0"/>
        <v>60000</v>
      </c>
      <c r="K12" s="634"/>
      <c r="L12" s="634">
        <f t="shared" si="2"/>
        <v>60000</v>
      </c>
      <c r="M12" s="36"/>
      <c r="N12" s="367"/>
      <c r="O12" s="353"/>
      <c r="P12" s="639">
        <f t="shared" si="7"/>
        <v>0</v>
      </c>
      <c r="Q12" s="639"/>
      <c r="R12" s="639">
        <f t="shared" si="3"/>
        <v>0</v>
      </c>
      <c r="S12" s="36"/>
      <c r="T12" s="278">
        <f t="shared" si="1"/>
        <v>60000</v>
      </c>
      <c r="U12" s="278">
        <f t="shared" si="4"/>
        <v>0</v>
      </c>
      <c r="V12" s="291">
        <f t="shared" si="5"/>
        <v>60000</v>
      </c>
    </row>
    <row r="13" spans="2:23" ht="12.75">
      <c r="B13" s="31">
        <f t="shared" si="6"/>
        <v>5</v>
      </c>
      <c r="C13" s="40"/>
      <c r="D13" s="14"/>
      <c r="E13" s="150" t="s">
        <v>184</v>
      </c>
      <c r="F13" s="334"/>
      <c r="G13" s="335"/>
      <c r="H13" s="336"/>
      <c r="I13" s="335">
        <v>5000</v>
      </c>
      <c r="J13" s="634">
        <f t="shared" si="0"/>
        <v>5000</v>
      </c>
      <c r="K13" s="634"/>
      <c r="L13" s="634">
        <f t="shared" si="2"/>
        <v>5000</v>
      </c>
      <c r="M13" s="36"/>
      <c r="N13" s="369"/>
      <c r="O13" s="332"/>
      <c r="P13" s="639">
        <f t="shared" si="7"/>
        <v>0</v>
      </c>
      <c r="Q13" s="639"/>
      <c r="R13" s="639">
        <f t="shared" si="3"/>
        <v>0</v>
      </c>
      <c r="S13" s="36"/>
      <c r="T13" s="278">
        <f t="shared" si="1"/>
        <v>5000</v>
      </c>
      <c r="U13" s="278">
        <f t="shared" si="4"/>
        <v>0</v>
      </c>
      <c r="V13" s="291">
        <f t="shared" si="5"/>
        <v>5000</v>
      </c>
      <c r="W13" s="19"/>
    </row>
    <row r="14" spans="2:22" ht="12.75">
      <c r="B14" s="31">
        <f t="shared" si="6"/>
        <v>6</v>
      </c>
      <c r="C14" s="40"/>
      <c r="D14" s="14"/>
      <c r="E14" s="150" t="s">
        <v>185</v>
      </c>
      <c r="F14" s="334"/>
      <c r="G14" s="335"/>
      <c r="H14" s="336"/>
      <c r="I14" s="335">
        <v>5000</v>
      </c>
      <c r="J14" s="634">
        <f t="shared" si="0"/>
        <v>5000</v>
      </c>
      <c r="K14" s="634"/>
      <c r="L14" s="634">
        <f t="shared" si="2"/>
        <v>5000</v>
      </c>
      <c r="M14" s="36"/>
      <c r="N14" s="369"/>
      <c r="O14" s="332"/>
      <c r="P14" s="639">
        <f t="shared" si="7"/>
        <v>0</v>
      </c>
      <c r="Q14" s="639"/>
      <c r="R14" s="639">
        <f t="shared" si="3"/>
        <v>0</v>
      </c>
      <c r="S14" s="36"/>
      <c r="T14" s="278">
        <f t="shared" si="1"/>
        <v>5000</v>
      </c>
      <c r="U14" s="278">
        <f t="shared" si="4"/>
        <v>0</v>
      </c>
      <c r="V14" s="291">
        <f t="shared" si="5"/>
        <v>5000</v>
      </c>
    </row>
    <row r="15" spans="2:22" ht="12.75">
      <c r="B15" s="31">
        <f t="shared" si="6"/>
        <v>7</v>
      </c>
      <c r="C15" s="30"/>
      <c r="D15" s="14"/>
      <c r="E15" s="150" t="s">
        <v>313</v>
      </c>
      <c r="F15" s="334"/>
      <c r="G15" s="335"/>
      <c r="H15" s="336"/>
      <c r="I15" s="335">
        <v>3000</v>
      </c>
      <c r="J15" s="634">
        <f t="shared" si="0"/>
        <v>3000</v>
      </c>
      <c r="K15" s="634"/>
      <c r="L15" s="634">
        <f t="shared" si="2"/>
        <v>3000</v>
      </c>
      <c r="M15" s="36"/>
      <c r="N15" s="369"/>
      <c r="O15" s="332"/>
      <c r="P15" s="640">
        <f t="shared" si="7"/>
        <v>0</v>
      </c>
      <c r="Q15" s="640"/>
      <c r="R15" s="640">
        <f t="shared" si="3"/>
        <v>0</v>
      </c>
      <c r="S15" s="36"/>
      <c r="T15" s="278">
        <f t="shared" si="1"/>
        <v>3000</v>
      </c>
      <c r="U15" s="278">
        <f t="shared" si="4"/>
        <v>0</v>
      </c>
      <c r="V15" s="291">
        <f t="shared" si="5"/>
        <v>3000</v>
      </c>
    </row>
    <row r="16" spans="2:22" ht="12.75">
      <c r="B16" s="31">
        <f t="shared" si="6"/>
        <v>8</v>
      </c>
      <c r="C16" s="30"/>
      <c r="D16" s="14"/>
      <c r="E16" s="150" t="s">
        <v>328</v>
      </c>
      <c r="F16" s="334"/>
      <c r="G16" s="335"/>
      <c r="H16" s="336"/>
      <c r="I16" s="335">
        <v>4000</v>
      </c>
      <c r="J16" s="634">
        <f t="shared" si="0"/>
        <v>4000</v>
      </c>
      <c r="K16" s="634"/>
      <c r="L16" s="634">
        <f t="shared" si="2"/>
        <v>4000</v>
      </c>
      <c r="M16" s="36"/>
      <c r="N16" s="369"/>
      <c r="O16" s="332"/>
      <c r="P16" s="640">
        <f t="shared" si="7"/>
        <v>0</v>
      </c>
      <c r="Q16" s="640"/>
      <c r="R16" s="640">
        <f t="shared" si="3"/>
        <v>0</v>
      </c>
      <c r="S16" s="36"/>
      <c r="T16" s="278">
        <f t="shared" si="1"/>
        <v>4000</v>
      </c>
      <c r="U16" s="278">
        <f t="shared" si="4"/>
        <v>0</v>
      </c>
      <c r="V16" s="291">
        <f t="shared" si="5"/>
        <v>4000</v>
      </c>
    </row>
    <row r="17" spans="2:22" ht="12.75">
      <c r="B17" s="31">
        <f t="shared" si="6"/>
        <v>9</v>
      </c>
      <c r="C17" s="30"/>
      <c r="D17" s="14"/>
      <c r="E17" s="150" t="s">
        <v>415</v>
      </c>
      <c r="F17" s="334"/>
      <c r="G17" s="335"/>
      <c r="H17" s="336">
        <v>0</v>
      </c>
      <c r="I17" s="335"/>
      <c r="J17" s="634">
        <f t="shared" si="0"/>
        <v>0</v>
      </c>
      <c r="K17" s="634"/>
      <c r="L17" s="634">
        <f t="shared" si="2"/>
        <v>0</v>
      </c>
      <c r="M17" s="36"/>
      <c r="N17" s="371"/>
      <c r="O17" s="335"/>
      <c r="P17" s="640">
        <v>0</v>
      </c>
      <c r="Q17" s="640"/>
      <c r="R17" s="640">
        <f t="shared" si="3"/>
        <v>0</v>
      </c>
      <c r="S17" s="36"/>
      <c r="T17" s="278">
        <f t="shared" si="1"/>
        <v>0</v>
      </c>
      <c r="U17" s="278">
        <f t="shared" si="4"/>
        <v>0</v>
      </c>
      <c r="V17" s="291">
        <f t="shared" si="5"/>
        <v>0</v>
      </c>
    </row>
    <row r="18" spans="2:22" ht="12.75">
      <c r="B18" s="31">
        <f t="shared" si="6"/>
        <v>10</v>
      </c>
      <c r="C18" s="30"/>
      <c r="D18" s="14"/>
      <c r="E18" s="150" t="s">
        <v>416</v>
      </c>
      <c r="F18" s="334"/>
      <c r="G18" s="335"/>
      <c r="H18" s="336"/>
      <c r="I18" s="335">
        <v>3500</v>
      </c>
      <c r="J18" s="634">
        <f t="shared" si="0"/>
        <v>3500</v>
      </c>
      <c r="K18" s="634"/>
      <c r="L18" s="634">
        <f t="shared" si="2"/>
        <v>3500</v>
      </c>
      <c r="M18" s="36"/>
      <c r="N18" s="371"/>
      <c r="O18" s="335"/>
      <c r="P18" s="640">
        <v>0</v>
      </c>
      <c r="Q18" s="640"/>
      <c r="R18" s="640">
        <f t="shared" si="3"/>
        <v>0</v>
      </c>
      <c r="S18" s="36"/>
      <c r="T18" s="278">
        <f t="shared" si="1"/>
        <v>3500</v>
      </c>
      <c r="U18" s="278">
        <f t="shared" si="4"/>
        <v>0</v>
      </c>
      <c r="V18" s="291">
        <f t="shared" si="5"/>
        <v>3500</v>
      </c>
    </row>
    <row r="19" spans="2:22" ht="12.75">
      <c r="B19" s="31">
        <f t="shared" si="6"/>
        <v>11</v>
      </c>
      <c r="C19" s="30"/>
      <c r="D19" s="14"/>
      <c r="E19" s="150" t="s">
        <v>417</v>
      </c>
      <c r="F19" s="334"/>
      <c r="G19" s="335"/>
      <c r="H19" s="336">
        <f>1500+1500</f>
        <v>3000</v>
      </c>
      <c r="I19" s="335"/>
      <c r="J19" s="634">
        <f t="shared" si="0"/>
        <v>3000</v>
      </c>
      <c r="K19" s="634"/>
      <c r="L19" s="634">
        <f t="shared" si="2"/>
        <v>3000</v>
      </c>
      <c r="M19" s="36"/>
      <c r="N19" s="371"/>
      <c r="O19" s="335"/>
      <c r="P19" s="640">
        <v>0</v>
      </c>
      <c r="Q19" s="640"/>
      <c r="R19" s="640">
        <f t="shared" si="3"/>
        <v>0</v>
      </c>
      <c r="S19" s="36"/>
      <c r="T19" s="278">
        <f t="shared" si="1"/>
        <v>3000</v>
      </c>
      <c r="U19" s="278">
        <f t="shared" si="4"/>
        <v>0</v>
      </c>
      <c r="V19" s="291">
        <f t="shared" si="5"/>
        <v>3000</v>
      </c>
    </row>
    <row r="20" spans="2:22" ht="12.75">
      <c r="B20" s="31">
        <f t="shared" si="6"/>
        <v>12</v>
      </c>
      <c r="C20" s="30"/>
      <c r="D20" s="14"/>
      <c r="E20" s="150" t="s">
        <v>323</v>
      </c>
      <c r="F20" s="334"/>
      <c r="G20" s="335"/>
      <c r="H20" s="336">
        <v>10500</v>
      </c>
      <c r="I20" s="335"/>
      <c r="J20" s="634">
        <f t="shared" si="0"/>
        <v>10500</v>
      </c>
      <c r="K20" s="634"/>
      <c r="L20" s="634">
        <f t="shared" si="2"/>
        <v>10500</v>
      </c>
      <c r="M20" s="36"/>
      <c r="N20" s="371"/>
      <c r="O20" s="335"/>
      <c r="P20" s="640">
        <f t="shared" si="7"/>
        <v>0</v>
      </c>
      <c r="Q20" s="640"/>
      <c r="R20" s="640">
        <f t="shared" si="3"/>
        <v>0</v>
      </c>
      <c r="S20" s="36"/>
      <c r="T20" s="278">
        <f t="shared" si="1"/>
        <v>10500</v>
      </c>
      <c r="U20" s="278">
        <f t="shared" si="4"/>
        <v>0</v>
      </c>
      <c r="V20" s="291">
        <f t="shared" si="5"/>
        <v>10500</v>
      </c>
    </row>
    <row r="21" spans="2:22" ht="12.75">
      <c r="B21" s="31">
        <f t="shared" si="6"/>
        <v>13</v>
      </c>
      <c r="C21" s="30"/>
      <c r="D21" s="14"/>
      <c r="E21" s="150" t="s">
        <v>324</v>
      </c>
      <c r="F21" s="334"/>
      <c r="G21" s="335"/>
      <c r="H21" s="336">
        <f>2500+7000</f>
        <v>9500</v>
      </c>
      <c r="I21" s="335"/>
      <c r="J21" s="634">
        <f t="shared" si="0"/>
        <v>9500</v>
      </c>
      <c r="K21" s="634"/>
      <c r="L21" s="634">
        <f t="shared" si="2"/>
        <v>9500</v>
      </c>
      <c r="M21" s="36"/>
      <c r="N21" s="371"/>
      <c r="O21" s="335"/>
      <c r="P21" s="640">
        <f t="shared" si="7"/>
        <v>0</v>
      </c>
      <c r="Q21" s="640"/>
      <c r="R21" s="640">
        <f t="shared" si="3"/>
        <v>0</v>
      </c>
      <c r="S21" s="36"/>
      <c r="T21" s="278">
        <f t="shared" si="1"/>
        <v>9500</v>
      </c>
      <c r="U21" s="278">
        <f t="shared" si="4"/>
        <v>0</v>
      </c>
      <c r="V21" s="291">
        <f t="shared" si="5"/>
        <v>9500</v>
      </c>
    </row>
    <row r="22" spans="2:22" ht="12.75">
      <c r="B22" s="31">
        <f t="shared" si="6"/>
        <v>14</v>
      </c>
      <c r="C22" s="30"/>
      <c r="D22" s="14"/>
      <c r="E22" s="150" t="s">
        <v>325</v>
      </c>
      <c r="F22" s="334"/>
      <c r="G22" s="335"/>
      <c r="H22" s="336">
        <f>1500+9500</f>
        <v>11000</v>
      </c>
      <c r="I22" s="335"/>
      <c r="J22" s="634">
        <f t="shared" si="0"/>
        <v>11000</v>
      </c>
      <c r="K22" s="634"/>
      <c r="L22" s="634">
        <f t="shared" si="2"/>
        <v>11000</v>
      </c>
      <c r="M22" s="36"/>
      <c r="N22" s="371"/>
      <c r="O22" s="335"/>
      <c r="P22" s="640">
        <f t="shared" si="7"/>
        <v>0</v>
      </c>
      <c r="Q22" s="640"/>
      <c r="R22" s="640">
        <f t="shared" si="3"/>
        <v>0</v>
      </c>
      <c r="S22" s="36"/>
      <c r="T22" s="278">
        <f t="shared" si="1"/>
        <v>11000</v>
      </c>
      <c r="U22" s="278">
        <f t="shared" si="4"/>
        <v>0</v>
      </c>
      <c r="V22" s="291">
        <f t="shared" si="5"/>
        <v>11000</v>
      </c>
    </row>
    <row r="23" spans="2:22" ht="12.75">
      <c r="B23" s="31">
        <f t="shared" si="6"/>
        <v>15</v>
      </c>
      <c r="C23" s="30"/>
      <c r="D23" s="14"/>
      <c r="E23" s="150" t="s">
        <v>342</v>
      </c>
      <c r="F23" s="334"/>
      <c r="G23" s="335"/>
      <c r="H23" s="336">
        <v>3500</v>
      </c>
      <c r="I23" s="335"/>
      <c r="J23" s="634">
        <f t="shared" si="0"/>
        <v>3500</v>
      </c>
      <c r="K23" s="634"/>
      <c r="L23" s="634">
        <f t="shared" si="2"/>
        <v>3500</v>
      </c>
      <c r="M23" s="36"/>
      <c r="N23" s="371"/>
      <c r="O23" s="335"/>
      <c r="P23" s="640">
        <f t="shared" si="7"/>
        <v>0</v>
      </c>
      <c r="Q23" s="640"/>
      <c r="R23" s="640">
        <f t="shared" si="3"/>
        <v>0</v>
      </c>
      <c r="S23" s="36"/>
      <c r="T23" s="278">
        <f t="shared" si="1"/>
        <v>3500</v>
      </c>
      <c r="U23" s="278">
        <f t="shared" si="4"/>
        <v>0</v>
      </c>
      <c r="V23" s="291">
        <f t="shared" si="5"/>
        <v>3500</v>
      </c>
    </row>
    <row r="24" spans="2:22" ht="12.75">
      <c r="B24" s="31">
        <f t="shared" si="6"/>
        <v>16</v>
      </c>
      <c r="C24" s="30"/>
      <c r="D24" s="14"/>
      <c r="E24" s="150" t="s">
        <v>448</v>
      </c>
      <c r="F24" s="334"/>
      <c r="G24" s="334"/>
      <c r="H24" s="361">
        <v>2000</v>
      </c>
      <c r="I24" s="335"/>
      <c r="J24" s="634">
        <f t="shared" si="0"/>
        <v>2000</v>
      </c>
      <c r="K24" s="634"/>
      <c r="L24" s="634">
        <f t="shared" si="2"/>
        <v>2000</v>
      </c>
      <c r="M24" s="36"/>
      <c r="N24" s="371"/>
      <c r="O24" s="335"/>
      <c r="P24" s="640"/>
      <c r="Q24" s="640"/>
      <c r="R24" s="640">
        <f t="shared" si="3"/>
        <v>0</v>
      </c>
      <c r="S24" s="36"/>
      <c r="T24" s="278"/>
      <c r="U24" s="278">
        <f aca="true" t="shared" si="8" ref="U24:U40">K24+Q24</f>
        <v>0</v>
      </c>
      <c r="V24" s="291">
        <f t="shared" si="5"/>
        <v>0</v>
      </c>
    </row>
    <row r="25" spans="2:22" ht="12.75">
      <c r="B25" s="31">
        <f t="shared" si="6"/>
        <v>17</v>
      </c>
      <c r="C25" s="30"/>
      <c r="D25" s="14"/>
      <c r="E25" s="551" t="s">
        <v>358</v>
      </c>
      <c r="F25" s="334"/>
      <c r="G25" s="334"/>
      <c r="H25" s="331">
        <v>8709</v>
      </c>
      <c r="I25" s="335"/>
      <c r="J25" s="634">
        <f t="shared" si="0"/>
        <v>8709</v>
      </c>
      <c r="K25" s="634"/>
      <c r="L25" s="634">
        <f t="shared" si="2"/>
        <v>8709</v>
      </c>
      <c r="M25" s="36"/>
      <c r="N25" s="371"/>
      <c r="O25" s="335"/>
      <c r="P25" s="640">
        <f t="shared" si="7"/>
        <v>0</v>
      </c>
      <c r="Q25" s="640"/>
      <c r="R25" s="640">
        <f t="shared" si="3"/>
        <v>0</v>
      </c>
      <c r="S25" s="36"/>
      <c r="T25" s="278">
        <f>J25+P25</f>
        <v>8709</v>
      </c>
      <c r="U25" s="278">
        <f t="shared" si="8"/>
        <v>0</v>
      </c>
      <c r="V25" s="291">
        <f t="shared" si="5"/>
        <v>8709</v>
      </c>
    </row>
    <row r="26" spans="2:22" ht="15">
      <c r="B26" s="31">
        <f t="shared" si="6"/>
        <v>18</v>
      </c>
      <c r="C26" s="42">
        <v>2</v>
      </c>
      <c r="D26" s="43" t="s">
        <v>126</v>
      </c>
      <c r="E26" s="140"/>
      <c r="F26" s="158">
        <v>0</v>
      </c>
      <c r="G26" s="158">
        <v>0</v>
      </c>
      <c r="H26" s="158">
        <f>SUM(H27:H33)</f>
        <v>143000</v>
      </c>
      <c r="I26" s="162">
        <f>SUM(I27:I34)</f>
        <v>11000</v>
      </c>
      <c r="J26" s="635">
        <f aca="true" t="shared" si="9" ref="J26:J35">SUM(F26:I26)</f>
        <v>154000</v>
      </c>
      <c r="K26" s="949"/>
      <c r="L26" s="741">
        <f t="shared" si="2"/>
        <v>154000</v>
      </c>
      <c r="M26" s="264"/>
      <c r="N26" s="258">
        <f>SUM(N27:N33)</f>
        <v>250</v>
      </c>
      <c r="O26" s="162">
        <f>SUM(O27:O34)</f>
        <v>27782</v>
      </c>
      <c r="P26" s="655">
        <f aca="true" t="shared" si="10" ref="P26:P33">SUM(N26:O26)</f>
        <v>28032</v>
      </c>
      <c r="Q26" s="939">
        <f>SUM(Q27:Q34)</f>
        <v>2145</v>
      </c>
      <c r="R26" s="764">
        <f t="shared" si="3"/>
        <v>30177</v>
      </c>
      <c r="S26" s="264"/>
      <c r="T26" s="751">
        <f>J26+P26</f>
        <v>182032</v>
      </c>
      <c r="U26" s="929">
        <f t="shared" si="8"/>
        <v>2145</v>
      </c>
      <c r="V26" s="771">
        <f t="shared" si="5"/>
        <v>184177</v>
      </c>
    </row>
    <row r="27" spans="2:22" ht="12.75">
      <c r="B27" s="31">
        <f t="shared" si="6"/>
        <v>19</v>
      </c>
      <c r="C27" s="29"/>
      <c r="D27" s="2"/>
      <c r="E27" s="442" t="s">
        <v>362</v>
      </c>
      <c r="F27" s="331"/>
      <c r="G27" s="332"/>
      <c r="H27" s="336">
        <v>125000</v>
      </c>
      <c r="I27" s="335"/>
      <c r="J27" s="634">
        <f t="shared" si="9"/>
        <v>125000</v>
      </c>
      <c r="K27" s="634"/>
      <c r="L27" s="634">
        <f t="shared" si="2"/>
        <v>125000</v>
      </c>
      <c r="M27" s="36"/>
      <c r="N27" s="369"/>
      <c r="O27" s="332"/>
      <c r="P27" s="640">
        <f t="shared" si="10"/>
        <v>0</v>
      </c>
      <c r="Q27" s="640"/>
      <c r="R27" s="640">
        <f t="shared" si="3"/>
        <v>0</v>
      </c>
      <c r="S27" s="36"/>
      <c r="T27" s="261">
        <f>J27+P27</f>
        <v>125000</v>
      </c>
      <c r="U27" s="261">
        <f t="shared" si="8"/>
        <v>0</v>
      </c>
      <c r="V27" s="315">
        <f t="shared" si="5"/>
        <v>125000</v>
      </c>
    </row>
    <row r="28" spans="2:22" ht="12.75">
      <c r="B28" s="31">
        <f t="shared" si="6"/>
        <v>20</v>
      </c>
      <c r="C28" s="30"/>
      <c r="D28" s="2"/>
      <c r="E28" s="442" t="s">
        <v>402</v>
      </c>
      <c r="F28" s="334"/>
      <c r="G28" s="335"/>
      <c r="H28" s="336">
        <v>18000</v>
      </c>
      <c r="I28" s="335"/>
      <c r="J28" s="634">
        <f t="shared" si="9"/>
        <v>18000</v>
      </c>
      <c r="K28" s="634"/>
      <c r="L28" s="634">
        <f t="shared" si="2"/>
        <v>18000</v>
      </c>
      <c r="M28" s="36"/>
      <c r="N28" s="371"/>
      <c r="O28" s="335"/>
      <c r="P28" s="640">
        <f t="shared" si="10"/>
        <v>0</v>
      </c>
      <c r="Q28" s="640"/>
      <c r="R28" s="640">
        <f t="shared" si="3"/>
        <v>0</v>
      </c>
      <c r="S28" s="36"/>
      <c r="T28" s="261">
        <f>J28+P28</f>
        <v>18000</v>
      </c>
      <c r="U28" s="261">
        <f t="shared" si="8"/>
        <v>0</v>
      </c>
      <c r="V28" s="315">
        <f t="shared" si="5"/>
        <v>18000</v>
      </c>
    </row>
    <row r="29" spans="2:22" ht="12.75">
      <c r="B29" s="31">
        <f t="shared" si="6"/>
        <v>21</v>
      </c>
      <c r="C29" s="30"/>
      <c r="D29" s="2"/>
      <c r="E29" s="442" t="s">
        <v>439</v>
      </c>
      <c r="F29" s="334"/>
      <c r="G29" s="335"/>
      <c r="H29" s="336"/>
      <c r="I29" s="335">
        <v>11000</v>
      </c>
      <c r="J29" s="634">
        <f t="shared" si="9"/>
        <v>11000</v>
      </c>
      <c r="K29" s="634"/>
      <c r="L29" s="634">
        <f t="shared" si="2"/>
        <v>11000</v>
      </c>
      <c r="M29" s="36"/>
      <c r="N29" s="371"/>
      <c r="O29" s="335"/>
      <c r="P29" s="640"/>
      <c r="Q29" s="640"/>
      <c r="R29" s="640">
        <f t="shared" si="3"/>
        <v>0</v>
      </c>
      <c r="S29" s="36"/>
      <c r="T29" s="261"/>
      <c r="U29" s="261">
        <f t="shared" si="8"/>
        <v>0</v>
      </c>
      <c r="V29" s="315">
        <f t="shared" si="5"/>
        <v>0</v>
      </c>
    </row>
    <row r="30" spans="2:22" ht="12.75">
      <c r="B30" s="31">
        <f t="shared" si="6"/>
        <v>22</v>
      </c>
      <c r="C30" s="30"/>
      <c r="D30" s="2"/>
      <c r="E30" s="442" t="s">
        <v>464</v>
      </c>
      <c r="F30" s="334"/>
      <c r="G30" s="335"/>
      <c r="H30" s="336"/>
      <c r="I30" s="335"/>
      <c r="J30" s="634">
        <f t="shared" si="9"/>
        <v>0</v>
      </c>
      <c r="K30" s="634"/>
      <c r="L30" s="634">
        <f t="shared" si="2"/>
        <v>0</v>
      </c>
      <c r="M30" s="36"/>
      <c r="N30" s="371"/>
      <c r="O30" s="335">
        <f>14072-3500</f>
        <v>10572</v>
      </c>
      <c r="P30" s="640">
        <f t="shared" si="10"/>
        <v>10572</v>
      </c>
      <c r="Q30" s="640"/>
      <c r="R30" s="640">
        <f t="shared" si="3"/>
        <v>10572</v>
      </c>
      <c r="S30" s="36"/>
      <c r="T30" s="261">
        <f aca="true" t="shared" si="11" ref="T30:T38">J30+P30</f>
        <v>10572</v>
      </c>
      <c r="U30" s="261">
        <f t="shared" si="8"/>
        <v>0</v>
      </c>
      <c r="V30" s="315">
        <f t="shared" si="5"/>
        <v>10572</v>
      </c>
    </row>
    <row r="31" spans="2:22" ht="12.75">
      <c r="B31" s="31">
        <f t="shared" si="6"/>
        <v>23</v>
      </c>
      <c r="C31" s="30"/>
      <c r="D31" s="2"/>
      <c r="E31" s="150" t="s">
        <v>458</v>
      </c>
      <c r="F31" s="334"/>
      <c r="G31" s="335"/>
      <c r="H31" s="336"/>
      <c r="I31" s="335"/>
      <c r="J31" s="634">
        <v>0</v>
      </c>
      <c r="K31" s="634"/>
      <c r="L31" s="634">
        <v>0</v>
      </c>
      <c r="M31" s="36"/>
      <c r="N31" s="371"/>
      <c r="O31" s="335"/>
      <c r="P31" s="640"/>
      <c r="Q31" s="640">
        <v>2010</v>
      </c>
      <c r="R31" s="640">
        <f t="shared" si="3"/>
        <v>2010</v>
      </c>
      <c r="S31" s="36"/>
      <c r="T31" s="261">
        <f t="shared" si="11"/>
        <v>0</v>
      </c>
      <c r="U31" s="261">
        <f t="shared" si="8"/>
        <v>2010</v>
      </c>
      <c r="V31" s="315">
        <f t="shared" si="5"/>
        <v>2010</v>
      </c>
    </row>
    <row r="32" spans="2:22" ht="12.75">
      <c r="B32" s="31">
        <f t="shared" si="6"/>
        <v>24</v>
      </c>
      <c r="C32" s="30"/>
      <c r="D32" s="2"/>
      <c r="E32" s="297" t="s">
        <v>344</v>
      </c>
      <c r="F32" s="334"/>
      <c r="G32" s="335"/>
      <c r="H32" s="336"/>
      <c r="I32" s="335"/>
      <c r="J32" s="634">
        <f t="shared" si="9"/>
        <v>0</v>
      </c>
      <c r="K32" s="634"/>
      <c r="L32" s="634">
        <f t="shared" si="2"/>
        <v>0</v>
      </c>
      <c r="M32" s="36"/>
      <c r="N32" s="371"/>
      <c r="O32" s="335">
        <f>15710-3500</f>
        <v>12210</v>
      </c>
      <c r="P32" s="640">
        <f t="shared" si="10"/>
        <v>12210</v>
      </c>
      <c r="Q32" s="640"/>
      <c r="R32" s="640">
        <f t="shared" si="3"/>
        <v>12210</v>
      </c>
      <c r="S32" s="36"/>
      <c r="T32" s="261">
        <f t="shared" si="11"/>
        <v>12210</v>
      </c>
      <c r="U32" s="261">
        <f t="shared" si="8"/>
        <v>0</v>
      </c>
      <c r="V32" s="315">
        <f t="shared" si="5"/>
        <v>12210</v>
      </c>
    </row>
    <row r="33" spans="2:22" ht="12.75">
      <c r="B33" s="31">
        <f t="shared" si="6"/>
        <v>25</v>
      </c>
      <c r="C33" s="30"/>
      <c r="D33" s="2"/>
      <c r="E33" s="297" t="s">
        <v>345</v>
      </c>
      <c r="F33" s="334"/>
      <c r="G33" s="335"/>
      <c r="H33" s="336"/>
      <c r="I33" s="335"/>
      <c r="J33" s="634">
        <f t="shared" si="9"/>
        <v>0</v>
      </c>
      <c r="K33" s="634"/>
      <c r="L33" s="634">
        <f t="shared" si="2"/>
        <v>0</v>
      </c>
      <c r="M33" s="36"/>
      <c r="N33" s="371">
        <v>250</v>
      </c>
      <c r="O33" s="335"/>
      <c r="P33" s="640">
        <f t="shared" si="10"/>
        <v>250</v>
      </c>
      <c r="Q33" s="640">
        <v>135</v>
      </c>
      <c r="R33" s="640">
        <f t="shared" si="3"/>
        <v>385</v>
      </c>
      <c r="S33" s="36"/>
      <c r="T33" s="261">
        <f t="shared" si="11"/>
        <v>250</v>
      </c>
      <c r="U33" s="261">
        <f t="shared" si="8"/>
        <v>135</v>
      </c>
      <c r="V33" s="315">
        <f t="shared" si="5"/>
        <v>385</v>
      </c>
    </row>
    <row r="34" spans="2:22" ht="12.75">
      <c r="B34" s="31">
        <f t="shared" si="6"/>
        <v>26</v>
      </c>
      <c r="C34" s="30"/>
      <c r="D34" s="2"/>
      <c r="E34" s="297" t="s">
        <v>418</v>
      </c>
      <c r="F34" s="334"/>
      <c r="G34" s="335"/>
      <c r="H34" s="336"/>
      <c r="I34" s="335"/>
      <c r="J34" s="634">
        <f>SUM(F34:I34)</f>
        <v>0</v>
      </c>
      <c r="K34" s="634"/>
      <c r="L34" s="634">
        <f t="shared" si="2"/>
        <v>0</v>
      </c>
      <c r="M34" s="36"/>
      <c r="N34" s="371"/>
      <c r="O34" s="335">
        <v>5000</v>
      </c>
      <c r="P34" s="640">
        <f>SUM(N34:O34)</f>
        <v>5000</v>
      </c>
      <c r="Q34" s="640"/>
      <c r="R34" s="640">
        <f t="shared" si="3"/>
        <v>5000</v>
      </c>
      <c r="S34" s="36"/>
      <c r="T34" s="261">
        <f t="shared" si="11"/>
        <v>5000</v>
      </c>
      <c r="U34" s="261">
        <f t="shared" si="8"/>
        <v>0</v>
      </c>
      <c r="V34" s="315">
        <f t="shared" si="5"/>
        <v>5000</v>
      </c>
    </row>
    <row r="35" spans="2:22" ht="15">
      <c r="B35" s="31">
        <f t="shared" si="6"/>
        <v>27</v>
      </c>
      <c r="C35" s="42">
        <v>3</v>
      </c>
      <c r="D35" s="43" t="s">
        <v>127</v>
      </c>
      <c r="E35" s="140"/>
      <c r="F35" s="158"/>
      <c r="G35" s="162"/>
      <c r="H35" s="162">
        <f>SUM(H36:H36)</f>
        <v>17623</v>
      </c>
      <c r="I35" s="162"/>
      <c r="J35" s="635">
        <f t="shared" si="9"/>
        <v>17623</v>
      </c>
      <c r="K35" s="949"/>
      <c r="L35" s="741">
        <f t="shared" si="2"/>
        <v>17623</v>
      </c>
      <c r="M35" s="264"/>
      <c r="N35" s="258"/>
      <c r="O35" s="162"/>
      <c r="P35" s="655">
        <v>0</v>
      </c>
      <c r="Q35" s="939"/>
      <c r="R35" s="764">
        <f t="shared" si="3"/>
        <v>0</v>
      </c>
      <c r="S35" s="264"/>
      <c r="T35" s="751">
        <f t="shared" si="11"/>
        <v>17623</v>
      </c>
      <c r="U35" s="929">
        <f t="shared" si="8"/>
        <v>0</v>
      </c>
      <c r="V35" s="771">
        <f t="shared" si="5"/>
        <v>17623</v>
      </c>
    </row>
    <row r="36" spans="2:22" ht="12.75">
      <c r="B36" s="31">
        <f t="shared" si="6"/>
        <v>28</v>
      </c>
      <c r="C36" s="30"/>
      <c r="D36" s="515"/>
      <c r="E36" s="552" t="s">
        <v>358</v>
      </c>
      <c r="F36" s="334"/>
      <c r="G36" s="334"/>
      <c r="H36" s="331">
        <v>17623</v>
      </c>
      <c r="I36" s="335"/>
      <c r="J36" s="634">
        <f>H36</f>
        <v>17623</v>
      </c>
      <c r="K36" s="634"/>
      <c r="L36" s="634">
        <f t="shared" si="2"/>
        <v>17623</v>
      </c>
      <c r="M36" s="36"/>
      <c r="N36" s="371"/>
      <c r="O36" s="335"/>
      <c r="P36" s="641"/>
      <c r="Q36" s="641"/>
      <c r="R36" s="641">
        <f t="shared" si="3"/>
        <v>0</v>
      </c>
      <c r="S36" s="36"/>
      <c r="T36" s="278">
        <f t="shared" si="11"/>
        <v>17623</v>
      </c>
      <c r="U36" s="278">
        <f t="shared" si="8"/>
        <v>0</v>
      </c>
      <c r="V36" s="291">
        <f t="shared" si="5"/>
        <v>17623</v>
      </c>
    </row>
    <row r="37" spans="2:22" ht="15">
      <c r="B37" s="31">
        <f t="shared" si="6"/>
        <v>29</v>
      </c>
      <c r="C37" s="42">
        <v>4</v>
      </c>
      <c r="D37" s="43" t="s">
        <v>128</v>
      </c>
      <c r="E37" s="140"/>
      <c r="F37" s="158"/>
      <c r="G37" s="162"/>
      <c r="H37" s="162">
        <f>SUM(H38:H39)</f>
        <v>19403</v>
      </c>
      <c r="I37" s="162"/>
      <c r="J37" s="635">
        <f>SUM(F37:I37)</f>
        <v>19403</v>
      </c>
      <c r="K37" s="949"/>
      <c r="L37" s="741">
        <f t="shared" si="2"/>
        <v>19403</v>
      </c>
      <c r="M37" s="264"/>
      <c r="N37" s="258"/>
      <c r="O37" s="162"/>
      <c r="P37" s="655">
        <f>SUM(N37:O37)</f>
        <v>0</v>
      </c>
      <c r="Q37" s="939"/>
      <c r="R37" s="764">
        <f t="shared" si="3"/>
        <v>0</v>
      </c>
      <c r="S37" s="264"/>
      <c r="T37" s="751">
        <f t="shared" si="11"/>
        <v>19403</v>
      </c>
      <c r="U37" s="929">
        <f t="shared" si="8"/>
        <v>0</v>
      </c>
      <c r="V37" s="771">
        <f t="shared" si="5"/>
        <v>19403</v>
      </c>
    </row>
    <row r="38" spans="2:22" ht="12.75">
      <c r="B38" s="31">
        <f t="shared" si="6"/>
        <v>30</v>
      </c>
      <c r="C38" s="30"/>
      <c r="D38" s="515"/>
      <c r="E38" s="552" t="s">
        <v>358</v>
      </c>
      <c r="F38" s="334"/>
      <c r="G38" s="334"/>
      <c r="H38" s="331">
        <v>8168</v>
      </c>
      <c r="I38" s="335"/>
      <c r="J38" s="634">
        <f>H38</f>
        <v>8168</v>
      </c>
      <c r="K38" s="634"/>
      <c r="L38" s="634">
        <f t="shared" si="2"/>
        <v>8168</v>
      </c>
      <c r="M38" s="36"/>
      <c r="N38" s="369"/>
      <c r="O38" s="332"/>
      <c r="P38" s="640"/>
      <c r="Q38" s="640"/>
      <c r="R38" s="640">
        <f t="shared" si="3"/>
        <v>0</v>
      </c>
      <c r="S38" s="36"/>
      <c r="T38" s="278">
        <f t="shared" si="11"/>
        <v>8168</v>
      </c>
      <c r="U38" s="278">
        <f t="shared" si="8"/>
        <v>0</v>
      </c>
      <c r="V38" s="291">
        <f t="shared" si="5"/>
        <v>8168</v>
      </c>
    </row>
    <row r="39" spans="2:22" ht="12.75">
      <c r="B39" s="694">
        <f t="shared" si="6"/>
        <v>31</v>
      </c>
      <c r="C39" s="29"/>
      <c r="D39" s="515"/>
      <c r="E39" s="594" t="s">
        <v>440</v>
      </c>
      <c r="F39" s="331"/>
      <c r="G39" s="331"/>
      <c r="H39" s="331">
        <v>11235</v>
      </c>
      <c r="I39" s="332"/>
      <c r="J39" s="634">
        <f>H39</f>
        <v>11235</v>
      </c>
      <c r="K39" s="634"/>
      <c r="L39" s="634">
        <f t="shared" si="2"/>
        <v>11235</v>
      </c>
      <c r="M39" s="36"/>
      <c r="N39" s="371"/>
      <c r="O39" s="335"/>
      <c r="P39" s="641"/>
      <c r="Q39" s="641"/>
      <c r="R39" s="641">
        <f t="shared" si="3"/>
        <v>0</v>
      </c>
      <c r="S39" s="36"/>
      <c r="T39" s="278"/>
      <c r="U39" s="278">
        <f t="shared" si="8"/>
        <v>0</v>
      </c>
      <c r="V39" s="291">
        <f t="shared" si="5"/>
        <v>0</v>
      </c>
    </row>
    <row r="40" spans="2:22" ht="15.75" thickBot="1">
      <c r="B40" s="32">
        <f>B39+1</f>
        <v>32</v>
      </c>
      <c r="C40" s="56">
        <v>5</v>
      </c>
      <c r="D40" s="57" t="s">
        <v>129</v>
      </c>
      <c r="E40" s="401"/>
      <c r="F40" s="166"/>
      <c r="G40" s="167"/>
      <c r="H40" s="167"/>
      <c r="I40" s="167"/>
      <c r="J40" s="636">
        <f>SUM(F40:I40)</f>
        <v>0</v>
      </c>
      <c r="K40" s="955"/>
      <c r="L40" s="742">
        <f t="shared" si="2"/>
        <v>0</v>
      </c>
      <c r="M40" s="264"/>
      <c r="N40" s="298"/>
      <c r="O40" s="167">
        <v>18320</v>
      </c>
      <c r="P40" s="655">
        <f>SUM(N40:O40)</f>
        <v>18320</v>
      </c>
      <c r="Q40" s="939"/>
      <c r="R40" s="764">
        <f t="shared" si="3"/>
        <v>18320</v>
      </c>
      <c r="S40" s="264"/>
      <c r="T40" s="752">
        <f>J40+P40</f>
        <v>18320</v>
      </c>
      <c r="U40" s="930">
        <f t="shared" si="8"/>
        <v>0</v>
      </c>
      <c r="V40" s="849">
        <f t="shared" si="5"/>
        <v>18320</v>
      </c>
    </row>
    <row r="41" spans="10:12" ht="12.75">
      <c r="J41" s="34"/>
      <c r="K41" s="34"/>
      <c r="L41" s="34"/>
    </row>
    <row r="42" spans="8:12" ht="12.75">
      <c r="H42" s="19"/>
      <c r="I42" s="19"/>
      <c r="J42" s="252"/>
      <c r="K42" s="252"/>
      <c r="L42" s="252"/>
    </row>
    <row r="43" ht="12.75">
      <c r="K43" s="19"/>
    </row>
  </sheetData>
  <sheetProtection/>
  <mergeCells count="22">
    <mergeCell ref="F7:F8"/>
    <mergeCell ref="H7:H8"/>
    <mergeCell ref="K7:K8"/>
    <mergeCell ref="N7:N8"/>
    <mergeCell ref="V4:V8"/>
    <mergeCell ref="B5:L5"/>
    <mergeCell ref="E6:L6"/>
    <mergeCell ref="Q7:Q8"/>
    <mergeCell ref="R7:R8"/>
    <mergeCell ref="D6:D8"/>
    <mergeCell ref="O7:O8"/>
    <mergeCell ref="G7:G8"/>
    <mergeCell ref="U4:U8"/>
    <mergeCell ref="T4:T8"/>
    <mergeCell ref="I7:I8"/>
    <mergeCell ref="L7:L8"/>
    <mergeCell ref="C6:C8"/>
    <mergeCell ref="J7:J8"/>
    <mergeCell ref="B4:R4"/>
    <mergeCell ref="N5:R5"/>
    <mergeCell ref="N6:R6"/>
    <mergeCell ref="P7:P8"/>
  </mergeCells>
  <printOptions/>
  <pageMargins left="0.2755905511811024" right="0.2362204724409449" top="0.4724409448818898" bottom="0.2362204724409449" header="0.31496062992125984" footer="0.196850393700787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Normal="92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2.421875" style="5" customWidth="1"/>
    <col min="4" max="4" width="2.28125" style="0" customWidth="1"/>
    <col min="5" max="5" width="34.140625" style="0" customWidth="1"/>
    <col min="6" max="7" width="6.8515625" style="0" customWidth="1"/>
    <col min="8" max="8" width="9.421875" style="0" customWidth="1"/>
    <col min="9" max="9" width="6.7109375" style="0" customWidth="1"/>
    <col min="10" max="10" width="10.28125" style="0" customWidth="1"/>
    <col min="11" max="11" width="9.140625" style="0" customWidth="1"/>
    <col min="12" max="12" width="10.28125" style="0" customWidth="1"/>
    <col min="13" max="13" width="1.7109375" style="47" customWidth="1"/>
    <col min="14" max="14" width="6.00390625" style="0" customWidth="1"/>
    <col min="15" max="15" width="7.8515625" style="0" customWidth="1"/>
    <col min="16" max="16" width="9.57421875" style="0" customWidth="1"/>
    <col min="17" max="17" width="9.28125" style="0" customWidth="1"/>
    <col min="18" max="18" width="10.00390625" style="0" customWidth="1"/>
    <col min="19" max="19" width="1.7109375" style="272" customWidth="1"/>
    <col min="20" max="20" width="10.28125" style="0" customWidth="1"/>
    <col min="21" max="21" width="8.8515625" style="0" customWidth="1"/>
    <col min="22" max="22" width="11.140625" style="0" customWidth="1"/>
    <col min="23" max="23" width="4.140625" style="0" customWidth="1"/>
  </cols>
  <sheetData>
    <row r="1" spans="10:20" ht="15.75" customHeight="1">
      <c r="J1" s="195"/>
      <c r="K1" s="195"/>
      <c r="L1" s="195"/>
      <c r="M1" s="49"/>
      <c r="N1" s="45"/>
      <c r="O1" s="45"/>
      <c r="P1" s="51"/>
      <c r="Q1" s="51"/>
      <c r="R1" s="51"/>
      <c r="S1" s="198"/>
      <c r="T1" s="267"/>
    </row>
    <row r="2" spans="2:22" ht="27">
      <c r="B2" s="981"/>
      <c r="C2" s="982" t="s">
        <v>350</v>
      </c>
      <c r="D2" s="970"/>
      <c r="E2" s="970"/>
      <c r="F2" s="970"/>
      <c r="G2" s="970"/>
      <c r="H2" s="970"/>
      <c r="I2" s="979"/>
      <c r="J2" s="985"/>
      <c r="K2" s="985"/>
      <c r="L2" s="985"/>
      <c r="M2" s="979"/>
      <c r="N2" s="970"/>
      <c r="O2" s="970"/>
      <c r="P2" s="988"/>
      <c r="Q2" s="988"/>
      <c r="R2" s="988"/>
      <c r="S2" s="991"/>
      <c r="T2" s="988"/>
      <c r="U2" s="970"/>
      <c r="V2" s="970"/>
    </row>
    <row r="3" spans="2:22" ht="4.5" customHeight="1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79"/>
      <c r="N3" s="970"/>
      <c r="O3" s="970"/>
      <c r="P3" s="970"/>
      <c r="Q3" s="970"/>
      <c r="R3" s="970"/>
      <c r="S3" s="991"/>
      <c r="T3" s="970"/>
      <c r="U3" s="970"/>
      <c r="V3" s="970"/>
    </row>
    <row r="4" spans="2:22" ht="12.75" customHeight="1" thickBot="1">
      <c r="B4" s="1089" t="s">
        <v>316</v>
      </c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1"/>
      <c r="S4" s="273"/>
      <c r="T4" s="1029" t="s">
        <v>450</v>
      </c>
      <c r="U4" s="1051" t="s">
        <v>451</v>
      </c>
      <c r="V4" s="1042" t="s">
        <v>452</v>
      </c>
    </row>
    <row r="5" spans="2:22" ht="18.75" customHeight="1" thickTop="1">
      <c r="B5" s="1092" t="s">
        <v>12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4"/>
      <c r="M5" s="293"/>
      <c r="N5" s="1092" t="s">
        <v>300</v>
      </c>
      <c r="O5" s="1093"/>
      <c r="P5" s="1093"/>
      <c r="Q5" s="1093"/>
      <c r="R5" s="1094"/>
      <c r="S5" s="274"/>
      <c r="T5" s="1030"/>
      <c r="U5" s="1052"/>
      <c r="V5" s="1095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15"/>
      <c r="N6" s="1039" t="s">
        <v>11</v>
      </c>
      <c r="O6" s="1025"/>
      <c r="P6" s="1025"/>
      <c r="Q6" s="1025"/>
      <c r="R6" s="1026"/>
      <c r="S6" s="15"/>
      <c r="T6" s="1030"/>
      <c r="U6" s="1052"/>
      <c r="V6" s="1095"/>
    </row>
    <row r="7" spans="2:22" ht="27.75" customHeight="1">
      <c r="B7" s="41"/>
      <c r="C7" s="1055"/>
      <c r="D7" s="1055"/>
      <c r="E7" s="441" t="s">
        <v>5</v>
      </c>
      <c r="F7" s="1036">
        <v>610</v>
      </c>
      <c r="G7" s="1032">
        <v>620</v>
      </c>
      <c r="H7" s="1032">
        <v>630</v>
      </c>
      <c r="I7" s="1038">
        <v>640</v>
      </c>
      <c r="J7" s="1027" t="s">
        <v>450</v>
      </c>
      <c r="K7" s="1034" t="s">
        <v>451</v>
      </c>
      <c r="L7" s="1040" t="s">
        <v>452</v>
      </c>
      <c r="M7" s="255"/>
      <c r="N7" s="1057">
        <v>716</v>
      </c>
      <c r="O7" s="1060">
        <v>717</v>
      </c>
      <c r="P7" s="1027" t="s">
        <v>450</v>
      </c>
      <c r="Q7" s="1034" t="s">
        <v>451</v>
      </c>
      <c r="R7" s="1040" t="s">
        <v>452</v>
      </c>
      <c r="S7" s="275"/>
      <c r="T7" s="1030"/>
      <c r="U7" s="1052"/>
      <c r="V7" s="1095"/>
    </row>
    <row r="8" spans="2:22" ht="34.5" customHeight="1" thickBot="1">
      <c r="B8" s="46"/>
      <c r="C8" s="1056"/>
      <c r="D8" s="1056"/>
      <c r="E8" s="127"/>
      <c r="F8" s="1037"/>
      <c r="G8" s="1033"/>
      <c r="H8" s="1033"/>
      <c r="I8" s="1033"/>
      <c r="J8" s="1028"/>
      <c r="K8" s="1035"/>
      <c r="L8" s="1041"/>
      <c r="M8" s="200"/>
      <c r="N8" s="1077"/>
      <c r="O8" s="1036"/>
      <c r="P8" s="1028"/>
      <c r="Q8" s="1035"/>
      <c r="R8" s="1041"/>
      <c r="S8" s="375"/>
      <c r="T8" s="1031"/>
      <c r="U8" s="1053"/>
      <c r="V8" s="1096"/>
    </row>
    <row r="9" spans="2:23" ht="25.5" customHeight="1" thickBot="1" thickTop="1">
      <c r="B9" s="31">
        <v>1</v>
      </c>
      <c r="C9" s="203" t="s">
        <v>258</v>
      </c>
      <c r="D9" s="283"/>
      <c r="E9" s="444"/>
      <c r="F9" s="288">
        <f>F10+F15+F23+F26+F28+F30</f>
        <v>70100</v>
      </c>
      <c r="G9" s="288">
        <f>G10+G15+G23+G26+G28+G30</f>
        <v>25436</v>
      </c>
      <c r="H9" s="288">
        <f>H10+H15+H23+H26+H28+H30</f>
        <v>2661169</v>
      </c>
      <c r="I9" s="288">
        <f>I10+I15+I23+I26+I28+I30</f>
        <v>15240</v>
      </c>
      <c r="J9" s="678">
        <f>SUM(F9:I9)</f>
        <v>2771945</v>
      </c>
      <c r="K9" s="956">
        <f>K10+K15+K23+K26+K28+K30</f>
        <v>39520</v>
      </c>
      <c r="L9" s="793">
        <f>J9+K9</f>
        <v>2811465</v>
      </c>
      <c r="M9" s="281"/>
      <c r="N9" s="330">
        <f>N10+N15+N23+N26+N28+N30</f>
        <v>1500</v>
      </c>
      <c r="O9" s="328">
        <f>O10+O15+O23+O26+O28+O30</f>
        <v>119149</v>
      </c>
      <c r="P9" s="678">
        <f>SUM(N9:O9)</f>
        <v>120649</v>
      </c>
      <c r="Q9" s="956">
        <f>Q10+Q15+Q23+Q26+Q28+Q30</f>
        <v>0</v>
      </c>
      <c r="R9" s="793">
        <f>P9+Q9</f>
        <v>120649</v>
      </c>
      <c r="S9" s="281"/>
      <c r="T9" s="791">
        <f aca="true" t="shared" si="0" ref="T9:T30">J9+P9</f>
        <v>2892594</v>
      </c>
      <c r="U9" s="954">
        <f aca="true" t="shared" si="1" ref="U9:U30">K9+Q9</f>
        <v>39520</v>
      </c>
      <c r="V9" s="792">
        <f>T9+U9</f>
        <v>2932114</v>
      </c>
      <c r="W9" s="19"/>
    </row>
    <row r="10" spans="2:23" ht="15.75" thickTop="1">
      <c r="B10" s="31">
        <f>B9+1</f>
        <v>2</v>
      </c>
      <c r="C10" s="42">
        <v>1</v>
      </c>
      <c r="D10" s="43" t="s">
        <v>1</v>
      </c>
      <c r="E10" s="140"/>
      <c r="F10" s="158">
        <f>F11</f>
        <v>5760</v>
      </c>
      <c r="G10" s="162">
        <f>G11</f>
        <v>2065</v>
      </c>
      <c r="H10" s="162">
        <f>SUM(H11:H14)</f>
        <v>646716</v>
      </c>
      <c r="I10" s="162">
        <f>I11</f>
        <v>240</v>
      </c>
      <c r="J10" s="650">
        <f>SUM(F10:I10)</f>
        <v>654781</v>
      </c>
      <c r="K10" s="957">
        <f>SUM(K11:K14)</f>
        <v>-6480</v>
      </c>
      <c r="L10" s="794">
        <f aca="true" t="shared" si="2" ref="L10:L30">J10+K10</f>
        <v>648301</v>
      </c>
      <c r="M10" s="264"/>
      <c r="N10" s="303">
        <f>SUM(N11:N14)</f>
        <v>1500</v>
      </c>
      <c r="O10" s="158">
        <f>SUM(O11:O14)</f>
        <v>48139</v>
      </c>
      <c r="P10" s="655">
        <f>SUM(N10:O10)</f>
        <v>49639</v>
      </c>
      <c r="Q10" s="939"/>
      <c r="R10" s="764">
        <f aca="true" t="shared" si="3" ref="R10:R30">P10+Q10</f>
        <v>49639</v>
      </c>
      <c r="S10" s="264"/>
      <c r="T10" s="768">
        <f t="shared" si="0"/>
        <v>704420</v>
      </c>
      <c r="U10" s="941">
        <f t="shared" si="1"/>
        <v>-6480</v>
      </c>
      <c r="V10" s="770">
        <f aca="true" t="shared" si="4" ref="V10:V30">T10+U10</f>
        <v>697940</v>
      </c>
      <c r="W10" s="19"/>
    </row>
    <row r="11" spans="2:22" ht="12.75">
      <c r="B11" s="31">
        <f aca="true" t="shared" si="5" ref="B11:B30">B10+1</f>
        <v>3</v>
      </c>
      <c r="C11" s="148"/>
      <c r="D11" s="72"/>
      <c r="E11" s="443" t="s">
        <v>327</v>
      </c>
      <c r="F11" s="334">
        <f>4500+1260</f>
        <v>5760</v>
      </c>
      <c r="G11" s="334">
        <f>1620+445</f>
        <v>2065</v>
      </c>
      <c r="H11" s="333">
        <f>28880+3880</f>
        <v>32760</v>
      </c>
      <c r="I11" s="335">
        <v>240</v>
      </c>
      <c r="J11" s="640">
        <f aca="true" t="shared" si="6" ref="J11:J24">SUM(F11:I11)</f>
        <v>40825</v>
      </c>
      <c r="K11" s="640">
        <f>120-6600</f>
        <v>-6480</v>
      </c>
      <c r="L11" s="640">
        <f t="shared" si="2"/>
        <v>34345</v>
      </c>
      <c r="M11" s="36"/>
      <c r="N11" s="352"/>
      <c r="O11" s="331"/>
      <c r="P11" s="682">
        <f aca="true" t="shared" si="7" ref="P11:P24">SUM(N11:O11)</f>
        <v>0</v>
      </c>
      <c r="Q11" s="682"/>
      <c r="R11" s="682">
        <f t="shared" si="3"/>
        <v>0</v>
      </c>
      <c r="S11" s="383"/>
      <c r="T11" s="384">
        <f t="shared" si="0"/>
        <v>40825</v>
      </c>
      <c r="U11" s="384">
        <f t="shared" si="1"/>
        <v>-6480</v>
      </c>
      <c r="V11" s="384">
        <f t="shared" si="4"/>
        <v>34345</v>
      </c>
    </row>
    <row r="12" spans="2:23" ht="12.75">
      <c r="B12" s="31">
        <f t="shared" si="5"/>
        <v>4</v>
      </c>
      <c r="C12" s="147"/>
      <c r="D12" s="72"/>
      <c r="E12" s="552" t="s">
        <v>358</v>
      </c>
      <c r="F12" s="334"/>
      <c r="G12" s="334"/>
      <c r="H12" s="336">
        <v>288956</v>
      </c>
      <c r="I12" s="335"/>
      <c r="J12" s="640">
        <f t="shared" si="6"/>
        <v>288956</v>
      </c>
      <c r="K12" s="640"/>
      <c r="L12" s="640">
        <f t="shared" si="2"/>
        <v>288956</v>
      </c>
      <c r="M12" s="36"/>
      <c r="N12" s="389"/>
      <c r="O12" s="334"/>
      <c r="P12" s="682"/>
      <c r="Q12" s="682"/>
      <c r="R12" s="682">
        <f t="shared" si="3"/>
        <v>0</v>
      </c>
      <c r="S12" s="383"/>
      <c r="T12" s="384">
        <f t="shared" si="0"/>
        <v>288956</v>
      </c>
      <c r="U12" s="384">
        <f t="shared" si="1"/>
        <v>0</v>
      </c>
      <c r="V12" s="384">
        <f t="shared" si="4"/>
        <v>288956</v>
      </c>
      <c r="W12" s="19"/>
    </row>
    <row r="13" spans="2:22" ht="12.75">
      <c r="B13" s="31">
        <f t="shared" si="5"/>
        <v>5</v>
      </c>
      <c r="C13" s="147"/>
      <c r="D13" s="72"/>
      <c r="E13" s="297" t="s">
        <v>376</v>
      </c>
      <c r="F13" s="334"/>
      <c r="G13" s="334"/>
      <c r="H13" s="336">
        <v>325000</v>
      </c>
      <c r="I13" s="335"/>
      <c r="J13" s="640">
        <f t="shared" si="6"/>
        <v>325000</v>
      </c>
      <c r="K13" s="640"/>
      <c r="L13" s="640">
        <f t="shared" si="2"/>
        <v>325000</v>
      </c>
      <c r="M13" s="36"/>
      <c r="N13" s="389"/>
      <c r="O13" s="334"/>
      <c r="P13" s="682"/>
      <c r="Q13" s="682"/>
      <c r="R13" s="682">
        <f t="shared" si="3"/>
        <v>0</v>
      </c>
      <c r="S13" s="383"/>
      <c r="T13" s="384">
        <f t="shared" si="0"/>
        <v>325000</v>
      </c>
      <c r="U13" s="384">
        <f t="shared" si="1"/>
        <v>0</v>
      </c>
      <c r="V13" s="384">
        <f t="shared" si="4"/>
        <v>325000</v>
      </c>
    </row>
    <row r="14" spans="2:22" ht="12.75">
      <c r="B14" s="31">
        <f t="shared" si="5"/>
        <v>6</v>
      </c>
      <c r="C14" s="147"/>
      <c r="D14" s="72"/>
      <c r="E14" s="552" t="s">
        <v>384</v>
      </c>
      <c r="F14" s="334"/>
      <c r="G14" s="334"/>
      <c r="H14" s="336"/>
      <c r="I14" s="335"/>
      <c r="J14" s="640">
        <f t="shared" si="6"/>
        <v>0</v>
      </c>
      <c r="K14" s="640"/>
      <c r="L14" s="640">
        <f t="shared" si="2"/>
        <v>0</v>
      </c>
      <c r="M14" s="36"/>
      <c r="N14" s="389">
        <v>1500</v>
      </c>
      <c r="O14" s="334">
        <f>49639-1500</f>
        <v>48139</v>
      </c>
      <c r="P14" s="634">
        <f t="shared" si="7"/>
        <v>49639</v>
      </c>
      <c r="Q14" s="634"/>
      <c r="R14" s="634">
        <f t="shared" si="3"/>
        <v>49639</v>
      </c>
      <c r="S14" s="383"/>
      <c r="T14" s="385">
        <f t="shared" si="0"/>
        <v>49639</v>
      </c>
      <c r="U14" s="385">
        <f t="shared" si="1"/>
        <v>0</v>
      </c>
      <c r="V14" s="385">
        <f t="shared" si="4"/>
        <v>49639</v>
      </c>
    </row>
    <row r="15" spans="2:22" ht="15">
      <c r="B15" s="31">
        <f t="shared" si="5"/>
        <v>7</v>
      </c>
      <c r="C15" s="42">
        <v>2</v>
      </c>
      <c r="D15" s="43" t="s">
        <v>269</v>
      </c>
      <c r="E15" s="140"/>
      <c r="F15" s="378"/>
      <c r="G15" s="158"/>
      <c r="H15" s="162">
        <f>H16+H19</f>
        <v>1983454</v>
      </c>
      <c r="I15" s="162"/>
      <c r="J15" s="650">
        <f t="shared" si="6"/>
        <v>1983454</v>
      </c>
      <c r="K15" s="957"/>
      <c r="L15" s="794">
        <f t="shared" si="2"/>
        <v>1983454</v>
      </c>
      <c r="M15" s="199"/>
      <c r="N15" s="258"/>
      <c r="O15" s="158">
        <f>O16+O19</f>
        <v>71010</v>
      </c>
      <c r="P15" s="655">
        <f>SUM(N15:O15)</f>
        <v>71010</v>
      </c>
      <c r="Q15" s="939">
        <f>Q16+Q19</f>
        <v>0</v>
      </c>
      <c r="R15" s="764">
        <f t="shared" si="3"/>
        <v>71010</v>
      </c>
      <c r="S15" s="264"/>
      <c r="T15" s="768">
        <f t="shared" si="0"/>
        <v>2054464</v>
      </c>
      <c r="U15" s="941">
        <f t="shared" si="1"/>
        <v>0</v>
      </c>
      <c r="V15" s="770">
        <f t="shared" si="4"/>
        <v>2054464</v>
      </c>
    </row>
    <row r="16" spans="2:22" s="124" customFormat="1" ht="12.75">
      <c r="B16" s="31">
        <f t="shared" si="5"/>
        <v>8</v>
      </c>
      <c r="C16" s="125"/>
      <c r="D16" s="63" t="s">
        <v>6</v>
      </c>
      <c r="E16" s="445" t="s">
        <v>235</v>
      </c>
      <c r="F16" s="379"/>
      <c r="G16" s="169"/>
      <c r="H16" s="380">
        <f>SUM(H17:H18)</f>
        <v>1980954</v>
      </c>
      <c r="I16" s="170"/>
      <c r="J16" s="679">
        <f t="shared" si="6"/>
        <v>1980954</v>
      </c>
      <c r="K16" s="679"/>
      <c r="L16" s="679">
        <f t="shared" si="2"/>
        <v>1980954</v>
      </c>
      <c r="M16" s="199"/>
      <c r="N16" s="376"/>
      <c r="O16" s="169"/>
      <c r="P16" s="683">
        <f t="shared" si="7"/>
        <v>0</v>
      </c>
      <c r="Q16" s="683"/>
      <c r="R16" s="683">
        <f t="shared" si="3"/>
        <v>0</v>
      </c>
      <c r="S16" s="264"/>
      <c r="T16" s="386">
        <f t="shared" si="0"/>
        <v>1980954</v>
      </c>
      <c r="U16" s="386">
        <f t="shared" si="1"/>
        <v>0</v>
      </c>
      <c r="V16" s="386">
        <f t="shared" si="4"/>
        <v>1980954</v>
      </c>
    </row>
    <row r="17" spans="2:22" ht="12.75">
      <c r="B17" s="31">
        <f t="shared" si="5"/>
        <v>9</v>
      </c>
      <c r="C17" s="147"/>
      <c r="D17" s="72"/>
      <c r="E17" s="552" t="s">
        <v>358</v>
      </c>
      <c r="F17" s="334"/>
      <c r="G17" s="334"/>
      <c r="H17" s="336">
        <v>282567</v>
      </c>
      <c r="I17" s="335"/>
      <c r="J17" s="640">
        <f>SUM(F17:I17)</f>
        <v>282567</v>
      </c>
      <c r="K17" s="640"/>
      <c r="L17" s="640">
        <f t="shared" si="2"/>
        <v>282567</v>
      </c>
      <c r="M17" s="36"/>
      <c r="N17" s="389"/>
      <c r="O17" s="334"/>
      <c r="P17" s="640"/>
      <c r="Q17" s="640"/>
      <c r="R17" s="640">
        <f t="shared" si="3"/>
        <v>0</v>
      </c>
      <c r="S17" s="383"/>
      <c r="T17" s="384">
        <f t="shared" si="0"/>
        <v>282567</v>
      </c>
      <c r="U17" s="384">
        <f t="shared" si="1"/>
        <v>0</v>
      </c>
      <c r="V17" s="384">
        <f t="shared" si="4"/>
        <v>282567</v>
      </c>
    </row>
    <row r="18" spans="2:22" ht="12.75">
      <c r="B18" s="31">
        <f t="shared" si="5"/>
        <v>10</v>
      </c>
      <c r="C18" s="147"/>
      <c r="D18" s="72"/>
      <c r="E18" s="297" t="s">
        <v>375</v>
      </c>
      <c r="F18" s="334"/>
      <c r="G18" s="334"/>
      <c r="H18" s="336">
        <f>1700587-2200</f>
        <v>1698387</v>
      </c>
      <c r="I18" s="335"/>
      <c r="J18" s="640">
        <f>SUM(F18:I18)</f>
        <v>1698387</v>
      </c>
      <c r="K18" s="640"/>
      <c r="L18" s="640">
        <f t="shared" si="2"/>
        <v>1698387</v>
      </c>
      <c r="M18" s="36"/>
      <c r="N18" s="389"/>
      <c r="O18" s="332"/>
      <c r="P18" s="634"/>
      <c r="Q18" s="634"/>
      <c r="R18" s="634">
        <f t="shared" si="3"/>
        <v>0</v>
      </c>
      <c r="S18" s="383"/>
      <c r="T18" s="385">
        <f t="shared" si="0"/>
        <v>1698387</v>
      </c>
      <c r="U18" s="385">
        <f t="shared" si="1"/>
        <v>0</v>
      </c>
      <c r="V18" s="385">
        <f t="shared" si="4"/>
        <v>1698387</v>
      </c>
    </row>
    <row r="19" spans="2:22" s="124" customFormat="1" ht="12.75">
      <c r="B19" s="31">
        <f t="shared" si="5"/>
        <v>11</v>
      </c>
      <c r="C19" s="125"/>
      <c r="D19" s="63" t="s">
        <v>7</v>
      </c>
      <c r="E19" s="445" t="s">
        <v>121</v>
      </c>
      <c r="F19" s="379"/>
      <c r="G19" s="169"/>
      <c r="H19" s="380">
        <v>2500</v>
      </c>
      <c r="I19" s="170"/>
      <c r="J19" s="679">
        <f t="shared" si="6"/>
        <v>2500</v>
      </c>
      <c r="K19" s="679"/>
      <c r="L19" s="679">
        <f t="shared" si="2"/>
        <v>2500</v>
      </c>
      <c r="M19" s="199"/>
      <c r="N19" s="376"/>
      <c r="O19" s="379">
        <f>SUM(O20:O22)</f>
        <v>71010</v>
      </c>
      <c r="P19" s="683">
        <f t="shared" si="7"/>
        <v>71010</v>
      </c>
      <c r="Q19" s="683">
        <f>SUM(Q20:Q22)</f>
        <v>0</v>
      </c>
      <c r="R19" s="683">
        <f t="shared" si="3"/>
        <v>71010</v>
      </c>
      <c r="S19" s="264"/>
      <c r="T19" s="386">
        <f t="shared" si="0"/>
        <v>73510</v>
      </c>
      <c r="U19" s="386">
        <f t="shared" si="1"/>
        <v>0</v>
      </c>
      <c r="V19" s="386">
        <f t="shared" si="4"/>
        <v>73510</v>
      </c>
    </row>
    <row r="20" spans="2:22" s="124" customFormat="1" ht="12.75">
      <c r="B20" s="31">
        <f t="shared" si="5"/>
        <v>12</v>
      </c>
      <c r="C20" s="125"/>
      <c r="D20" s="72"/>
      <c r="E20" s="446" t="s">
        <v>346</v>
      </c>
      <c r="F20" s="381"/>
      <c r="G20" s="159"/>
      <c r="H20" s="382"/>
      <c r="I20" s="171"/>
      <c r="J20" s="641">
        <f t="shared" si="6"/>
        <v>0</v>
      </c>
      <c r="K20" s="641"/>
      <c r="L20" s="641">
        <f t="shared" si="2"/>
        <v>0</v>
      </c>
      <c r="M20" s="199"/>
      <c r="N20" s="377"/>
      <c r="O20" s="381">
        <v>65060</v>
      </c>
      <c r="P20" s="684">
        <f t="shared" si="7"/>
        <v>65060</v>
      </c>
      <c r="Q20" s="684"/>
      <c r="R20" s="684">
        <f t="shared" si="3"/>
        <v>65060</v>
      </c>
      <c r="S20" s="387"/>
      <c r="T20" s="385">
        <f t="shared" si="0"/>
        <v>65060</v>
      </c>
      <c r="U20" s="385">
        <f t="shared" si="1"/>
        <v>0</v>
      </c>
      <c r="V20" s="385">
        <f t="shared" si="4"/>
        <v>65060</v>
      </c>
    </row>
    <row r="21" spans="2:22" s="124" customFormat="1" ht="12.75">
      <c r="B21" s="31">
        <f t="shared" si="5"/>
        <v>13</v>
      </c>
      <c r="C21" s="125"/>
      <c r="D21" s="72"/>
      <c r="E21" s="571" t="s">
        <v>379</v>
      </c>
      <c r="F21" s="381"/>
      <c r="G21" s="159"/>
      <c r="H21" s="382"/>
      <c r="I21" s="171"/>
      <c r="J21" s="641">
        <f t="shared" si="6"/>
        <v>0</v>
      </c>
      <c r="K21" s="641"/>
      <c r="L21" s="641">
        <f t="shared" si="2"/>
        <v>0</v>
      </c>
      <c r="M21" s="199"/>
      <c r="N21" s="377"/>
      <c r="O21" s="381">
        <v>5950</v>
      </c>
      <c r="P21" s="684">
        <f t="shared" si="7"/>
        <v>5950</v>
      </c>
      <c r="Q21" s="684"/>
      <c r="R21" s="684">
        <f t="shared" si="3"/>
        <v>5950</v>
      </c>
      <c r="S21" s="387"/>
      <c r="T21" s="385">
        <f t="shared" si="0"/>
        <v>5950</v>
      </c>
      <c r="U21" s="385">
        <f t="shared" si="1"/>
        <v>0</v>
      </c>
      <c r="V21" s="385">
        <f t="shared" si="4"/>
        <v>5950</v>
      </c>
    </row>
    <row r="22" spans="2:22" s="124" customFormat="1" ht="12.75">
      <c r="B22" s="31">
        <f t="shared" si="5"/>
        <v>14</v>
      </c>
      <c r="C22" s="125"/>
      <c r="D22" s="72"/>
      <c r="E22" s="542" t="s">
        <v>378</v>
      </c>
      <c r="F22" s="381"/>
      <c r="G22" s="159"/>
      <c r="H22" s="382"/>
      <c r="I22" s="171"/>
      <c r="J22" s="641">
        <f t="shared" si="6"/>
        <v>0</v>
      </c>
      <c r="K22" s="641"/>
      <c r="L22" s="641">
        <f t="shared" si="2"/>
        <v>0</v>
      </c>
      <c r="M22" s="199"/>
      <c r="N22" s="377"/>
      <c r="O22" s="381">
        <v>0</v>
      </c>
      <c r="P22" s="684">
        <f t="shared" si="7"/>
        <v>0</v>
      </c>
      <c r="Q22" s="684"/>
      <c r="R22" s="684">
        <f t="shared" si="3"/>
        <v>0</v>
      </c>
      <c r="S22" s="387"/>
      <c r="T22" s="385">
        <f t="shared" si="0"/>
        <v>0</v>
      </c>
      <c r="U22" s="385">
        <f t="shared" si="1"/>
        <v>0</v>
      </c>
      <c r="V22" s="385">
        <f t="shared" si="4"/>
        <v>0</v>
      </c>
    </row>
    <row r="23" spans="2:22" ht="15">
      <c r="B23" s="31">
        <f t="shared" si="5"/>
        <v>15</v>
      </c>
      <c r="C23" s="42">
        <v>3</v>
      </c>
      <c r="D23" s="43" t="s">
        <v>178</v>
      </c>
      <c r="E23" s="140"/>
      <c r="F23" s="158"/>
      <c r="G23" s="162"/>
      <c r="H23" s="162">
        <f>4200+2200</f>
        <v>6400</v>
      </c>
      <c r="I23" s="162"/>
      <c r="J23" s="645">
        <f t="shared" si="6"/>
        <v>6400</v>
      </c>
      <c r="K23" s="934"/>
      <c r="L23" s="758">
        <f t="shared" si="2"/>
        <v>6400</v>
      </c>
      <c r="M23" s="264"/>
      <c r="N23" s="258"/>
      <c r="O23" s="158"/>
      <c r="P23" s="655">
        <v>0</v>
      </c>
      <c r="Q23" s="939"/>
      <c r="R23" s="764">
        <f t="shared" si="3"/>
        <v>0</v>
      </c>
      <c r="S23" s="264"/>
      <c r="T23" s="768">
        <f t="shared" si="0"/>
        <v>6400</v>
      </c>
      <c r="U23" s="941">
        <f t="shared" si="1"/>
        <v>0</v>
      </c>
      <c r="V23" s="770">
        <f t="shared" si="4"/>
        <v>6400</v>
      </c>
    </row>
    <row r="24" spans="2:22" ht="12.75">
      <c r="B24" s="31">
        <f t="shared" si="5"/>
        <v>16</v>
      </c>
      <c r="C24" s="29"/>
      <c r="D24" s="2"/>
      <c r="E24" s="442" t="s">
        <v>250</v>
      </c>
      <c r="F24" s="331"/>
      <c r="G24" s="332"/>
      <c r="H24" s="333"/>
      <c r="I24" s="332"/>
      <c r="J24" s="680">
        <f t="shared" si="6"/>
        <v>0</v>
      </c>
      <c r="K24" s="680"/>
      <c r="L24" s="680">
        <f t="shared" si="2"/>
        <v>0</v>
      </c>
      <c r="M24" s="36"/>
      <c r="N24" s="352"/>
      <c r="O24" s="331"/>
      <c r="P24" s="646">
        <f t="shared" si="7"/>
        <v>0</v>
      </c>
      <c r="Q24" s="646"/>
      <c r="R24" s="646">
        <f t="shared" si="3"/>
        <v>0</v>
      </c>
      <c r="S24" s="383"/>
      <c r="T24" s="384">
        <f t="shared" si="0"/>
        <v>0</v>
      </c>
      <c r="U24" s="384">
        <f t="shared" si="1"/>
        <v>0</v>
      </c>
      <c r="V24" s="384">
        <f t="shared" si="4"/>
        <v>0</v>
      </c>
    </row>
    <row r="25" spans="2:22" ht="12.75">
      <c r="B25" s="31">
        <f t="shared" si="5"/>
        <v>17</v>
      </c>
      <c r="C25" s="147"/>
      <c r="D25" s="72"/>
      <c r="E25" s="552" t="s">
        <v>358</v>
      </c>
      <c r="F25" s="334"/>
      <c r="G25" s="334"/>
      <c r="H25" s="336">
        <v>2094</v>
      </c>
      <c r="I25" s="335"/>
      <c r="J25" s="640">
        <f aca="true" t="shared" si="8" ref="J25:J30">SUM(F25:I25)</f>
        <v>2094</v>
      </c>
      <c r="K25" s="640"/>
      <c r="L25" s="640">
        <f t="shared" si="2"/>
        <v>2094</v>
      </c>
      <c r="M25" s="36"/>
      <c r="N25" s="389"/>
      <c r="O25" s="334"/>
      <c r="P25" s="640"/>
      <c r="Q25" s="640"/>
      <c r="R25" s="640">
        <f t="shared" si="3"/>
        <v>0</v>
      </c>
      <c r="S25" s="383"/>
      <c r="T25" s="384">
        <f t="shared" si="0"/>
        <v>2094</v>
      </c>
      <c r="U25" s="384">
        <f t="shared" si="1"/>
        <v>0</v>
      </c>
      <c r="V25" s="384">
        <f t="shared" si="4"/>
        <v>2094</v>
      </c>
    </row>
    <row r="26" spans="2:22" ht="15">
      <c r="B26" s="31">
        <f t="shared" si="5"/>
        <v>18</v>
      </c>
      <c r="C26" s="42">
        <v>4</v>
      </c>
      <c r="D26" s="43" t="s">
        <v>136</v>
      </c>
      <c r="E26" s="140"/>
      <c r="F26" s="158"/>
      <c r="G26" s="162"/>
      <c r="H26" s="162"/>
      <c r="I26" s="162">
        <f>I27</f>
        <v>15000</v>
      </c>
      <c r="J26" s="645">
        <f t="shared" si="8"/>
        <v>15000</v>
      </c>
      <c r="K26" s="934"/>
      <c r="L26" s="758">
        <f t="shared" si="2"/>
        <v>15000</v>
      </c>
      <c r="M26" s="264"/>
      <c r="N26" s="258"/>
      <c r="O26" s="158"/>
      <c r="P26" s="655">
        <v>0</v>
      </c>
      <c r="Q26" s="939"/>
      <c r="R26" s="764">
        <f t="shared" si="3"/>
        <v>0</v>
      </c>
      <c r="S26" s="264"/>
      <c r="T26" s="768">
        <f t="shared" si="0"/>
        <v>15000</v>
      </c>
      <c r="U26" s="942">
        <f t="shared" si="1"/>
        <v>0</v>
      </c>
      <c r="V26" s="771">
        <f t="shared" si="4"/>
        <v>15000</v>
      </c>
    </row>
    <row r="27" spans="2:22" ht="12.75">
      <c r="B27" s="31">
        <f t="shared" si="5"/>
        <v>19</v>
      </c>
      <c r="C27" s="29"/>
      <c r="D27" s="2"/>
      <c r="E27" s="150" t="s">
        <v>200</v>
      </c>
      <c r="F27" s="331"/>
      <c r="G27" s="332"/>
      <c r="H27" s="333"/>
      <c r="I27" s="332">
        <v>15000</v>
      </c>
      <c r="J27" s="640">
        <f t="shared" si="8"/>
        <v>15000</v>
      </c>
      <c r="K27" s="640"/>
      <c r="L27" s="640">
        <f t="shared" si="2"/>
        <v>15000</v>
      </c>
      <c r="M27" s="36"/>
      <c r="N27" s="388"/>
      <c r="O27" s="362"/>
      <c r="P27" s="682">
        <f>SUM(N27:O27)</f>
        <v>0</v>
      </c>
      <c r="Q27" s="682"/>
      <c r="R27" s="682">
        <f t="shared" si="3"/>
        <v>0</v>
      </c>
      <c r="S27" s="383"/>
      <c r="T27" s="385">
        <f t="shared" si="0"/>
        <v>15000</v>
      </c>
      <c r="U27" s="385">
        <f t="shared" si="1"/>
        <v>0</v>
      </c>
      <c r="V27" s="385">
        <f t="shared" si="4"/>
        <v>15000</v>
      </c>
    </row>
    <row r="28" spans="2:22" ht="15">
      <c r="B28" s="31">
        <f t="shared" si="5"/>
        <v>20</v>
      </c>
      <c r="C28" s="42">
        <v>5</v>
      </c>
      <c r="D28" s="43" t="s">
        <v>137</v>
      </c>
      <c r="E28" s="140"/>
      <c r="F28" s="158">
        <v>300</v>
      </c>
      <c r="G28" s="162">
        <v>110</v>
      </c>
      <c r="H28" s="162">
        <v>6900</v>
      </c>
      <c r="I28" s="162"/>
      <c r="J28" s="645">
        <f t="shared" si="8"/>
        <v>7310</v>
      </c>
      <c r="K28" s="934"/>
      <c r="L28" s="758">
        <f t="shared" si="2"/>
        <v>7310</v>
      </c>
      <c r="M28" s="264"/>
      <c r="N28" s="263"/>
      <c r="O28" s="164"/>
      <c r="P28" s="659">
        <v>0</v>
      </c>
      <c r="Q28" s="938"/>
      <c r="R28" s="765">
        <f t="shared" si="3"/>
        <v>0</v>
      </c>
      <c r="S28" s="264"/>
      <c r="T28" s="768">
        <f t="shared" si="0"/>
        <v>7310</v>
      </c>
      <c r="U28" s="941">
        <f t="shared" si="1"/>
        <v>0</v>
      </c>
      <c r="V28" s="770">
        <f t="shared" si="4"/>
        <v>7310</v>
      </c>
    </row>
    <row r="29" spans="2:22" ht="12.75">
      <c r="B29" s="31">
        <f t="shared" si="5"/>
        <v>21</v>
      </c>
      <c r="C29" s="29"/>
      <c r="D29" s="2"/>
      <c r="E29" s="443" t="s">
        <v>327</v>
      </c>
      <c r="F29" s="334">
        <v>300</v>
      </c>
      <c r="G29" s="334">
        <v>110</v>
      </c>
      <c r="H29" s="333">
        <v>6900</v>
      </c>
      <c r="I29" s="335"/>
      <c r="J29" s="640">
        <f t="shared" si="8"/>
        <v>7310</v>
      </c>
      <c r="K29" s="640"/>
      <c r="L29" s="640">
        <f t="shared" si="2"/>
        <v>7310</v>
      </c>
      <c r="M29" s="36"/>
      <c r="N29" s="352"/>
      <c r="O29" s="331"/>
      <c r="P29" s="634">
        <f>SUM(N29:O29)</f>
        <v>0</v>
      </c>
      <c r="Q29" s="634"/>
      <c r="R29" s="634">
        <f t="shared" si="3"/>
        <v>0</v>
      </c>
      <c r="S29" s="383"/>
      <c r="T29" s="385">
        <f t="shared" si="0"/>
        <v>7310</v>
      </c>
      <c r="U29" s="385">
        <f t="shared" si="1"/>
        <v>0</v>
      </c>
      <c r="V29" s="385">
        <f t="shared" si="4"/>
        <v>7310</v>
      </c>
    </row>
    <row r="30" spans="2:22" ht="15.75" thickBot="1">
      <c r="B30" s="32">
        <f t="shared" si="5"/>
        <v>22</v>
      </c>
      <c r="C30" s="56">
        <v>6</v>
      </c>
      <c r="D30" s="57" t="s">
        <v>281</v>
      </c>
      <c r="E30" s="401"/>
      <c r="F30" s="166">
        <f>62270+1770</f>
        <v>64040</v>
      </c>
      <c r="G30" s="167">
        <f>22106+1155</f>
        <v>23261</v>
      </c>
      <c r="H30" s="167">
        <f>10624+7075</f>
        <v>17699</v>
      </c>
      <c r="I30" s="167"/>
      <c r="J30" s="681">
        <f t="shared" si="8"/>
        <v>105000</v>
      </c>
      <c r="K30" s="958">
        <v>46000</v>
      </c>
      <c r="L30" s="795">
        <f t="shared" si="2"/>
        <v>151000</v>
      </c>
      <c r="M30" s="264"/>
      <c r="N30" s="265"/>
      <c r="O30" s="845"/>
      <c r="P30" s="846">
        <v>0</v>
      </c>
      <c r="Q30" s="959"/>
      <c r="R30" s="847">
        <f t="shared" si="3"/>
        <v>0</v>
      </c>
      <c r="S30" s="264"/>
      <c r="T30" s="848">
        <f t="shared" si="0"/>
        <v>105000</v>
      </c>
      <c r="U30" s="960">
        <f t="shared" si="1"/>
        <v>46000</v>
      </c>
      <c r="V30" s="849">
        <f t="shared" si="4"/>
        <v>151000</v>
      </c>
    </row>
    <row r="31" spans="10:12" ht="12.75">
      <c r="J31" s="19"/>
      <c r="K31" s="19"/>
      <c r="L31" s="19"/>
    </row>
    <row r="32" spans="10:12" ht="12.75">
      <c r="J32" s="19"/>
      <c r="K32" s="19"/>
      <c r="L32" s="19"/>
    </row>
    <row r="33" ht="12.75">
      <c r="K33" s="19"/>
    </row>
    <row r="37" ht="12.75">
      <c r="K37" s="19"/>
    </row>
  </sheetData>
  <sheetProtection/>
  <mergeCells count="22">
    <mergeCell ref="B4:R4"/>
    <mergeCell ref="H7:H8"/>
    <mergeCell ref="I7:I8"/>
    <mergeCell ref="D6:D8"/>
    <mergeCell ref="V4:V8"/>
    <mergeCell ref="U4:U8"/>
    <mergeCell ref="B5:L5"/>
    <mergeCell ref="E6:L6"/>
    <mergeCell ref="Q7:Q8"/>
    <mergeCell ref="T4:T8"/>
    <mergeCell ref="C6:C8"/>
    <mergeCell ref="J7:J8"/>
    <mergeCell ref="O7:O8"/>
    <mergeCell ref="P7:P8"/>
    <mergeCell ref="G7:G8"/>
    <mergeCell ref="F7:F8"/>
    <mergeCell ref="N5:R5"/>
    <mergeCell ref="N6:R6"/>
    <mergeCell ref="K7:K8"/>
    <mergeCell ref="L7:L8"/>
    <mergeCell ref="R7:R8"/>
    <mergeCell ref="N7:N8"/>
  </mergeCells>
  <printOptions/>
  <pageMargins left="0.2362204724409449" right="0.2362204724409449" top="0.6692913385826772" bottom="0.2755905511811024" header="0.5118110236220472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176" customWidth="1"/>
    <col min="2" max="2" width="3.7109375" style="6" customWidth="1"/>
    <col min="3" max="3" width="3.00390625" style="5" customWidth="1"/>
    <col min="4" max="4" width="2.28125" style="0" customWidth="1"/>
    <col min="5" max="5" width="41.421875" style="0" customWidth="1"/>
    <col min="6" max="6" width="8.57421875" style="0" customWidth="1"/>
    <col min="7" max="7" width="7.8515625" style="0" customWidth="1"/>
    <col min="8" max="8" width="8.7109375" style="0" customWidth="1"/>
    <col min="9" max="9" width="7.8515625" style="0" customWidth="1"/>
    <col min="10" max="10" width="11.00390625" style="0" customWidth="1"/>
    <col min="11" max="11" width="8.8515625" style="0" customWidth="1"/>
    <col min="12" max="12" width="11.57421875" style="0" customWidth="1"/>
    <col min="13" max="13" width="1.8515625" style="124" customWidth="1"/>
    <col min="14" max="15" width="5.8515625" style="0" customWidth="1"/>
    <col min="16" max="16" width="10.00390625" style="0" customWidth="1"/>
    <col min="17" max="17" width="0.85546875" style="176" customWidth="1"/>
    <col min="18" max="18" width="10.8515625" style="0" customWidth="1"/>
    <col min="19" max="19" width="9.28125" style="157" customWidth="1"/>
    <col min="20" max="20" width="11.8515625" style="0" bestFit="1" customWidth="1"/>
    <col min="21" max="21" width="2.140625" style="0" customWidth="1"/>
  </cols>
  <sheetData>
    <row r="1" spans="10:19" ht="12" customHeight="1">
      <c r="J1" s="193"/>
      <c r="K1" s="193"/>
      <c r="L1" s="193"/>
      <c r="M1" s="292"/>
      <c r="N1" s="45"/>
      <c r="O1" s="45"/>
      <c r="P1" s="51"/>
      <c r="Q1" s="190"/>
      <c r="R1" s="267"/>
      <c r="S1" s="309"/>
    </row>
    <row r="2" spans="2:20" ht="27">
      <c r="B2" s="981"/>
      <c r="C2" s="982" t="s">
        <v>260</v>
      </c>
      <c r="D2" s="970"/>
      <c r="E2" s="970"/>
      <c r="F2" s="970"/>
      <c r="G2" s="970"/>
      <c r="H2" s="970"/>
      <c r="I2" s="970"/>
      <c r="J2" s="987"/>
      <c r="K2" s="987"/>
      <c r="L2" s="987"/>
      <c r="M2" s="987"/>
      <c r="N2" s="970"/>
      <c r="O2" s="970"/>
      <c r="P2" s="988"/>
      <c r="Q2" s="979"/>
      <c r="R2" s="988"/>
      <c r="S2" s="993"/>
      <c r="T2" s="970"/>
    </row>
    <row r="3" spans="2:20" ht="6.75" customHeight="1" thickBot="1">
      <c r="B3" s="981"/>
      <c r="C3" s="983"/>
      <c r="D3" s="970"/>
      <c r="E3" s="970"/>
      <c r="F3" s="970"/>
      <c r="G3" s="970"/>
      <c r="H3" s="970"/>
      <c r="I3" s="970"/>
      <c r="J3" s="988"/>
      <c r="K3" s="988"/>
      <c r="L3" s="988"/>
      <c r="M3" s="979"/>
      <c r="N3" s="970"/>
      <c r="O3" s="970"/>
      <c r="P3" s="970"/>
      <c r="Q3" s="979"/>
      <c r="R3" s="970"/>
      <c r="S3" s="993"/>
      <c r="T3" s="970"/>
    </row>
    <row r="4" spans="2:20" ht="12.75" customHeight="1" thickBot="1">
      <c r="B4" s="1101" t="s">
        <v>316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3"/>
      <c r="O4" s="1103"/>
      <c r="P4" s="1104"/>
      <c r="Q4" s="268"/>
      <c r="R4" s="1029" t="s">
        <v>450</v>
      </c>
      <c r="S4" s="1051" t="s">
        <v>451</v>
      </c>
      <c r="T4" s="1042" t="s">
        <v>452</v>
      </c>
    </row>
    <row r="5" spans="2:20" ht="18.75" customHeight="1" thickTop="1">
      <c r="B5" s="1092" t="s">
        <v>12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4"/>
      <c r="M5" s="410"/>
      <c r="N5" s="1021" t="s">
        <v>300</v>
      </c>
      <c r="O5" s="1099"/>
      <c r="P5" s="1100"/>
      <c r="Q5" s="294"/>
      <c r="R5" s="1030"/>
      <c r="S5" s="1052"/>
      <c r="T5" s="1043"/>
    </row>
    <row r="6" spans="2:20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393"/>
      <c r="N6" s="1039" t="s">
        <v>11</v>
      </c>
      <c r="O6" s="1097"/>
      <c r="P6" s="1098"/>
      <c r="Q6" s="295"/>
      <c r="R6" s="1030"/>
      <c r="S6" s="1052"/>
      <c r="T6" s="1043"/>
    </row>
    <row r="7" spans="2:20" ht="27.75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M7" s="173"/>
      <c r="N7" s="1077">
        <v>716</v>
      </c>
      <c r="O7" s="1038">
        <v>717</v>
      </c>
      <c r="P7" s="1027" t="s">
        <v>427</v>
      </c>
      <c r="Q7" s="173"/>
      <c r="R7" s="1030"/>
      <c r="S7" s="1052"/>
      <c r="T7" s="1043"/>
    </row>
    <row r="8" spans="2:20" ht="32.25" customHeight="1" thickBot="1">
      <c r="B8" s="46"/>
      <c r="C8" s="1056"/>
      <c r="D8" s="1056"/>
      <c r="E8" s="53"/>
      <c r="F8" s="1037"/>
      <c r="G8" s="1033"/>
      <c r="H8" s="1033"/>
      <c r="I8" s="1033"/>
      <c r="J8" s="1028"/>
      <c r="K8" s="1035"/>
      <c r="L8" s="1041"/>
      <c r="M8" s="415"/>
      <c r="N8" s="1058"/>
      <c r="O8" s="1033"/>
      <c r="P8" s="1028"/>
      <c r="Q8" s="310"/>
      <c r="R8" s="1031"/>
      <c r="S8" s="1053"/>
      <c r="T8" s="1044"/>
    </row>
    <row r="9" spans="2:21" ht="24.75" customHeight="1" thickBot="1" thickTop="1">
      <c r="B9" s="31">
        <v>1</v>
      </c>
      <c r="C9" s="397" t="s">
        <v>261</v>
      </c>
      <c r="D9" s="283"/>
      <c r="E9" s="284"/>
      <c r="F9" s="279">
        <f>F10+F12+F13+F14+F18+F28+F31+F33+F34+F36+F38</f>
        <v>748200</v>
      </c>
      <c r="G9" s="280">
        <f>G10+G12+G13+G14+G18+G28+G31+G33+G34+G36+G38</f>
        <v>261300</v>
      </c>
      <c r="H9" s="280">
        <f>H10+H12+H13+H14+H18+H28+H31+H33+H34+H36+H38</f>
        <v>472682</v>
      </c>
      <c r="I9" s="280">
        <f>I10+I12+I13+I14+I18+I28+I31+I33+I34+I36+I38</f>
        <v>53569</v>
      </c>
      <c r="J9" s="685">
        <f>SUM(F9:I9)</f>
        <v>1535751</v>
      </c>
      <c r="K9" s="961">
        <f>K10+K12+K13+K14+K18+K28+K31+K33+K34+K36+K38</f>
        <v>1600</v>
      </c>
      <c r="L9" s="796">
        <f>J9+K9</f>
        <v>1537351</v>
      </c>
      <c r="M9" s="411"/>
      <c r="N9" s="282">
        <f>SUM(N10:N11)</f>
        <v>0</v>
      </c>
      <c r="O9" s="280">
        <f>O10+O12+O13+O14+O18+O28+O31+O33+O34+O36</f>
        <v>0</v>
      </c>
      <c r="P9" s="685">
        <f>SUM(N9:O9)</f>
        <v>0</v>
      </c>
      <c r="Q9" s="311"/>
      <c r="R9" s="767">
        <f aca="true" t="shared" si="0" ref="R9:R15">J9+P9</f>
        <v>1535751</v>
      </c>
      <c r="S9" s="940">
        <f>K9</f>
        <v>1600</v>
      </c>
      <c r="T9" s="769">
        <f>R9+S9</f>
        <v>1537351</v>
      </c>
      <c r="U9" s="19"/>
    </row>
    <row r="10" spans="2:20" ht="15.75" thickTop="1">
      <c r="B10" s="31">
        <f aca="true" t="shared" si="1" ref="B10:B39">B9+1</f>
        <v>2</v>
      </c>
      <c r="C10" s="42">
        <v>1</v>
      </c>
      <c r="D10" s="43" t="s">
        <v>114</v>
      </c>
      <c r="E10" s="44"/>
      <c r="F10" s="158">
        <f>F11</f>
        <v>77300</v>
      </c>
      <c r="G10" s="162">
        <f>G11</f>
        <v>27000</v>
      </c>
      <c r="H10" s="162">
        <f>H11</f>
        <v>42000</v>
      </c>
      <c r="I10" s="162">
        <f>I11</f>
        <v>2000</v>
      </c>
      <c r="J10" s="653">
        <f aca="true" t="shared" si="2" ref="J10:J27">SUM(F10:I10)</f>
        <v>148300</v>
      </c>
      <c r="K10" s="937"/>
      <c r="L10" s="773">
        <f aca="true" t="shared" si="3" ref="L10:L39">J10+K10</f>
        <v>148300</v>
      </c>
      <c r="M10" s="191"/>
      <c r="N10" s="258"/>
      <c r="O10" s="162"/>
      <c r="P10" s="686"/>
      <c r="Q10" s="191"/>
      <c r="R10" s="768">
        <f t="shared" si="0"/>
        <v>148300</v>
      </c>
      <c r="S10" s="941">
        <f aca="true" t="shared" si="4" ref="S10:S39">K10</f>
        <v>0</v>
      </c>
      <c r="T10" s="770">
        <f aca="true" t="shared" si="5" ref="T10:T39">R10+S10</f>
        <v>148300</v>
      </c>
    </row>
    <row r="11" spans="2:20" ht="12.75">
      <c r="B11" s="31">
        <f t="shared" si="1"/>
        <v>3</v>
      </c>
      <c r="C11" s="29"/>
      <c r="D11" s="2"/>
      <c r="E11" s="145" t="s">
        <v>229</v>
      </c>
      <c r="F11" s="331">
        <f>70000+7300</f>
        <v>77300</v>
      </c>
      <c r="G11" s="332">
        <f>24600+2400</f>
        <v>27000</v>
      </c>
      <c r="H11" s="333">
        <f>45000-3000</f>
        <v>42000</v>
      </c>
      <c r="I11" s="332">
        <f>3000-1000</f>
        <v>2000</v>
      </c>
      <c r="J11" s="640">
        <f t="shared" si="2"/>
        <v>148300</v>
      </c>
      <c r="K11" s="640"/>
      <c r="L11" s="640">
        <f t="shared" si="3"/>
        <v>148300</v>
      </c>
      <c r="M11" s="175"/>
      <c r="N11" s="367"/>
      <c r="O11" s="353"/>
      <c r="P11" s="640"/>
      <c r="Q11" s="175"/>
      <c r="R11" s="385">
        <f t="shared" si="0"/>
        <v>148300</v>
      </c>
      <c r="S11" s="385">
        <f t="shared" si="4"/>
        <v>0</v>
      </c>
      <c r="T11" s="385">
        <f t="shared" si="5"/>
        <v>148300</v>
      </c>
    </row>
    <row r="12" spans="2:20" ht="15">
      <c r="B12" s="31">
        <f t="shared" si="1"/>
        <v>4</v>
      </c>
      <c r="C12" s="42">
        <v>2</v>
      </c>
      <c r="D12" s="43" t="s">
        <v>179</v>
      </c>
      <c r="E12" s="843"/>
      <c r="F12" s="158"/>
      <c r="G12" s="162"/>
      <c r="H12" s="162"/>
      <c r="I12" s="162">
        <v>1000</v>
      </c>
      <c r="J12" s="645">
        <f>I12</f>
        <v>1000</v>
      </c>
      <c r="K12" s="934"/>
      <c r="L12" s="758">
        <f t="shared" si="3"/>
        <v>1000</v>
      </c>
      <c r="M12" s="191"/>
      <c r="N12" s="263"/>
      <c r="O12" s="164"/>
      <c r="P12" s="642"/>
      <c r="Q12" s="191"/>
      <c r="R12" s="768">
        <f t="shared" si="0"/>
        <v>1000</v>
      </c>
      <c r="S12" s="941">
        <f t="shared" si="4"/>
        <v>0</v>
      </c>
      <c r="T12" s="770">
        <f t="shared" si="5"/>
        <v>1000</v>
      </c>
    </row>
    <row r="13" spans="2:20" ht="15" customHeight="1">
      <c r="B13" s="31">
        <f t="shared" si="1"/>
        <v>5</v>
      </c>
      <c r="C13" s="42">
        <v>3</v>
      </c>
      <c r="D13" s="43" t="s">
        <v>3</v>
      </c>
      <c r="E13" s="139"/>
      <c r="F13" s="158"/>
      <c r="G13" s="162"/>
      <c r="H13" s="162"/>
      <c r="I13" s="162">
        <v>5000</v>
      </c>
      <c r="J13" s="645">
        <f t="shared" si="2"/>
        <v>5000</v>
      </c>
      <c r="K13" s="934"/>
      <c r="L13" s="758">
        <f t="shared" si="3"/>
        <v>5000</v>
      </c>
      <c r="M13" s="191"/>
      <c r="N13" s="263"/>
      <c r="O13" s="164"/>
      <c r="P13" s="642"/>
      <c r="Q13" s="191"/>
      <c r="R13" s="768">
        <f t="shared" si="0"/>
        <v>5000</v>
      </c>
      <c r="S13" s="941">
        <f t="shared" si="4"/>
        <v>0</v>
      </c>
      <c r="T13" s="770">
        <f t="shared" si="5"/>
        <v>5000</v>
      </c>
    </row>
    <row r="14" spans="2:20" ht="15" customHeight="1">
      <c r="B14" s="31">
        <f t="shared" si="1"/>
        <v>6</v>
      </c>
      <c r="C14" s="42">
        <v>4</v>
      </c>
      <c r="D14" s="43" t="s">
        <v>180</v>
      </c>
      <c r="E14" s="139"/>
      <c r="F14" s="158">
        <f>SUM(F15:F17)</f>
        <v>19500</v>
      </c>
      <c r="G14" s="158">
        <f>SUM(G15:G17)</f>
        <v>6900</v>
      </c>
      <c r="H14" s="158">
        <f>SUM(H15:H17)+7000+4550</f>
        <v>24200</v>
      </c>
      <c r="I14" s="158">
        <f>SUM(I15:I17)</f>
        <v>9800</v>
      </c>
      <c r="J14" s="645">
        <f t="shared" si="2"/>
        <v>60400</v>
      </c>
      <c r="K14" s="934">
        <f>SUM(K15:K17)</f>
        <v>1600</v>
      </c>
      <c r="L14" s="758">
        <f t="shared" si="3"/>
        <v>62000</v>
      </c>
      <c r="M14" s="191"/>
      <c r="N14" s="258"/>
      <c r="O14" s="162"/>
      <c r="P14" s="642"/>
      <c r="Q14" s="191"/>
      <c r="R14" s="768">
        <f t="shared" si="0"/>
        <v>60400</v>
      </c>
      <c r="S14" s="941">
        <f t="shared" si="4"/>
        <v>1600</v>
      </c>
      <c r="T14" s="770">
        <f t="shared" si="5"/>
        <v>62000</v>
      </c>
    </row>
    <row r="15" spans="2:20" ht="12.75">
      <c r="B15" s="31">
        <f t="shared" si="1"/>
        <v>7</v>
      </c>
      <c r="C15" s="40"/>
      <c r="D15" s="14"/>
      <c r="E15" s="145" t="s">
        <v>231</v>
      </c>
      <c r="F15" s="334">
        <v>19500</v>
      </c>
      <c r="G15" s="335">
        <v>6900</v>
      </c>
      <c r="H15" s="336">
        <v>6400</v>
      </c>
      <c r="I15" s="335">
        <v>1500</v>
      </c>
      <c r="J15" s="640">
        <f>SUM(F15:I15)</f>
        <v>34300</v>
      </c>
      <c r="K15" s="640"/>
      <c r="L15" s="640">
        <f t="shared" si="3"/>
        <v>34300</v>
      </c>
      <c r="M15" s="175"/>
      <c r="N15" s="369"/>
      <c r="O15" s="332"/>
      <c r="P15" s="640"/>
      <c r="Q15" s="175"/>
      <c r="R15" s="385">
        <f t="shared" si="0"/>
        <v>34300</v>
      </c>
      <c r="S15" s="385">
        <f t="shared" si="4"/>
        <v>0</v>
      </c>
      <c r="T15" s="385">
        <f t="shared" si="5"/>
        <v>34300</v>
      </c>
    </row>
    <row r="16" spans="2:20" ht="12.75">
      <c r="B16" s="31"/>
      <c r="C16" s="33"/>
      <c r="D16" s="14"/>
      <c r="E16" s="145" t="s">
        <v>441</v>
      </c>
      <c r="F16" s="334"/>
      <c r="G16" s="334"/>
      <c r="H16" s="361">
        <v>6250</v>
      </c>
      <c r="I16" s="334"/>
      <c r="J16" s="640">
        <f>SUM(F16:I16)</f>
        <v>6250</v>
      </c>
      <c r="K16" s="640">
        <v>1600</v>
      </c>
      <c r="L16" s="640">
        <f t="shared" si="3"/>
        <v>7850</v>
      </c>
      <c r="M16" s="175"/>
      <c r="N16" s="371"/>
      <c r="O16" s="335"/>
      <c r="P16" s="640"/>
      <c r="Q16" s="175"/>
      <c r="R16" s="385"/>
      <c r="S16" s="385">
        <f t="shared" si="4"/>
        <v>1600</v>
      </c>
      <c r="T16" s="385">
        <f t="shared" si="5"/>
        <v>1600</v>
      </c>
    </row>
    <row r="17" spans="2:20" ht="12.75">
      <c r="B17" s="31">
        <f>B15+1</f>
        <v>8</v>
      </c>
      <c r="C17" s="33"/>
      <c r="D17" s="14"/>
      <c r="E17" s="844" t="s">
        <v>358</v>
      </c>
      <c r="F17" s="334"/>
      <c r="G17" s="334"/>
      <c r="H17" s="361"/>
      <c r="I17" s="334">
        <v>8300</v>
      </c>
      <c r="J17" s="640">
        <f>SUM(F17:I17)</f>
        <v>8300</v>
      </c>
      <c r="K17" s="640"/>
      <c r="L17" s="640">
        <f t="shared" si="3"/>
        <v>8300</v>
      </c>
      <c r="M17" s="175"/>
      <c r="N17" s="371"/>
      <c r="O17" s="335"/>
      <c r="P17" s="640"/>
      <c r="Q17" s="175"/>
      <c r="R17" s="385">
        <f aca="true" t="shared" si="6" ref="R17:R34">J17+P17</f>
        <v>8300</v>
      </c>
      <c r="S17" s="385">
        <f t="shared" si="4"/>
        <v>0</v>
      </c>
      <c r="T17" s="385">
        <f t="shared" si="5"/>
        <v>8300</v>
      </c>
    </row>
    <row r="18" spans="2:20" ht="15">
      <c r="B18" s="31">
        <f t="shared" si="1"/>
        <v>9</v>
      </c>
      <c r="C18" s="42">
        <v>5</v>
      </c>
      <c r="D18" s="43" t="s">
        <v>181</v>
      </c>
      <c r="E18" s="139"/>
      <c r="F18" s="158">
        <f>F19+F20+F23</f>
        <v>79000</v>
      </c>
      <c r="G18" s="158">
        <f>G19+G20+G23</f>
        <v>27800</v>
      </c>
      <c r="H18" s="158">
        <f>H19+H20+H23</f>
        <v>140931</v>
      </c>
      <c r="I18" s="158">
        <f>I19+I20+I23</f>
        <v>19669</v>
      </c>
      <c r="J18" s="645">
        <f t="shared" si="2"/>
        <v>267400</v>
      </c>
      <c r="K18" s="934"/>
      <c r="L18" s="758">
        <f t="shared" si="3"/>
        <v>267400</v>
      </c>
      <c r="M18" s="191"/>
      <c r="N18" s="258"/>
      <c r="O18" s="162"/>
      <c r="P18" s="642"/>
      <c r="Q18" s="191"/>
      <c r="R18" s="768">
        <f t="shared" si="6"/>
        <v>267400</v>
      </c>
      <c r="S18" s="941">
        <f t="shared" si="4"/>
        <v>0</v>
      </c>
      <c r="T18" s="770">
        <f t="shared" si="5"/>
        <v>267400</v>
      </c>
    </row>
    <row r="19" spans="2:20" ht="12.75">
      <c r="B19" s="31">
        <f t="shared" si="1"/>
        <v>10</v>
      </c>
      <c r="C19" s="29"/>
      <c r="D19" s="63" t="s">
        <v>6</v>
      </c>
      <c r="E19" s="317" t="s">
        <v>115</v>
      </c>
      <c r="F19" s="337"/>
      <c r="G19" s="338"/>
      <c r="H19" s="339">
        <f>45000-7000-4000</f>
        <v>34000</v>
      </c>
      <c r="I19" s="338"/>
      <c r="J19" s="647">
        <f t="shared" si="2"/>
        <v>34000</v>
      </c>
      <c r="K19" s="647"/>
      <c r="L19" s="647">
        <f t="shared" si="3"/>
        <v>34000</v>
      </c>
      <c r="M19" s="175"/>
      <c r="N19" s="346"/>
      <c r="O19" s="347"/>
      <c r="P19" s="647"/>
      <c r="Q19" s="175"/>
      <c r="R19" s="408">
        <f t="shared" si="6"/>
        <v>34000</v>
      </c>
      <c r="S19" s="408">
        <f t="shared" si="4"/>
        <v>0</v>
      </c>
      <c r="T19" s="408">
        <f t="shared" si="5"/>
        <v>34000</v>
      </c>
    </row>
    <row r="20" spans="1:20" ht="12.75">
      <c r="A20" s="205"/>
      <c r="B20" s="31">
        <f t="shared" si="1"/>
        <v>11</v>
      </c>
      <c r="C20" s="40"/>
      <c r="D20" s="59" t="s">
        <v>7</v>
      </c>
      <c r="E20" s="325" t="s">
        <v>271</v>
      </c>
      <c r="F20" s="340">
        <f>F21</f>
        <v>79000</v>
      </c>
      <c r="G20" s="341">
        <f>G21</f>
        <v>27800</v>
      </c>
      <c r="H20" s="341">
        <f>H21+H22</f>
        <v>87000</v>
      </c>
      <c r="I20" s="341">
        <f>I21+I22</f>
        <v>600</v>
      </c>
      <c r="J20" s="647">
        <f>SUM(F20:I20)</f>
        <v>194400</v>
      </c>
      <c r="K20" s="647"/>
      <c r="L20" s="647">
        <f t="shared" si="3"/>
        <v>194400</v>
      </c>
      <c r="M20" s="175"/>
      <c r="N20" s="346"/>
      <c r="O20" s="347"/>
      <c r="P20" s="647"/>
      <c r="Q20" s="175"/>
      <c r="R20" s="408">
        <f t="shared" si="6"/>
        <v>194400</v>
      </c>
      <c r="S20" s="408">
        <f t="shared" si="4"/>
        <v>0</v>
      </c>
      <c r="T20" s="408">
        <f t="shared" si="5"/>
        <v>194400</v>
      </c>
    </row>
    <row r="21" spans="2:20" ht="12.75">
      <c r="B21" s="31">
        <f t="shared" si="1"/>
        <v>12</v>
      </c>
      <c r="C21" s="40"/>
      <c r="D21" s="14"/>
      <c r="E21" s="145" t="s">
        <v>231</v>
      </c>
      <c r="F21" s="334">
        <v>79000</v>
      </c>
      <c r="G21" s="335">
        <v>27800</v>
      </c>
      <c r="H21" s="336">
        <f>93000-6000</f>
        <v>87000</v>
      </c>
      <c r="I21" s="335">
        <f>2600-2000</f>
        <v>600</v>
      </c>
      <c r="J21" s="640">
        <f t="shared" si="2"/>
        <v>194400</v>
      </c>
      <c r="K21" s="640"/>
      <c r="L21" s="640">
        <f t="shared" si="3"/>
        <v>194400</v>
      </c>
      <c r="M21" s="175"/>
      <c r="N21" s="367"/>
      <c r="O21" s="353"/>
      <c r="P21" s="640"/>
      <c r="Q21" s="175"/>
      <c r="R21" s="384">
        <f t="shared" si="6"/>
        <v>194400</v>
      </c>
      <c r="S21" s="384">
        <f t="shared" si="4"/>
        <v>0</v>
      </c>
      <c r="T21" s="384">
        <f t="shared" si="5"/>
        <v>194400</v>
      </c>
    </row>
    <row r="22" spans="2:20" ht="12.75">
      <c r="B22" s="31">
        <f t="shared" si="1"/>
        <v>13</v>
      </c>
      <c r="C22" s="40"/>
      <c r="D22" s="14"/>
      <c r="E22" s="145" t="s">
        <v>319</v>
      </c>
      <c r="F22" s="334"/>
      <c r="G22" s="335"/>
      <c r="H22" s="336">
        <f>4400-4400</f>
        <v>0</v>
      </c>
      <c r="I22" s="335"/>
      <c r="J22" s="640">
        <f t="shared" si="2"/>
        <v>0</v>
      </c>
      <c r="K22" s="640"/>
      <c r="L22" s="640">
        <f t="shared" si="3"/>
        <v>0</v>
      </c>
      <c r="M22" s="175"/>
      <c r="N22" s="367"/>
      <c r="O22" s="353"/>
      <c r="P22" s="640"/>
      <c r="Q22" s="175"/>
      <c r="R22" s="384">
        <f t="shared" si="6"/>
        <v>0</v>
      </c>
      <c r="S22" s="384">
        <f t="shared" si="4"/>
        <v>0</v>
      </c>
      <c r="T22" s="384">
        <f t="shared" si="5"/>
        <v>0</v>
      </c>
    </row>
    <row r="23" spans="2:20" ht="12.75">
      <c r="B23" s="31">
        <f t="shared" si="1"/>
        <v>14</v>
      </c>
      <c r="C23" s="29"/>
      <c r="D23" s="63" t="s">
        <v>8</v>
      </c>
      <c r="E23" s="317" t="s">
        <v>201</v>
      </c>
      <c r="F23" s="337"/>
      <c r="G23" s="338"/>
      <c r="H23" s="339">
        <f>H26+H27</f>
        <v>19931</v>
      </c>
      <c r="I23" s="338">
        <f>SUM(I24:I27)</f>
        <v>19069</v>
      </c>
      <c r="J23" s="647">
        <f t="shared" si="2"/>
        <v>39000</v>
      </c>
      <c r="K23" s="647"/>
      <c r="L23" s="647">
        <f t="shared" si="3"/>
        <v>39000</v>
      </c>
      <c r="M23" s="175"/>
      <c r="N23" s="346"/>
      <c r="O23" s="347"/>
      <c r="P23" s="647"/>
      <c r="Q23" s="175"/>
      <c r="R23" s="408">
        <f t="shared" si="6"/>
        <v>39000</v>
      </c>
      <c r="S23" s="408">
        <f t="shared" si="4"/>
        <v>0</v>
      </c>
      <c r="T23" s="408">
        <f t="shared" si="5"/>
        <v>39000</v>
      </c>
    </row>
    <row r="24" spans="2:20" ht="12.75">
      <c r="B24" s="31">
        <f t="shared" si="1"/>
        <v>15</v>
      </c>
      <c r="C24" s="29"/>
      <c r="D24" s="14"/>
      <c r="E24" s="145" t="s">
        <v>329</v>
      </c>
      <c r="F24" s="334"/>
      <c r="G24" s="335"/>
      <c r="H24" s="336"/>
      <c r="I24" s="335">
        <f>15000-5000+4400</f>
        <v>14400</v>
      </c>
      <c r="J24" s="640">
        <f t="shared" si="2"/>
        <v>14400</v>
      </c>
      <c r="K24" s="640"/>
      <c r="L24" s="640">
        <f t="shared" si="3"/>
        <v>14400</v>
      </c>
      <c r="M24" s="175"/>
      <c r="N24" s="369"/>
      <c r="O24" s="332"/>
      <c r="P24" s="640"/>
      <c r="Q24" s="175"/>
      <c r="R24" s="384">
        <f t="shared" si="6"/>
        <v>14400</v>
      </c>
      <c r="S24" s="384">
        <f t="shared" si="4"/>
        <v>0</v>
      </c>
      <c r="T24" s="384">
        <f t="shared" si="5"/>
        <v>14400</v>
      </c>
    </row>
    <row r="25" spans="2:20" ht="12.75">
      <c r="B25" s="31">
        <f t="shared" si="1"/>
        <v>16</v>
      </c>
      <c r="C25" s="30"/>
      <c r="D25" s="14"/>
      <c r="E25" s="844" t="s">
        <v>358</v>
      </c>
      <c r="F25" s="334"/>
      <c r="G25" s="335"/>
      <c r="H25" s="336"/>
      <c r="I25" s="335">
        <v>4669</v>
      </c>
      <c r="J25" s="640">
        <f t="shared" si="2"/>
        <v>4669</v>
      </c>
      <c r="K25" s="640"/>
      <c r="L25" s="640">
        <f t="shared" si="3"/>
        <v>4669</v>
      </c>
      <c r="M25" s="175"/>
      <c r="N25" s="371"/>
      <c r="O25" s="335"/>
      <c r="P25" s="640"/>
      <c r="Q25" s="175"/>
      <c r="R25" s="384">
        <f t="shared" si="6"/>
        <v>4669</v>
      </c>
      <c r="S25" s="384">
        <f t="shared" si="4"/>
        <v>0</v>
      </c>
      <c r="T25" s="384">
        <f t="shared" si="5"/>
        <v>4669</v>
      </c>
    </row>
    <row r="26" spans="2:20" ht="12.75">
      <c r="B26" s="31">
        <f t="shared" si="1"/>
        <v>17</v>
      </c>
      <c r="C26" s="30"/>
      <c r="D26" s="14"/>
      <c r="E26" s="145" t="s">
        <v>339</v>
      </c>
      <c r="F26" s="334"/>
      <c r="G26" s="335"/>
      <c r="H26" s="336">
        <f>1000+31</f>
        <v>1031</v>
      </c>
      <c r="I26" s="335"/>
      <c r="J26" s="640">
        <f t="shared" si="2"/>
        <v>1031</v>
      </c>
      <c r="K26" s="640"/>
      <c r="L26" s="640">
        <f t="shared" si="3"/>
        <v>1031</v>
      </c>
      <c r="M26" s="175"/>
      <c r="N26" s="371"/>
      <c r="O26" s="335"/>
      <c r="P26" s="640"/>
      <c r="Q26" s="175"/>
      <c r="R26" s="384">
        <f t="shared" si="6"/>
        <v>1031</v>
      </c>
      <c r="S26" s="384">
        <f t="shared" si="4"/>
        <v>0</v>
      </c>
      <c r="T26" s="384">
        <f t="shared" si="5"/>
        <v>1031</v>
      </c>
    </row>
    <row r="27" spans="2:20" ht="12.75">
      <c r="B27" s="31">
        <f t="shared" si="1"/>
        <v>18</v>
      </c>
      <c r="C27" s="30"/>
      <c r="D27" s="14"/>
      <c r="E27" s="145" t="s">
        <v>232</v>
      </c>
      <c r="F27" s="334"/>
      <c r="G27" s="335"/>
      <c r="H27" s="336">
        <v>18900</v>
      </c>
      <c r="I27" s="335"/>
      <c r="J27" s="640">
        <f t="shared" si="2"/>
        <v>18900</v>
      </c>
      <c r="K27" s="640"/>
      <c r="L27" s="640">
        <f t="shared" si="3"/>
        <v>18900</v>
      </c>
      <c r="M27" s="175"/>
      <c r="N27" s="371"/>
      <c r="O27" s="335"/>
      <c r="P27" s="640"/>
      <c r="Q27" s="175"/>
      <c r="R27" s="384">
        <f t="shared" si="6"/>
        <v>18900</v>
      </c>
      <c r="S27" s="384">
        <f t="shared" si="4"/>
        <v>0</v>
      </c>
      <c r="T27" s="384">
        <f t="shared" si="5"/>
        <v>18900</v>
      </c>
    </row>
    <row r="28" spans="2:20" ht="15">
      <c r="B28" s="31">
        <f t="shared" si="1"/>
        <v>19</v>
      </c>
      <c r="C28" s="42">
        <v>6</v>
      </c>
      <c r="D28" s="43" t="s">
        <v>75</v>
      </c>
      <c r="E28" s="139"/>
      <c r="F28" s="158">
        <f>F29+F30</f>
        <v>262000</v>
      </c>
      <c r="G28" s="162">
        <f>G29+G30</f>
        <v>90700</v>
      </c>
      <c r="H28" s="162">
        <f>H29+H30</f>
        <v>210200</v>
      </c>
      <c r="I28" s="162">
        <f>I29+I30</f>
        <v>3400</v>
      </c>
      <c r="J28" s="645">
        <f>SUM(F28:I28)</f>
        <v>566300</v>
      </c>
      <c r="K28" s="934"/>
      <c r="L28" s="758">
        <f t="shared" si="3"/>
        <v>566300</v>
      </c>
      <c r="M28" s="191"/>
      <c r="N28" s="263"/>
      <c r="O28" s="164"/>
      <c r="P28" s="642"/>
      <c r="Q28" s="191"/>
      <c r="R28" s="754">
        <f t="shared" si="6"/>
        <v>566300</v>
      </c>
      <c r="S28" s="942">
        <f t="shared" si="4"/>
        <v>0</v>
      </c>
      <c r="T28" s="771">
        <f t="shared" si="5"/>
        <v>566300</v>
      </c>
    </row>
    <row r="29" spans="2:20" ht="12.75">
      <c r="B29" s="31">
        <f t="shared" si="1"/>
        <v>20</v>
      </c>
      <c r="C29" s="29"/>
      <c r="D29" s="2"/>
      <c r="E29" s="149" t="s">
        <v>335</v>
      </c>
      <c r="F29" s="331">
        <f>245000+17000</f>
        <v>262000</v>
      </c>
      <c r="G29" s="331">
        <f>86000+4700</f>
        <v>90700</v>
      </c>
      <c r="H29" s="331">
        <f>209000-3300</f>
        <v>205700</v>
      </c>
      <c r="I29" s="331">
        <f>2000+1400</f>
        <v>3400</v>
      </c>
      <c r="J29" s="640">
        <f>SUM(F29:I29)</f>
        <v>561800</v>
      </c>
      <c r="K29" s="640"/>
      <c r="L29" s="640">
        <f t="shared" si="3"/>
        <v>561800</v>
      </c>
      <c r="M29" s="175"/>
      <c r="N29" s="369"/>
      <c r="O29" s="332"/>
      <c r="P29" s="640"/>
      <c r="Q29" s="175"/>
      <c r="R29" s="385">
        <f t="shared" si="6"/>
        <v>561800</v>
      </c>
      <c r="S29" s="385">
        <f t="shared" si="4"/>
        <v>0</v>
      </c>
      <c r="T29" s="385">
        <f t="shared" si="5"/>
        <v>561800</v>
      </c>
    </row>
    <row r="30" spans="2:20" ht="12.75">
      <c r="B30" s="31">
        <f t="shared" si="1"/>
        <v>21</v>
      </c>
      <c r="C30" s="30"/>
      <c r="D30" s="2"/>
      <c r="E30" s="276" t="s">
        <v>320</v>
      </c>
      <c r="F30" s="334"/>
      <c r="G30" s="335"/>
      <c r="H30" s="336">
        <v>4500</v>
      </c>
      <c r="I30" s="335"/>
      <c r="J30" s="640">
        <f>SUM(F30:I30)</f>
        <v>4500</v>
      </c>
      <c r="K30" s="640"/>
      <c r="L30" s="640">
        <f t="shared" si="3"/>
        <v>4500</v>
      </c>
      <c r="M30" s="175"/>
      <c r="N30" s="371"/>
      <c r="O30" s="335"/>
      <c r="P30" s="640"/>
      <c r="Q30" s="175"/>
      <c r="R30" s="385">
        <f t="shared" si="6"/>
        <v>4500</v>
      </c>
      <c r="S30" s="385">
        <f t="shared" si="4"/>
        <v>0</v>
      </c>
      <c r="T30" s="385">
        <f t="shared" si="5"/>
        <v>4500</v>
      </c>
    </row>
    <row r="31" spans="2:20" ht="15">
      <c r="B31" s="31">
        <f t="shared" si="1"/>
        <v>22</v>
      </c>
      <c r="C31" s="42">
        <v>7</v>
      </c>
      <c r="D31" s="43" t="s">
        <v>182</v>
      </c>
      <c r="E31" s="139"/>
      <c r="F31" s="158">
        <f>F32</f>
        <v>242000</v>
      </c>
      <c r="G31" s="162">
        <f>G32</f>
        <v>83000</v>
      </c>
      <c r="H31" s="162">
        <f>H32</f>
        <v>27000</v>
      </c>
      <c r="I31" s="162">
        <f>I32</f>
        <v>4000</v>
      </c>
      <c r="J31" s="645">
        <f>SUM(F31:I31)</f>
        <v>356000</v>
      </c>
      <c r="K31" s="934"/>
      <c r="L31" s="758">
        <f t="shared" si="3"/>
        <v>356000</v>
      </c>
      <c r="M31" s="191"/>
      <c r="N31" s="258"/>
      <c r="O31" s="162"/>
      <c r="P31" s="642"/>
      <c r="Q31" s="191"/>
      <c r="R31" s="768">
        <f t="shared" si="6"/>
        <v>356000</v>
      </c>
      <c r="S31" s="941">
        <f t="shared" si="4"/>
        <v>0</v>
      </c>
      <c r="T31" s="770">
        <f t="shared" si="5"/>
        <v>356000</v>
      </c>
    </row>
    <row r="32" spans="2:20" ht="12.75">
      <c r="B32" s="31">
        <f t="shared" si="1"/>
        <v>23</v>
      </c>
      <c r="C32" s="29"/>
      <c r="D32" s="2"/>
      <c r="E32" s="149" t="s">
        <v>230</v>
      </c>
      <c r="F32" s="331">
        <f>256000-14000</f>
        <v>242000</v>
      </c>
      <c r="G32" s="331">
        <f>90000-7000</f>
        <v>83000</v>
      </c>
      <c r="H32" s="331">
        <f>29000-2000</f>
        <v>27000</v>
      </c>
      <c r="I32" s="331">
        <f>3900+100</f>
        <v>4000</v>
      </c>
      <c r="J32" s="640">
        <f>SUM(F32:I32)</f>
        <v>356000</v>
      </c>
      <c r="K32" s="640"/>
      <c r="L32" s="640">
        <f t="shared" si="3"/>
        <v>356000</v>
      </c>
      <c r="M32" s="175"/>
      <c r="N32" s="367"/>
      <c r="O32" s="353"/>
      <c r="P32" s="640"/>
      <c r="Q32" s="175"/>
      <c r="R32" s="385">
        <f t="shared" si="6"/>
        <v>356000</v>
      </c>
      <c r="S32" s="385">
        <f t="shared" si="4"/>
        <v>0</v>
      </c>
      <c r="T32" s="385">
        <f t="shared" si="5"/>
        <v>356000</v>
      </c>
    </row>
    <row r="33" spans="2:20" ht="15">
      <c r="B33" s="31">
        <f t="shared" si="1"/>
        <v>24</v>
      </c>
      <c r="C33" s="42">
        <v>8</v>
      </c>
      <c r="D33" s="43" t="s">
        <v>116</v>
      </c>
      <c r="E33" s="843"/>
      <c r="F33" s="158"/>
      <c r="G33" s="162"/>
      <c r="H33" s="162">
        <v>1500</v>
      </c>
      <c r="I33" s="162"/>
      <c r="J33" s="645">
        <f aca="true" t="shared" si="7" ref="J33:J39">SUM(F33:I33)</f>
        <v>1500</v>
      </c>
      <c r="K33" s="934"/>
      <c r="L33" s="758">
        <f t="shared" si="3"/>
        <v>1500</v>
      </c>
      <c r="M33" s="191"/>
      <c r="N33" s="263"/>
      <c r="O33" s="164"/>
      <c r="P33" s="642"/>
      <c r="Q33" s="191"/>
      <c r="R33" s="768">
        <f t="shared" si="6"/>
        <v>1500</v>
      </c>
      <c r="S33" s="941">
        <f t="shared" si="4"/>
        <v>0</v>
      </c>
      <c r="T33" s="770">
        <f t="shared" si="5"/>
        <v>1500</v>
      </c>
    </row>
    <row r="34" spans="2:20" ht="15">
      <c r="B34" s="31">
        <f t="shared" si="1"/>
        <v>25</v>
      </c>
      <c r="C34" s="42">
        <v>9</v>
      </c>
      <c r="D34" s="43" t="s">
        <v>183</v>
      </c>
      <c r="E34" s="139"/>
      <c r="F34" s="158"/>
      <c r="G34" s="162"/>
      <c r="H34" s="162">
        <f>12370+H35-4550</f>
        <v>8521</v>
      </c>
      <c r="I34" s="162"/>
      <c r="J34" s="645">
        <f t="shared" si="7"/>
        <v>8521</v>
      </c>
      <c r="K34" s="934"/>
      <c r="L34" s="758">
        <f t="shared" si="3"/>
        <v>8521</v>
      </c>
      <c r="M34" s="191"/>
      <c r="N34" s="263"/>
      <c r="O34" s="164"/>
      <c r="P34" s="642"/>
      <c r="Q34" s="191"/>
      <c r="R34" s="768">
        <f t="shared" si="6"/>
        <v>8521</v>
      </c>
      <c r="S34" s="941">
        <f t="shared" si="4"/>
        <v>0</v>
      </c>
      <c r="T34" s="770">
        <f t="shared" si="5"/>
        <v>8521</v>
      </c>
    </row>
    <row r="35" spans="2:20" ht="12.75">
      <c r="B35" s="31">
        <f t="shared" si="1"/>
        <v>26</v>
      </c>
      <c r="C35" s="33"/>
      <c r="D35" s="14"/>
      <c r="E35" s="145" t="s">
        <v>442</v>
      </c>
      <c r="F35" s="334"/>
      <c r="G35" s="334"/>
      <c r="H35" s="361">
        <v>701</v>
      </c>
      <c r="I35" s="334"/>
      <c r="J35" s="640">
        <f>SUM(F35:I35)</f>
        <v>701</v>
      </c>
      <c r="K35" s="640"/>
      <c r="L35" s="640">
        <f t="shared" si="3"/>
        <v>701</v>
      </c>
      <c r="M35" s="175"/>
      <c r="N35" s="371"/>
      <c r="O35" s="335"/>
      <c r="P35" s="640"/>
      <c r="Q35" s="175"/>
      <c r="R35" s="385">
        <f>L35</f>
        <v>701</v>
      </c>
      <c r="S35" s="385">
        <f t="shared" si="4"/>
        <v>0</v>
      </c>
      <c r="T35" s="385">
        <f t="shared" si="5"/>
        <v>701</v>
      </c>
    </row>
    <row r="36" spans="2:20" ht="15">
      <c r="B36" s="31">
        <f t="shared" si="1"/>
        <v>27</v>
      </c>
      <c r="C36" s="42">
        <v>10</v>
      </c>
      <c r="D36" s="43" t="s">
        <v>149</v>
      </c>
      <c r="E36" s="139"/>
      <c r="F36" s="158">
        <f>F37</f>
        <v>5400</v>
      </c>
      <c r="G36" s="162">
        <f>G37</f>
        <v>1900</v>
      </c>
      <c r="H36" s="162">
        <f>H37</f>
        <v>2700</v>
      </c>
      <c r="I36" s="162">
        <f>I37</f>
        <v>100</v>
      </c>
      <c r="J36" s="645">
        <f t="shared" si="7"/>
        <v>10100</v>
      </c>
      <c r="K36" s="934"/>
      <c r="L36" s="758">
        <f t="shared" si="3"/>
        <v>10100</v>
      </c>
      <c r="M36" s="191"/>
      <c r="N36" s="263"/>
      <c r="O36" s="164"/>
      <c r="P36" s="642"/>
      <c r="Q36" s="191"/>
      <c r="R36" s="768">
        <f>J36+P36</f>
        <v>10100</v>
      </c>
      <c r="S36" s="941">
        <f t="shared" si="4"/>
        <v>0</v>
      </c>
      <c r="T36" s="770">
        <f t="shared" si="5"/>
        <v>10100</v>
      </c>
    </row>
    <row r="37" spans="2:20" ht="12.75">
      <c r="B37" s="31">
        <f t="shared" si="1"/>
        <v>28</v>
      </c>
      <c r="C37" s="29"/>
      <c r="D37" s="2"/>
      <c r="E37" s="149" t="s">
        <v>231</v>
      </c>
      <c r="F37" s="331">
        <f>4700+700</f>
        <v>5400</v>
      </c>
      <c r="G37" s="332">
        <f>1600+300</f>
        <v>1900</v>
      </c>
      <c r="H37" s="333">
        <v>2700</v>
      </c>
      <c r="I37" s="332">
        <v>100</v>
      </c>
      <c r="J37" s="640">
        <f t="shared" si="7"/>
        <v>10100</v>
      </c>
      <c r="K37" s="640"/>
      <c r="L37" s="640">
        <f t="shared" si="3"/>
        <v>10100</v>
      </c>
      <c r="M37" s="175"/>
      <c r="N37" s="369"/>
      <c r="O37" s="332"/>
      <c r="P37" s="640"/>
      <c r="Q37" s="175"/>
      <c r="R37" s="385">
        <f>J37+P37</f>
        <v>10100</v>
      </c>
      <c r="S37" s="385">
        <f t="shared" si="4"/>
        <v>0</v>
      </c>
      <c r="T37" s="385">
        <f t="shared" si="5"/>
        <v>10100</v>
      </c>
    </row>
    <row r="38" spans="2:20" ht="15">
      <c r="B38" s="31">
        <f t="shared" si="1"/>
        <v>29</v>
      </c>
      <c r="C38" s="42">
        <v>11</v>
      </c>
      <c r="D38" s="43" t="s">
        <v>198</v>
      </c>
      <c r="E38" s="139"/>
      <c r="F38" s="158">
        <f>F39</f>
        <v>63000</v>
      </c>
      <c r="G38" s="162">
        <f>G39</f>
        <v>24000</v>
      </c>
      <c r="H38" s="162">
        <f>H39</f>
        <v>15630</v>
      </c>
      <c r="I38" s="162">
        <f>I39</f>
        <v>8600</v>
      </c>
      <c r="J38" s="650">
        <f t="shared" si="7"/>
        <v>111230</v>
      </c>
      <c r="K38" s="957"/>
      <c r="L38" s="794">
        <f t="shared" si="3"/>
        <v>111230</v>
      </c>
      <c r="M38" s="191"/>
      <c r="N38" s="263"/>
      <c r="O38" s="164"/>
      <c r="P38" s="637"/>
      <c r="Q38" s="191"/>
      <c r="R38" s="768">
        <f>J38+P38</f>
        <v>111230</v>
      </c>
      <c r="S38" s="941">
        <f t="shared" si="4"/>
        <v>0</v>
      </c>
      <c r="T38" s="770">
        <f t="shared" si="5"/>
        <v>111230</v>
      </c>
    </row>
    <row r="39" spans="2:20" ht="13.5" thickBot="1">
      <c r="B39" s="32">
        <f t="shared" si="1"/>
        <v>30</v>
      </c>
      <c r="C39" s="35"/>
      <c r="D39" s="55"/>
      <c r="E39" s="155" t="s">
        <v>199</v>
      </c>
      <c r="F39" s="354">
        <v>63000</v>
      </c>
      <c r="G39" s="355">
        <f>22000+2000</f>
        <v>24000</v>
      </c>
      <c r="H39" s="356">
        <f>11630+4000</f>
        <v>15630</v>
      </c>
      <c r="I39" s="355">
        <f>6300+2300</f>
        <v>8600</v>
      </c>
      <c r="J39" s="666">
        <f t="shared" si="7"/>
        <v>111230</v>
      </c>
      <c r="K39" s="666"/>
      <c r="L39" s="666">
        <f t="shared" si="3"/>
        <v>111230</v>
      </c>
      <c r="M39" s="687"/>
      <c r="N39" s="373"/>
      <c r="O39" s="355"/>
      <c r="P39" s="666"/>
      <c r="Q39" s="175"/>
      <c r="R39" s="409">
        <f>J39+P39</f>
        <v>111230</v>
      </c>
      <c r="S39" s="409">
        <f t="shared" si="4"/>
        <v>0</v>
      </c>
      <c r="T39" s="409">
        <f t="shared" si="5"/>
        <v>111230</v>
      </c>
    </row>
    <row r="40" ht="24" customHeight="1"/>
    <row r="41" spans="10:12" ht="12.75">
      <c r="J41" s="19"/>
      <c r="K41" s="19"/>
      <c r="L41" s="19"/>
    </row>
    <row r="43" spans="10:12" ht="12.75">
      <c r="J43" s="19"/>
      <c r="K43" s="19"/>
      <c r="L43" s="19"/>
    </row>
  </sheetData>
  <sheetProtection/>
  <mergeCells count="20">
    <mergeCell ref="N5:P5"/>
    <mergeCell ref="E6:L6"/>
    <mergeCell ref="R4:R8"/>
    <mergeCell ref="B4:P4"/>
    <mergeCell ref="D6:D8"/>
    <mergeCell ref="G7:G8"/>
    <mergeCell ref="B5:L5"/>
    <mergeCell ref="C6:C8"/>
    <mergeCell ref="F7:F8"/>
    <mergeCell ref="L7:L8"/>
    <mergeCell ref="N7:N8"/>
    <mergeCell ref="P7:P8"/>
    <mergeCell ref="J7:J8"/>
    <mergeCell ref="S4:S8"/>
    <mergeCell ref="T4:T8"/>
    <mergeCell ref="H7:H8"/>
    <mergeCell ref="I7:I8"/>
    <mergeCell ref="O7:O8"/>
    <mergeCell ref="K7:K8"/>
    <mergeCell ref="N6:P6"/>
  </mergeCells>
  <printOptions/>
  <pageMargins left="0.17" right="0.1968503937007874" top="0.6299212598425197" bottom="0.1968503937007874" header="0.3937007874015748" footer="0.1968503937007874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421875" style="6" customWidth="1"/>
    <col min="3" max="3" width="2.421875" style="5" customWidth="1"/>
    <col min="4" max="4" width="2.28125" style="0" customWidth="1"/>
    <col min="5" max="5" width="37.7109375" style="0" customWidth="1"/>
    <col min="6" max="6" width="6.8515625" style="0" customWidth="1"/>
    <col min="7" max="7" width="6.00390625" style="0" customWidth="1"/>
    <col min="8" max="8" width="7.8515625" style="0" customWidth="1"/>
    <col min="9" max="9" width="7.28125" style="0" customWidth="1"/>
    <col min="10" max="10" width="9.421875" style="0" customWidth="1"/>
    <col min="11" max="11" width="9.57421875" style="0" customWidth="1"/>
    <col min="12" max="12" width="9.8515625" style="0" customWidth="1"/>
    <col min="13" max="13" width="0.9921875" style="124" customWidth="1"/>
    <col min="14" max="14" width="7.140625" style="0" customWidth="1"/>
    <col min="15" max="16" width="9.8515625" style="0" customWidth="1"/>
    <col min="17" max="17" width="10.7109375" style="0" customWidth="1"/>
    <col min="18" max="18" width="8.7109375" style="0" customWidth="1"/>
    <col min="19" max="19" width="10.8515625" style="0" customWidth="1"/>
    <col min="20" max="20" width="1.28515625" style="47" customWidth="1"/>
    <col min="21" max="21" width="10.57421875" style="0" customWidth="1"/>
    <col min="22" max="22" width="9.421875" style="0" customWidth="1"/>
    <col min="23" max="23" width="10.57421875" style="0" customWidth="1"/>
    <col min="24" max="24" width="4.00390625" style="0" customWidth="1"/>
  </cols>
  <sheetData>
    <row r="1" spans="10:21" ht="15.75" customHeight="1">
      <c r="J1" s="201"/>
      <c r="K1" s="201"/>
      <c r="L1" s="201"/>
      <c r="M1" s="201"/>
      <c r="N1" s="45"/>
      <c r="O1" s="45"/>
      <c r="P1" s="45"/>
      <c r="Q1" s="51"/>
      <c r="R1" s="51"/>
      <c r="S1" s="51"/>
      <c r="T1" s="266"/>
      <c r="U1" s="267"/>
    </row>
    <row r="2" spans="2:23" s="34" customFormat="1" ht="27">
      <c r="B2" s="977"/>
      <c r="C2" s="978" t="s">
        <v>263</v>
      </c>
      <c r="D2" s="979"/>
      <c r="E2" s="979"/>
      <c r="F2" s="979"/>
      <c r="G2" s="979"/>
      <c r="H2" s="979"/>
      <c r="I2" s="979"/>
      <c r="J2" s="985"/>
      <c r="K2" s="985"/>
      <c r="L2" s="985"/>
      <c r="M2" s="985"/>
      <c r="N2" s="984"/>
      <c r="O2" s="984"/>
      <c r="P2" s="979"/>
      <c r="Q2" s="988"/>
      <c r="R2" s="988"/>
      <c r="S2" s="988"/>
      <c r="T2" s="979"/>
      <c r="U2" s="988"/>
      <c r="V2" s="979"/>
      <c r="W2" s="979"/>
    </row>
    <row r="3" spans="2:23" s="34" customFormat="1" ht="13.5" thickBot="1">
      <c r="B3" s="977"/>
      <c r="C3" s="980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</row>
    <row r="4" spans="2:23" ht="12.75" customHeight="1" thickBot="1">
      <c r="B4" s="1089" t="s">
        <v>316</v>
      </c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1"/>
      <c r="T4" s="253"/>
      <c r="U4" s="1029" t="s">
        <v>450</v>
      </c>
      <c r="V4" s="1051" t="s">
        <v>451</v>
      </c>
      <c r="W4" s="1042" t="s">
        <v>452</v>
      </c>
    </row>
    <row r="5" spans="2:23" ht="18.75" customHeight="1" thickTop="1">
      <c r="B5" s="1092" t="s">
        <v>12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4"/>
      <c r="M5" s="410"/>
      <c r="N5" s="1092" t="s">
        <v>300</v>
      </c>
      <c r="O5" s="1093"/>
      <c r="P5" s="1093"/>
      <c r="Q5" s="1093"/>
      <c r="R5" s="1093"/>
      <c r="S5" s="1094"/>
      <c r="T5" s="254"/>
      <c r="U5" s="1030"/>
      <c r="V5" s="1052"/>
      <c r="W5" s="1043"/>
    </row>
    <row r="6" spans="2:23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393"/>
      <c r="N6" s="1105" t="s">
        <v>11</v>
      </c>
      <c r="O6" s="1106"/>
      <c r="P6" s="1106"/>
      <c r="Q6" s="1106"/>
      <c r="R6" s="1106"/>
      <c r="S6" s="1107"/>
      <c r="T6" s="15"/>
      <c r="U6" s="1030"/>
      <c r="V6" s="1052"/>
      <c r="W6" s="1043"/>
    </row>
    <row r="7" spans="2:23" ht="31.5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M7" s="173"/>
      <c r="N7" s="1077">
        <v>716</v>
      </c>
      <c r="O7" s="1032">
        <v>712.711</v>
      </c>
      <c r="P7" s="1032">
        <v>717</v>
      </c>
      <c r="Q7" s="1027" t="s">
        <v>450</v>
      </c>
      <c r="R7" s="1034" t="s">
        <v>451</v>
      </c>
      <c r="S7" s="1040" t="s">
        <v>452</v>
      </c>
      <c r="T7" s="255"/>
      <c r="U7" s="1030"/>
      <c r="V7" s="1052"/>
      <c r="W7" s="1043"/>
    </row>
    <row r="8" spans="2:23" ht="30" customHeight="1" thickBot="1">
      <c r="B8" s="46"/>
      <c r="C8" s="1056"/>
      <c r="D8" s="1056"/>
      <c r="E8" s="53"/>
      <c r="F8" s="1037"/>
      <c r="G8" s="1033"/>
      <c r="H8" s="1033"/>
      <c r="I8" s="1033"/>
      <c r="J8" s="1028"/>
      <c r="K8" s="1035"/>
      <c r="L8" s="1041"/>
      <c r="M8" s="415"/>
      <c r="N8" s="1058"/>
      <c r="O8" s="1033"/>
      <c r="P8" s="1033"/>
      <c r="Q8" s="1028"/>
      <c r="R8" s="1035"/>
      <c r="S8" s="1041"/>
      <c r="T8" s="200"/>
      <c r="U8" s="1031"/>
      <c r="V8" s="1053"/>
      <c r="W8" s="1044"/>
    </row>
    <row r="9" spans="2:23" ht="25.5" customHeight="1" thickBot="1" thickTop="1">
      <c r="B9" s="31">
        <v>1</v>
      </c>
      <c r="C9" s="203" t="s">
        <v>264</v>
      </c>
      <c r="D9" s="283"/>
      <c r="E9" s="287"/>
      <c r="F9" s="279">
        <f>F10+F12</f>
        <v>14620</v>
      </c>
      <c r="G9" s="279">
        <f>G10+G12</f>
        <v>5330</v>
      </c>
      <c r="H9" s="279">
        <f>H10+H12</f>
        <v>151550</v>
      </c>
      <c r="I9" s="279">
        <f>I10+I12</f>
        <v>40000</v>
      </c>
      <c r="J9" s="665">
        <f>SUM(F9:I9)</f>
        <v>211500</v>
      </c>
      <c r="K9" s="951"/>
      <c r="L9" s="788">
        <f>J9+K9</f>
        <v>211500</v>
      </c>
      <c r="M9" s="411"/>
      <c r="N9" s="282">
        <f>N10+N12</f>
        <v>36100</v>
      </c>
      <c r="O9" s="280">
        <f>O10+O12</f>
        <v>655488</v>
      </c>
      <c r="P9" s="280">
        <f>P10+P12</f>
        <v>1102159</v>
      </c>
      <c r="Q9" s="662">
        <f>SUM(N9:P9)</f>
        <v>1793747</v>
      </c>
      <c r="R9" s="950"/>
      <c r="S9" s="787">
        <f>Q9+R9</f>
        <v>1793747</v>
      </c>
      <c r="T9" s="281"/>
      <c r="U9" s="767">
        <f aca="true" t="shared" si="0" ref="U9:U23">J9+Q9</f>
        <v>2005247</v>
      </c>
      <c r="V9" s="940">
        <f aca="true" t="shared" si="1" ref="V9:V23">K9+R9</f>
        <v>0</v>
      </c>
      <c r="W9" s="769">
        <f>U9+V9</f>
        <v>2005247</v>
      </c>
    </row>
    <row r="10" spans="2:23" ht="15.75" thickTop="1">
      <c r="B10" s="31">
        <f aca="true" t="shared" si="2" ref="B10:B22">B9+1</f>
        <v>2</v>
      </c>
      <c r="C10" s="42">
        <v>1</v>
      </c>
      <c r="D10" s="43" t="s">
        <v>270</v>
      </c>
      <c r="E10" s="44"/>
      <c r="F10" s="158"/>
      <c r="G10" s="162"/>
      <c r="H10" s="162">
        <f>H11</f>
        <v>10500</v>
      </c>
      <c r="I10" s="162"/>
      <c r="J10" s="653">
        <f aca="true" t="shared" si="3" ref="J10:J18">SUM(F10:H10)</f>
        <v>10500</v>
      </c>
      <c r="K10" s="937"/>
      <c r="L10" s="773">
        <f aca="true" t="shared" si="4" ref="L10:L23">J10+K10</f>
        <v>10500</v>
      </c>
      <c r="M10" s="191"/>
      <c r="N10" s="303"/>
      <c r="O10" s="162">
        <f>1145650-200000-612102</f>
        <v>333548</v>
      </c>
      <c r="P10" s="162"/>
      <c r="Q10" s="661">
        <f>O10</f>
        <v>333548</v>
      </c>
      <c r="R10" s="943"/>
      <c r="S10" s="776">
        <f aca="true" t="shared" si="5" ref="S10:S23">Q10+R10</f>
        <v>333548</v>
      </c>
      <c r="T10" s="264"/>
      <c r="U10" s="768">
        <f t="shared" si="0"/>
        <v>344048</v>
      </c>
      <c r="V10" s="941">
        <f t="shared" si="1"/>
        <v>0</v>
      </c>
      <c r="W10" s="770">
        <f aca="true" t="shared" si="6" ref="W10:W23">U10+V10</f>
        <v>344048</v>
      </c>
    </row>
    <row r="11" spans="1:24" ht="12.75">
      <c r="A11" s="176"/>
      <c r="B11" s="31">
        <f t="shared" si="2"/>
        <v>3</v>
      </c>
      <c r="C11" s="30"/>
      <c r="D11" s="14"/>
      <c r="E11" s="844" t="s">
        <v>358</v>
      </c>
      <c r="F11" s="334"/>
      <c r="G11" s="335"/>
      <c r="H11" s="336">
        <v>10500</v>
      </c>
      <c r="I11" s="335"/>
      <c r="J11" s="641">
        <f>H11</f>
        <v>10500</v>
      </c>
      <c r="K11" s="641"/>
      <c r="L11" s="641">
        <f t="shared" si="4"/>
        <v>10500</v>
      </c>
      <c r="M11" s="175"/>
      <c r="N11" s="352"/>
      <c r="O11" s="500">
        <v>15650</v>
      </c>
      <c r="P11" s="332"/>
      <c r="Q11" s="641">
        <f>SUM(N11:P11)</f>
        <v>15650</v>
      </c>
      <c r="R11" s="641"/>
      <c r="S11" s="641">
        <f t="shared" si="5"/>
        <v>15650</v>
      </c>
      <c r="T11" s="175"/>
      <c r="U11" s="528">
        <f t="shared" si="0"/>
        <v>26150</v>
      </c>
      <c r="V11" s="528">
        <f t="shared" si="1"/>
        <v>0</v>
      </c>
      <c r="W11" s="528">
        <f t="shared" si="6"/>
        <v>26150</v>
      </c>
      <c r="X11" s="176"/>
    </row>
    <row r="12" spans="2:23" ht="15">
      <c r="B12" s="31">
        <f t="shared" si="2"/>
        <v>4</v>
      </c>
      <c r="C12" s="42">
        <v>2</v>
      </c>
      <c r="D12" s="43" t="s">
        <v>225</v>
      </c>
      <c r="E12" s="44"/>
      <c r="F12" s="158">
        <f>F13+F16+F17+F18</f>
        <v>14620</v>
      </c>
      <c r="G12" s="158">
        <f>G13+G16+G17+G18</f>
        <v>5330</v>
      </c>
      <c r="H12" s="158">
        <f>H13+H16+H17+H18</f>
        <v>141050</v>
      </c>
      <c r="I12" s="158">
        <f>I13+I16+I17+I18</f>
        <v>40000</v>
      </c>
      <c r="J12" s="650">
        <f>SUM(F12:I12)</f>
        <v>201000</v>
      </c>
      <c r="K12" s="957"/>
      <c r="L12" s="794">
        <f t="shared" si="4"/>
        <v>201000</v>
      </c>
      <c r="M12" s="191"/>
      <c r="N12" s="263">
        <f>N13+N16+N17+N18</f>
        <v>36100</v>
      </c>
      <c r="O12" s="164">
        <f>SUM(O13:O18)</f>
        <v>321940</v>
      </c>
      <c r="P12" s="164">
        <f>SUM(P13:P18)</f>
        <v>1102159</v>
      </c>
      <c r="Q12" s="655">
        <f>Q13+Q16+Q17+Q18</f>
        <v>1460199</v>
      </c>
      <c r="R12" s="939"/>
      <c r="S12" s="764">
        <f t="shared" si="5"/>
        <v>1460199</v>
      </c>
      <c r="T12" s="264"/>
      <c r="U12" s="754">
        <f t="shared" si="0"/>
        <v>1661199</v>
      </c>
      <c r="V12" s="942">
        <f t="shared" si="1"/>
        <v>0</v>
      </c>
      <c r="W12" s="771">
        <f t="shared" si="6"/>
        <v>1661199</v>
      </c>
    </row>
    <row r="13" spans="2:23" ht="12.75">
      <c r="B13" s="31">
        <f t="shared" si="2"/>
        <v>5</v>
      </c>
      <c r="C13" s="40"/>
      <c r="D13" s="63" t="s">
        <v>6</v>
      </c>
      <c r="E13" s="325" t="s">
        <v>226</v>
      </c>
      <c r="F13" s="337"/>
      <c r="G13" s="338"/>
      <c r="H13" s="339">
        <f>SUM(H14:H15)</f>
        <v>134694</v>
      </c>
      <c r="I13" s="339">
        <f>40000</f>
        <v>40000</v>
      </c>
      <c r="J13" s="647">
        <f>SUM(F13:I13)</f>
        <v>174694</v>
      </c>
      <c r="K13" s="647"/>
      <c r="L13" s="647">
        <f t="shared" si="4"/>
        <v>174694</v>
      </c>
      <c r="M13" s="175"/>
      <c r="N13" s="351"/>
      <c r="O13" s="337"/>
      <c r="P13" s="338"/>
      <c r="Q13" s="633">
        <f aca="true" t="shared" si="7" ref="Q13:Q23">SUM(N13:P13)</f>
        <v>0</v>
      </c>
      <c r="R13" s="633"/>
      <c r="S13" s="633">
        <f t="shared" si="5"/>
        <v>0</v>
      </c>
      <c r="T13" s="36"/>
      <c r="U13" s="390">
        <f t="shared" si="0"/>
        <v>174694</v>
      </c>
      <c r="V13" s="390">
        <f t="shared" si="1"/>
        <v>0</v>
      </c>
      <c r="W13" s="390">
        <f t="shared" si="6"/>
        <v>174694</v>
      </c>
    </row>
    <row r="14" spans="2:23" ht="12.75">
      <c r="B14" s="31">
        <f t="shared" si="2"/>
        <v>6</v>
      </c>
      <c r="C14" s="147"/>
      <c r="D14" s="147"/>
      <c r="E14" s="547" t="s">
        <v>395</v>
      </c>
      <c r="F14" s="334"/>
      <c r="G14" s="335"/>
      <c r="H14" s="336">
        <v>129170</v>
      </c>
      <c r="I14" s="606"/>
      <c r="J14" s="641">
        <f>SUM(F14:I14)</f>
        <v>129170</v>
      </c>
      <c r="K14" s="641"/>
      <c r="L14" s="641">
        <f t="shared" si="4"/>
        <v>129170</v>
      </c>
      <c r="M14" s="174"/>
      <c r="N14" s="555"/>
      <c r="O14" s="543"/>
      <c r="P14" s="332">
        <f>SUM(N14:O14)</f>
        <v>0</v>
      </c>
      <c r="Q14" s="641">
        <f>SUM(N14:P14)</f>
        <v>0</v>
      </c>
      <c r="R14" s="641"/>
      <c r="S14" s="641">
        <f t="shared" si="5"/>
        <v>0</v>
      </c>
      <c r="T14" s="797"/>
      <c r="U14" s="385">
        <f t="shared" si="0"/>
        <v>129170</v>
      </c>
      <c r="V14" s="385">
        <f t="shared" si="1"/>
        <v>0</v>
      </c>
      <c r="W14" s="385">
        <f t="shared" si="6"/>
        <v>129170</v>
      </c>
    </row>
    <row r="15" spans="1:24" ht="12.75">
      <c r="A15" s="176"/>
      <c r="B15" s="31">
        <f t="shared" si="2"/>
        <v>7</v>
      </c>
      <c r="C15" s="30"/>
      <c r="D15" s="14"/>
      <c r="E15" s="844" t="s">
        <v>358</v>
      </c>
      <c r="F15" s="334"/>
      <c r="G15" s="335"/>
      <c r="H15" s="336">
        <v>5524</v>
      </c>
      <c r="I15" s="335"/>
      <c r="J15" s="641">
        <f>H15</f>
        <v>5524</v>
      </c>
      <c r="K15" s="641"/>
      <c r="L15" s="641">
        <f t="shared" si="4"/>
        <v>5524</v>
      </c>
      <c r="M15" s="175"/>
      <c r="N15" s="352"/>
      <c r="O15" s="500"/>
      <c r="P15" s="332"/>
      <c r="Q15" s="641">
        <f>SUM(N15:P15)</f>
        <v>0</v>
      </c>
      <c r="R15" s="641"/>
      <c r="S15" s="641">
        <f t="shared" si="5"/>
        <v>0</v>
      </c>
      <c r="T15" s="383"/>
      <c r="U15" s="528">
        <f t="shared" si="0"/>
        <v>5524</v>
      </c>
      <c r="V15" s="528">
        <f t="shared" si="1"/>
        <v>0</v>
      </c>
      <c r="W15" s="528">
        <f t="shared" si="6"/>
        <v>5524</v>
      </c>
      <c r="X15" s="176"/>
    </row>
    <row r="16" spans="2:23" ht="12.75">
      <c r="B16" s="31">
        <f t="shared" si="2"/>
        <v>8</v>
      </c>
      <c r="C16" s="40"/>
      <c r="D16" s="63" t="s">
        <v>7</v>
      </c>
      <c r="E16" s="317" t="s">
        <v>190</v>
      </c>
      <c r="F16" s="337"/>
      <c r="G16" s="338"/>
      <c r="H16" s="339"/>
      <c r="I16" s="339"/>
      <c r="J16" s="647">
        <f t="shared" si="3"/>
        <v>0</v>
      </c>
      <c r="K16" s="647"/>
      <c r="L16" s="647">
        <f t="shared" si="4"/>
        <v>0</v>
      </c>
      <c r="M16" s="175"/>
      <c r="N16" s="351"/>
      <c r="O16" s="337"/>
      <c r="P16" s="338"/>
      <c r="Q16" s="633">
        <f t="shared" si="7"/>
        <v>0</v>
      </c>
      <c r="R16" s="633"/>
      <c r="S16" s="633">
        <f t="shared" si="5"/>
        <v>0</v>
      </c>
      <c r="T16" s="36"/>
      <c r="U16" s="390">
        <f t="shared" si="0"/>
        <v>0</v>
      </c>
      <c r="V16" s="390">
        <f t="shared" si="1"/>
        <v>0</v>
      </c>
      <c r="W16" s="390">
        <f t="shared" si="6"/>
        <v>0</v>
      </c>
    </row>
    <row r="17" spans="1:23" ht="12.75">
      <c r="A17" s="34"/>
      <c r="B17" s="31">
        <f t="shared" si="2"/>
        <v>9</v>
      </c>
      <c r="C17" s="40"/>
      <c r="D17" s="63" t="s">
        <v>8</v>
      </c>
      <c r="E17" s="317" t="s">
        <v>227</v>
      </c>
      <c r="F17" s="337">
        <v>14620</v>
      </c>
      <c r="G17" s="338">
        <v>5330</v>
      </c>
      <c r="H17" s="339">
        <f>2550+1806</f>
        <v>4356</v>
      </c>
      <c r="I17" s="339"/>
      <c r="J17" s="647">
        <f t="shared" si="3"/>
        <v>24306</v>
      </c>
      <c r="K17" s="647"/>
      <c r="L17" s="647">
        <f t="shared" si="4"/>
        <v>24306</v>
      </c>
      <c r="M17" s="175"/>
      <c r="N17" s="351"/>
      <c r="O17" s="337"/>
      <c r="P17" s="338"/>
      <c r="Q17" s="633">
        <f t="shared" si="7"/>
        <v>0</v>
      </c>
      <c r="R17" s="633"/>
      <c r="S17" s="633">
        <f t="shared" si="5"/>
        <v>0</v>
      </c>
      <c r="T17" s="36"/>
      <c r="U17" s="390">
        <f t="shared" si="0"/>
        <v>24306</v>
      </c>
      <c r="V17" s="390">
        <f t="shared" si="1"/>
        <v>0</v>
      </c>
      <c r="W17" s="390">
        <f t="shared" si="6"/>
        <v>24306</v>
      </c>
    </row>
    <row r="18" spans="1:23" ht="12.75">
      <c r="A18" s="527"/>
      <c r="B18" s="31">
        <f t="shared" si="2"/>
        <v>10</v>
      </c>
      <c r="C18" s="40"/>
      <c r="D18" s="63" t="s">
        <v>9</v>
      </c>
      <c r="E18" s="325" t="s">
        <v>228</v>
      </c>
      <c r="F18" s="360"/>
      <c r="G18" s="363"/>
      <c r="H18" s="364">
        <v>2000</v>
      </c>
      <c r="I18" s="364"/>
      <c r="J18" s="647">
        <f t="shared" si="3"/>
        <v>2000</v>
      </c>
      <c r="K18" s="647"/>
      <c r="L18" s="647">
        <f t="shared" si="4"/>
        <v>2000</v>
      </c>
      <c r="M18" s="175"/>
      <c r="N18" s="351">
        <f>SUM(N19:N23)</f>
        <v>36100</v>
      </c>
      <c r="O18" s="337">
        <f>SUM(O19:O23)</f>
        <v>321940</v>
      </c>
      <c r="P18" s="338">
        <f>SUM(P19:P23)</f>
        <v>1102159</v>
      </c>
      <c r="Q18" s="633">
        <f t="shared" si="7"/>
        <v>1460199</v>
      </c>
      <c r="R18" s="633"/>
      <c r="S18" s="633">
        <f t="shared" si="5"/>
        <v>1460199</v>
      </c>
      <c r="T18" s="36"/>
      <c r="U18" s="390">
        <f t="shared" si="0"/>
        <v>1462199</v>
      </c>
      <c r="V18" s="390">
        <f t="shared" si="1"/>
        <v>0</v>
      </c>
      <c r="W18" s="390">
        <f t="shared" si="6"/>
        <v>1462199</v>
      </c>
    </row>
    <row r="19" spans="1:24" ht="12.75">
      <c r="A19" s="176"/>
      <c r="B19" s="31">
        <f t="shared" si="2"/>
        <v>11</v>
      </c>
      <c r="C19" s="29"/>
      <c r="D19" s="2"/>
      <c r="E19" s="276" t="s">
        <v>348</v>
      </c>
      <c r="F19" s="331"/>
      <c r="G19" s="332"/>
      <c r="H19" s="333"/>
      <c r="I19" s="332"/>
      <c r="J19" s="640">
        <f>SUM(F19:I19)</f>
        <v>0</v>
      </c>
      <c r="K19" s="640"/>
      <c r="L19" s="640">
        <f t="shared" si="4"/>
        <v>0</v>
      </c>
      <c r="M19" s="175"/>
      <c r="N19" s="389"/>
      <c r="O19" s="501"/>
      <c r="P19" s="332">
        <v>562859</v>
      </c>
      <c r="Q19" s="641">
        <f t="shared" si="7"/>
        <v>562859</v>
      </c>
      <c r="R19" s="641"/>
      <c r="S19" s="641">
        <f t="shared" si="5"/>
        <v>562859</v>
      </c>
      <c r="T19" s="175"/>
      <c r="U19" s="385">
        <f t="shared" si="0"/>
        <v>562859</v>
      </c>
      <c r="V19" s="385">
        <f t="shared" si="1"/>
        <v>0</v>
      </c>
      <c r="W19" s="385">
        <f t="shared" si="6"/>
        <v>562859</v>
      </c>
      <c r="X19" s="176"/>
    </row>
    <row r="20" spans="1:24" ht="12.75">
      <c r="A20" s="176"/>
      <c r="B20" s="31">
        <f t="shared" si="2"/>
        <v>12</v>
      </c>
      <c r="C20" s="29"/>
      <c r="D20" s="2"/>
      <c r="E20" s="276" t="s">
        <v>349</v>
      </c>
      <c r="F20" s="331"/>
      <c r="G20" s="332"/>
      <c r="H20" s="333"/>
      <c r="I20" s="332"/>
      <c r="J20" s="640">
        <f>SUM(F20:I20)</f>
        <v>0</v>
      </c>
      <c r="K20" s="640"/>
      <c r="L20" s="640">
        <f t="shared" si="4"/>
        <v>0</v>
      </c>
      <c r="M20" s="175"/>
      <c r="N20" s="352"/>
      <c r="O20" s="500">
        <v>321940</v>
      </c>
      <c r="P20" s="332"/>
      <c r="Q20" s="641">
        <f t="shared" si="7"/>
        <v>321940</v>
      </c>
      <c r="R20" s="641"/>
      <c r="S20" s="641">
        <f t="shared" si="5"/>
        <v>321940</v>
      </c>
      <c r="T20" s="175"/>
      <c r="U20" s="385">
        <f t="shared" si="0"/>
        <v>321940</v>
      </c>
      <c r="V20" s="385">
        <f t="shared" si="1"/>
        <v>0</v>
      </c>
      <c r="W20" s="385">
        <f t="shared" si="6"/>
        <v>321940</v>
      </c>
      <c r="X20" s="176"/>
    </row>
    <row r="21" spans="1:24" ht="12.75">
      <c r="A21" s="176"/>
      <c r="B21" s="31">
        <f t="shared" si="2"/>
        <v>13</v>
      </c>
      <c r="C21" s="30"/>
      <c r="D21" s="14"/>
      <c r="E21" s="146" t="s">
        <v>356</v>
      </c>
      <c r="F21" s="334"/>
      <c r="G21" s="335"/>
      <c r="H21" s="336"/>
      <c r="I21" s="335"/>
      <c r="J21" s="640">
        <f>SUM(F21:I21)</f>
        <v>0</v>
      </c>
      <c r="K21" s="640"/>
      <c r="L21" s="640">
        <f t="shared" si="4"/>
        <v>0</v>
      </c>
      <c r="M21" s="175"/>
      <c r="N21" s="352"/>
      <c r="O21" s="500"/>
      <c r="P21" s="332">
        <v>95400</v>
      </c>
      <c r="Q21" s="641">
        <f t="shared" si="7"/>
        <v>95400</v>
      </c>
      <c r="R21" s="641"/>
      <c r="S21" s="641">
        <f t="shared" si="5"/>
        <v>95400</v>
      </c>
      <c r="T21" s="175"/>
      <c r="U21" s="528">
        <f t="shared" si="0"/>
        <v>95400</v>
      </c>
      <c r="V21" s="528">
        <f t="shared" si="1"/>
        <v>0</v>
      </c>
      <c r="W21" s="528">
        <f t="shared" si="6"/>
        <v>95400</v>
      </c>
      <c r="X21" s="176"/>
    </row>
    <row r="22" spans="1:24" ht="12.75">
      <c r="A22" s="176"/>
      <c r="B22" s="31">
        <f t="shared" si="2"/>
        <v>14</v>
      </c>
      <c r="C22" s="30"/>
      <c r="D22" s="14"/>
      <c r="E22" s="146" t="s">
        <v>363</v>
      </c>
      <c r="F22" s="334"/>
      <c r="G22" s="335"/>
      <c r="H22" s="336"/>
      <c r="I22" s="335"/>
      <c r="J22" s="640">
        <f>SUM(F22:I22)</f>
        <v>0</v>
      </c>
      <c r="K22" s="640"/>
      <c r="L22" s="640">
        <f t="shared" si="4"/>
        <v>0</v>
      </c>
      <c r="M22" s="175"/>
      <c r="N22" s="352"/>
      <c r="O22" s="500"/>
      <c r="P22" s="332">
        <v>360000</v>
      </c>
      <c r="Q22" s="641">
        <f>SUM(N22:P22)</f>
        <v>360000</v>
      </c>
      <c r="R22" s="641"/>
      <c r="S22" s="641">
        <f t="shared" si="5"/>
        <v>360000</v>
      </c>
      <c r="T22" s="175"/>
      <c r="U22" s="385">
        <f t="shared" si="0"/>
        <v>360000</v>
      </c>
      <c r="V22" s="385">
        <f t="shared" si="1"/>
        <v>0</v>
      </c>
      <c r="W22" s="385">
        <f t="shared" si="6"/>
        <v>360000</v>
      </c>
      <c r="X22" s="176"/>
    </row>
    <row r="23" spans="1:24" ht="13.5" thickBot="1">
      <c r="A23" s="176"/>
      <c r="B23" s="31">
        <f>B22+1</f>
        <v>15</v>
      </c>
      <c r="C23" s="522"/>
      <c r="D23" s="523"/>
      <c r="E23" s="524" t="s">
        <v>347</v>
      </c>
      <c r="F23" s="525"/>
      <c r="G23" s="502"/>
      <c r="H23" s="526"/>
      <c r="I23" s="502"/>
      <c r="J23" s="654">
        <f>SUM(F23:I23)</f>
        <v>0</v>
      </c>
      <c r="K23" s="654"/>
      <c r="L23" s="654">
        <f t="shared" si="4"/>
        <v>0</v>
      </c>
      <c r="M23" s="175"/>
      <c r="N23" s="532">
        <v>36100</v>
      </c>
      <c r="O23" s="530"/>
      <c r="P23" s="502">
        <f>157241+200-65700-7841</f>
        <v>83900</v>
      </c>
      <c r="Q23" s="654">
        <f t="shared" si="7"/>
        <v>120000</v>
      </c>
      <c r="R23" s="654"/>
      <c r="S23" s="654">
        <f t="shared" si="5"/>
        <v>120000</v>
      </c>
      <c r="T23" s="175"/>
      <c r="U23" s="409">
        <f t="shared" si="0"/>
        <v>120000</v>
      </c>
      <c r="V23" s="409">
        <f t="shared" si="1"/>
        <v>0</v>
      </c>
      <c r="W23" s="409">
        <f t="shared" si="6"/>
        <v>120000</v>
      </c>
      <c r="X23" s="176"/>
    </row>
    <row r="25" spans="10:12" ht="12.75">
      <c r="J25" s="19"/>
      <c r="K25" s="19"/>
      <c r="L25" s="19"/>
    </row>
    <row r="26" spans="13:20" ht="12.75">
      <c r="M26"/>
      <c r="T26"/>
    </row>
    <row r="27" spans="13:20" ht="12.75">
      <c r="M27"/>
      <c r="T27"/>
    </row>
    <row r="28" spans="13:20" ht="12.75">
      <c r="M28"/>
      <c r="T28"/>
    </row>
    <row r="29" spans="13:20" ht="12.75">
      <c r="M29"/>
      <c r="T29"/>
    </row>
    <row r="30" spans="13:20" ht="12.75">
      <c r="M30"/>
      <c r="T30"/>
    </row>
    <row r="31" spans="13:20" ht="12.75">
      <c r="M31"/>
      <c r="T31"/>
    </row>
    <row r="32" spans="13:20" ht="12.75">
      <c r="M32"/>
      <c r="T32"/>
    </row>
    <row r="33" spans="13:20" ht="12.75">
      <c r="M33"/>
      <c r="T33"/>
    </row>
  </sheetData>
  <sheetProtection/>
  <mergeCells count="23">
    <mergeCell ref="B4:S4"/>
    <mergeCell ref="D6:D8"/>
    <mergeCell ref="F7:F8"/>
    <mergeCell ref="K7:K8"/>
    <mergeCell ref="L7:L8"/>
    <mergeCell ref="H7:H8"/>
    <mergeCell ref="V4:V8"/>
    <mergeCell ref="W4:W8"/>
    <mergeCell ref="B5:L5"/>
    <mergeCell ref="E6:L6"/>
    <mergeCell ref="R7:R8"/>
    <mergeCell ref="N5:S5"/>
    <mergeCell ref="J7:J8"/>
    <mergeCell ref="U4:U8"/>
    <mergeCell ref="C6:C8"/>
    <mergeCell ref="N7:N8"/>
    <mergeCell ref="P7:P8"/>
    <mergeCell ref="N6:S6"/>
    <mergeCell ref="I7:I8"/>
    <mergeCell ref="O7:O8"/>
    <mergeCell ref="G7:G8"/>
    <mergeCell ref="Q7:Q8"/>
    <mergeCell ref="S7:S8"/>
  </mergeCells>
  <printOptions/>
  <pageMargins left="0.17" right="0.15748031496062992" top="0.7480314960629921" bottom="0.984251968503937" header="0.5118110236220472" footer="0.5118110236220472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50.7109375" style="0" customWidth="1"/>
    <col min="4" max="4" width="11.28125" style="0" customWidth="1"/>
    <col min="5" max="5" width="10.421875" style="0" customWidth="1"/>
    <col min="6" max="6" width="11.7109375" style="0" customWidth="1"/>
    <col min="7" max="7" width="11.00390625" style="0" customWidth="1"/>
    <col min="8" max="8" width="11.28125" style="0" customWidth="1"/>
    <col min="9" max="9" width="10.421875" style="0" customWidth="1"/>
    <col min="10" max="10" width="11.8515625" style="0" customWidth="1"/>
    <col min="11" max="11" width="11.7109375" style="0" customWidth="1"/>
    <col min="12" max="12" width="11.28125" style="0" customWidth="1"/>
    <col min="13" max="13" width="9.7109375" style="0" bestFit="1" customWidth="1"/>
  </cols>
  <sheetData>
    <row r="1" spans="2:8" ht="21.75" customHeight="1">
      <c r="B1" s="24"/>
      <c r="E1" s="19"/>
      <c r="H1" s="19"/>
    </row>
    <row r="2" spans="2:12" ht="23.25" customHeight="1">
      <c r="B2" s="1112" t="s">
        <v>318</v>
      </c>
      <c r="C2" s="1112"/>
      <c r="D2" s="1112"/>
      <c r="E2" s="1112"/>
      <c r="F2" s="1112"/>
      <c r="G2" s="1112"/>
      <c r="H2" s="1112"/>
      <c r="I2" s="1112"/>
      <c r="J2" s="1112"/>
      <c r="K2" s="970"/>
      <c r="L2" s="970"/>
    </row>
    <row r="3" ht="3" customHeight="1" thickBot="1">
      <c r="B3" s="156"/>
    </row>
    <row r="4" spans="2:12" ht="6.75" customHeight="1">
      <c r="B4" s="1113"/>
      <c r="C4" s="1114"/>
      <c r="D4" s="1150" t="s">
        <v>471</v>
      </c>
      <c r="E4" s="1151"/>
      <c r="F4" s="1151"/>
      <c r="G4" s="1151"/>
      <c r="H4" s="1151"/>
      <c r="I4" s="1151"/>
      <c r="J4" s="1151"/>
      <c r="K4" s="1151"/>
      <c r="L4" s="1152"/>
    </row>
    <row r="5" spans="2:12" ht="14.25" customHeight="1">
      <c r="B5" s="1115"/>
      <c r="C5" s="1116"/>
      <c r="D5" s="1153"/>
      <c r="E5" s="1154"/>
      <c r="F5" s="1154"/>
      <c r="G5" s="1154"/>
      <c r="H5" s="1154"/>
      <c r="I5" s="1154"/>
      <c r="J5" s="1154"/>
      <c r="K5" s="1154"/>
      <c r="L5" s="1155"/>
    </row>
    <row r="6" spans="2:12" ht="17.25" customHeight="1">
      <c r="B6" s="1115"/>
      <c r="C6" s="1116"/>
      <c r="D6" s="1153"/>
      <c r="E6" s="1154"/>
      <c r="F6" s="1154"/>
      <c r="G6" s="1154"/>
      <c r="H6" s="1154"/>
      <c r="I6" s="1154"/>
      <c r="J6" s="1154"/>
      <c r="K6" s="1154"/>
      <c r="L6" s="1155"/>
    </row>
    <row r="7" spans="2:12" ht="8.25" customHeight="1" thickBot="1">
      <c r="B7" s="1115"/>
      <c r="C7" s="1116"/>
      <c r="D7" s="1156"/>
      <c r="E7" s="1157"/>
      <c r="F7" s="1157"/>
      <c r="G7" s="1157"/>
      <c r="H7" s="1157"/>
      <c r="I7" s="1157"/>
      <c r="J7" s="1157"/>
      <c r="K7" s="1157"/>
      <c r="L7" s="1158"/>
    </row>
    <row r="8" spans="2:12" ht="51" customHeight="1" thickTop="1">
      <c r="B8" s="1117"/>
      <c r="C8" s="1118"/>
      <c r="D8" s="859" t="s">
        <v>332</v>
      </c>
      <c r="E8" s="860" t="s">
        <v>451</v>
      </c>
      <c r="F8" s="861" t="s">
        <v>453</v>
      </c>
      <c r="G8" s="862" t="s">
        <v>333</v>
      </c>
      <c r="H8" s="863" t="s">
        <v>451</v>
      </c>
      <c r="I8" s="864" t="s">
        <v>453</v>
      </c>
      <c r="J8" s="865" t="s">
        <v>365</v>
      </c>
      <c r="K8" s="867" t="s">
        <v>451</v>
      </c>
      <c r="L8" s="866" t="s">
        <v>365</v>
      </c>
    </row>
    <row r="9" spans="2:12" ht="15">
      <c r="B9" s="27">
        <v>1</v>
      </c>
      <c r="C9" s="803" t="s">
        <v>276</v>
      </c>
      <c r="D9" s="813">
        <f>'BP'!H149</f>
        <v>27075584</v>
      </c>
      <c r="E9" s="479">
        <f>'BP'!I149</f>
        <v>213400</v>
      </c>
      <c r="F9" s="814">
        <f>D9+E9</f>
        <v>27288984</v>
      </c>
      <c r="G9" s="809">
        <f>KP!G26</f>
        <v>9708445</v>
      </c>
      <c r="H9" s="480">
        <f>KP!H26</f>
        <v>-1846737</v>
      </c>
      <c r="I9" s="829">
        <f>G9+H9</f>
        <v>7861708</v>
      </c>
      <c r="J9" s="834">
        <f>D9+G9</f>
        <v>36784029</v>
      </c>
      <c r="K9" s="835">
        <f>E9+H9</f>
        <v>-1633337</v>
      </c>
      <c r="L9" s="836">
        <f>J9+K9</f>
        <v>35150692</v>
      </c>
    </row>
    <row r="10" spans="2:12" ht="15" customHeight="1">
      <c r="B10" s="28">
        <f>B9+1</f>
        <v>2</v>
      </c>
      <c r="C10" s="804" t="s">
        <v>277</v>
      </c>
      <c r="D10" s="815">
        <f>SUM(D12:D23)</f>
        <v>24838978</v>
      </c>
      <c r="E10" s="481">
        <f>SUM(E12:E23)</f>
        <v>395753</v>
      </c>
      <c r="F10" s="816">
        <f aca="true" t="shared" si="0" ref="F10:F24">D10+E10</f>
        <v>25234731</v>
      </c>
      <c r="G10" s="810">
        <f>SUM(G12:G23)</f>
        <v>6659692</v>
      </c>
      <c r="H10" s="482">
        <f>SUM(H12:H23)</f>
        <v>-348588</v>
      </c>
      <c r="I10" s="830">
        <f aca="true" t="shared" si="1" ref="I10:I23">G10+H10</f>
        <v>6311104</v>
      </c>
      <c r="J10" s="837">
        <f>D10+G10</f>
        <v>31498670</v>
      </c>
      <c r="K10" s="838">
        <f>E10+H10</f>
        <v>47165</v>
      </c>
      <c r="L10" s="839">
        <f aca="true" t="shared" si="2" ref="L10:L23">J10+K10</f>
        <v>31545835</v>
      </c>
    </row>
    <row r="11" spans="2:12" ht="15" customHeight="1">
      <c r="B11" s="1">
        <f>B10+1</f>
        <v>3</v>
      </c>
      <c r="C11" s="805" t="s">
        <v>106</v>
      </c>
      <c r="D11" s="817"/>
      <c r="E11" s="483"/>
      <c r="F11" s="818"/>
      <c r="G11" s="811"/>
      <c r="H11" s="484"/>
      <c r="I11" s="831"/>
      <c r="J11" s="817"/>
      <c r="K11" s="483"/>
      <c r="L11" s="818"/>
    </row>
    <row r="12" spans="2:13" ht="15">
      <c r="B12" s="1">
        <f>B11+1</f>
        <v>4</v>
      </c>
      <c r="C12" s="806" t="s">
        <v>251</v>
      </c>
      <c r="D12" s="819">
        <f>'P1'!J9</f>
        <v>229200</v>
      </c>
      <c r="E12" s="484">
        <f>'P1'!K9</f>
        <v>26004</v>
      </c>
      <c r="F12" s="820">
        <f t="shared" si="0"/>
        <v>255204</v>
      </c>
      <c r="G12" s="811">
        <f>'P1'!P9</f>
        <v>35398</v>
      </c>
      <c r="H12" s="484">
        <f>'P1'!Q9</f>
        <v>0</v>
      </c>
      <c r="I12" s="831">
        <f t="shared" si="1"/>
        <v>35398</v>
      </c>
      <c r="J12" s="819">
        <f aca="true" t="shared" si="3" ref="J12:J23">D12+G12</f>
        <v>264598</v>
      </c>
      <c r="K12" s="484">
        <f aca="true" t="shared" si="4" ref="K12:K23">E12+H12</f>
        <v>26004</v>
      </c>
      <c r="L12" s="820">
        <f t="shared" si="2"/>
        <v>290602</v>
      </c>
      <c r="M12" s="19"/>
    </row>
    <row r="13" spans="2:13" ht="15">
      <c r="B13" s="1">
        <f aca="true" t="shared" si="5" ref="B13:B25">B12+1</f>
        <v>5</v>
      </c>
      <c r="C13" s="807" t="s">
        <v>252</v>
      </c>
      <c r="D13" s="819">
        <f>'P2'!J9</f>
        <v>62500</v>
      </c>
      <c r="E13" s="484">
        <f>'P2'!K9</f>
        <v>-6000</v>
      </c>
      <c r="F13" s="820">
        <f t="shared" si="0"/>
        <v>56500</v>
      </c>
      <c r="G13" s="811">
        <f>'P2'!P9</f>
        <v>0</v>
      </c>
      <c r="H13" s="484">
        <v>0</v>
      </c>
      <c r="I13" s="831">
        <f t="shared" si="1"/>
        <v>0</v>
      </c>
      <c r="J13" s="819">
        <f t="shared" si="3"/>
        <v>62500</v>
      </c>
      <c r="K13" s="484">
        <f t="shared" si="4"/>
        <v>-6000</v>
      </c>
      <c r="L13" s="820">
        <f t="shared" si="2"/>
        <v>56500</v>
      </c>
      <c r="M13" s="19"/>
    </row>
    <row r="14" spans="2:12" ht="15">
      <c r="B14" s="1">
        <f t="shared" si="5"/>
        <v>6</v>
      </c>
      <c r="C14" s="807" t="s">
        <v>108</v>
      </c>
      <c r="D14" s="821">
        <f>'P3'!J9</f>
        <v>3291898</v>
      </c>
      <c r="E14" s="485">
        <f>'P3'!K9</f>
        <v>377770</v>
      </c>
      <c r="F14" s="822">
        <f t="shared" si="0"/>
        <v>3669668</v>
      </c>
      <c r="G14" s="811">
        <f>'P3'!P9</f>
        <v>19015</v>
      </c>
      <c r="H14" s="484">
        <f>'P3'!Q9</f>
        <v>0</v>
      </c>
      <c r="I14" s="831">
        <f t="shared" si="1"/>
        <v>19015</v>
      </c>
      <c r="J14" s="819">
        <f t="shared" si="3"/>
        <v>3310913</v>
      </c>
      <c r="K14" s="484">
        <f t="shared" si="4"/>
        <v>377770</v>
      </c>
      <c r="L14" s="820">
        <f t="shared" si="2"/>
        <v>3688683</v>
      </c>
    </row>
    <row r="15" spans="2:12" ht="15">
      <c r="B15" s="1">
        <f t="shared" si="5"/>
        <v>7</v>
      </c>
      <c r="C15" s="807" t="s">
        <v>107</v>
      </c>
      <c r="D15" s="819">
        <f>'P4'!J9</f>
        <v>515115</v>
      </c>
      <c r="E15" s="484">
        <f>'P4'!K9</f>
        <v>2220</v>
      </c>
      <c r="F15" s="820">
        <f t="shared" si="0"/>
        <v>517335</v>
      </c>
      <c r="G15" s="811">
        <f>'P4'!P9</f>
        <v>9891</v>
      </c>
      <c r="H15" s="484">
        <f>'P4'!Q9</f>
        <v>0</v>
      </c>
      <c r="I15" s="831">
        <f t="shared" si="1"/>
        <v>9891</v>
      </c>
      <c r="J15" s="819">
        <f t="shared" si="3"/>
        <v>525006</v>
      </c>
      <c r="K15" s="484">
        <f t="shared" si="4"/>
        <v>2220</v>
      </c>
      <c r="L15" s="820">
        <f t="shared" si="2"/>
        <v>527226</v>
      </c>
    </row>
    <row r="16" spans="2:12" ht="15">
      <c r="B16" s="1">
        <f t="shared" si="5"/>
        <v>8</v>
      </c>
      <c r="C16" s="807" t="s">
        <v>253</v>
      </c>
      <c r="D16" s="821">
        <f>'P5'!J9</f>
        <v>1522756</v>
      </c>
      <c r="E16" s="485">
        <f>'P5'!K9</f>
        <v>59120</v>
      </c>
      <c r="F16" s="822">
        <f t="shared" si="0"/>
        <v>1581876</v>
      </c>
      <c r="G16" s="812">
        <f>'P5'!P9</f>
        <v>1205670</v>
      </c>
      <c r="H16" s="485">
        <f>'P5'!Q9</f>
        <v>0</v>
      </c>
      <c r="I16" s="832">
        <f t="shared" si="1"/>
        <v>1205670</v>
      </c>
      <c r="J16" s="819">
        <f t="shared" si="3"/>
        <v>2728426</v>
      </c>
      <c r="K16" s="484">
        <f t="shared" si="4"/>
        <v>59120</v>
      </c>
      <c r="L16" s="820">
        <f t="shared" si="2"/>
        <v>2787546</v>
      </c>
    </row>
    <row r="17" spans="2:12" ht="15">
      <c r="B17" s="1">
        <f t="shared" si="5"/>
        <v>9</v>
      </c>
      <c r="C17" s="807" t="s">
        <v>254</v>
      </c>
      <c r="D17" s="821">
        <f>'P6'!H9</f>
        <v>3283008</v>
      </c>
      <c r="E17" s="485">
        <f>'P6'!I9</f>
        <v>0</v>
      </c>
      <c r="F17" s="822">
        <f t="shared" si="0"/>
        <v>3283008</v>
      </c>
      <c r="G17" s="812">
        <f>'P6'!O9</f>
        <v>492615</v>
      </c>
      <c r="H17" s="485">
        <f>'P6'!P9</f>
        <v>-274615</v>
      </c>
      <c r="I17" s="832">
        <f t="shared" si="1"/>
        <v>218000</v>
      </c>
      <c r="J17" s="819">
        <f t="shared" si="3"/>
        <v>3775623</v>
      </c>
      <c r="K17" s="484">
        <f t="shared" si="4"/>
        <v>-274615</v>
      </c>
      <c r="L17" s="820">
        <f t="shared" si="2"/>
        <v>3501008</v>
      </c>
    </row>
    <row r="18" spans="2:12" ht="15">
      <c r="B18" s="1">
        <f t="shared" si="5"/>
        <v>10</v>
      </c>
      <c r="C18" s="807" t="s">
        <v>255</v>
      </c>
      <c r="D18" s="821">
        <f>'P7'!J9</f>
        <v>10160325</v>
      </c>
      <c r="E18" s="485">
        <f>'P7'!K9</f>
        <v>0</v>
      </c>
      <c r="F18" s="822">
        <f t="shared" si="0"/>
        <v>10160325</v>
      </c>
      <c r="G18" s="812">
        <f>'P7'!Q9</f>
        <v>2404259</v>
      </c>
      <c r="H18" s="485">
        <f>'P7'!R9</f>
        <v>7000</v>
      </c>
      <c r="I18" s="832">
        <f t="shared" si="1"/>
        <v>2411259</v>
      </c>
      <c r="J18" s="819">
        <f t="shared" si="3"/>
        <v>12564584</v>
      </c>
      <c r="K18" s="484">
        <f t="shared" si="4"/>
        <v>7000</v>
      </c>
      <c r="L18" s="820">
        <f t="shared" si="2"/>
        <v>12571584</v>
      </c>
    </row>
    <row r="19" spans="2:12" ht="15">
      <c r="B19" s="1">
        <f t="shared" si="5"/>
        <v>11</v>
      </c>
      <c r="C19" s="807" t="s">
        <v>455</v>
      </c>
      <c r="D19" s="821">
        <f>'P8'!J9</f>
        <v>977745</v>
      </c>
      <c r="E19" s="485">
        <f>'P8'!K9</f>
        <v>-104481</v>
      </c>
      <c r="F19" s="822">
        <f t="shared" si="0"/>
        <v>873264</v>
      </c>
      <c r="G19" s="812">
        <f>'P8'!P9</f>
        <v>532096</v>
      </c>
      <c r="H19" s="485">
        <f>'P8'!Q9</f>
        <v>-83118</v>
      </c>
      <c r="I19" s="832">
        <f t="shared" si="1"/>
        <v>448978</v>
      </c>
      <c r="J19" s="819">
        <f t="shared" si="3"/>
        <v>1509841</v>
      </c>
      <c r="K19" s="484">
        <f t="shared" si="4"/>
        <v>-187599</v>
      </c>
      <c r="L19" s="820">
        <f t="shared" si="2"/>
        <v>1322242</v>
      </c>
    </row>
    <row r="20" spans="2:12" ht="15">
      <c r="B20" s="1">
        <f t="shared" si="5"/>
        <v>12</v>
      </c>
      <c r="C20" s="807" t="s">
        <v>456</v>
      </c>
      <c r="D20" s="821">
        <f>'P9'!J9</f>
        <v>277235</v>
      </c>
      <c r="E20" s="812">
        <f>'P9'!K9</f>
        <v>0</v>
      </c>
      <c r="F20" s="822">
        <f t="shared" si="0"/>
        <v>277235</v>
      </c>
      <c r="G20" s="812">
        <f>'P9'!P9</f>
        <v>46352</v>
      </c>
      <c r="H20" s="485">
        <f>'P9'!Q9</f>
        <v>2145</v>
      </c>
      <c r="I20" s="832">
        <f t="shared" si="1"/>
        <v>48497</v>
      </c>
      <c r="J20" s="819">
        <f t="shared" si="3"/>
        <v>323587</v>
      </c>
      <c r="K20" s="484">
        <f t="shared" si="4"/>
        <v>2145</v>
      </c>
      <c r="L20" s="820">
        <f t="shared" si="2"/>
        <v>325732</v>
      </c>
    </row>
    <row r="21" spans="2:12" ht="15">
      <c r="B21" s="1">
        <f t="shared" si="5"/>
        <v>13</v>
      </c>
      <c r="C21" s="807" t="s">
        <v>259</v>
      </c>
      <c r="D21" s="821">
        <f>'P10'!J9</f>
        <v>2771945</v>
      </c>
      <c r="E21" s="812">
        <f>'P10'!K9</f>
        <v>39520</v>
      </c>
      <c r="F21" s="822">
        <f t="shared" si="0"/>
        <v>2811465</v>
      </c>
      <c r="G21" s="821">
        <f>'P10'!P9</f>
        <v>120649</v>
      </c>
      <c r="H21" s="485">
        <f>'P10'!Q9</f>
        <v>0</v>
      </c>
      <c r="I21" s="832">
        <f t="shared" si="1"/>
        <v>120649</v>
      </c>
      <c r="J21" s="819">
        <f t="shared" si="3"/>
        <v>2892594</v>
      </c>
      <c r="K21" s="484">
        <f t="shared" si="4"/>
        <v>39520</v>
      </c>
      <c r="L21" s="820">
        <f t="shared" si="2"/>
        <v>2932114</v>
      </c>
    </row>
    <row r="22" spans="2:12" ht="15">
      <c r="B22" s="1">
        <f t="shared" si="5"/>
        <v>14</v>
      </c>
      <c r="C22" s="807" t="s">
        <v>262</v>
      </c>
      <c r="D22" s="821">
        <f>'P11'!J9</f>
        <v>1535751</v>
      </c>
      <c r="E22" s="812">
        <f>'P11'!K9</f>
        <v>1600</v>
      </c>
      <c r="F22" s="822">
        <f t="shared" si="0"/>
        <v>1537351</v>
      </c>
      <c r="G22" s="821">
        <f>'P11'!P9</f>
        <v>0</v>
      </c>
      <c r="H22" s="485">
        <v>0</v>
      </c>
      <c r="I22" s="832">
        <f t="shared" si="1"/>
        <v>0</v>
      </c>
      <c r="J22" s="819">
        <f t="shared" si="3"/>
        <v>1535751</v>
      </c>
      <c r="K22" s="484">
        <f t="shared" si="4"/>
        <v>1600</v>
      </c>
      <c r="L22" s="820">
        <f t="shared" si="2"/>
        <v>1537351</v>
      </c>
    </row>
    <row r="23" spans="2:12" ht="15">
      <c r="B23" s="1">
        <f t="shared" si="5"/>
        <v>15</v>
      </c>
      <c r="C23" s="807" t="s">
        <v>265</v>
      </c>
      <c r="D23" s="821">
        <f>'P12'!J9</f>
        <v>211500</v>
      </c>
      <c r="E23" s="812">
        <f>'P12'!K9</f>
        <v>0</v>
      </c>
      <c r="F23" s="822">
        <f t="shared" si="0"/>
        <v>211500</v>
      </c>
      <c r="G23" s="821">
        <f>'P12'!Q9</f>
        <v>1793747</v>
      </c>
      <c r="H23" s="485">
        <f>'P12'!R9</f>
        <v>0</v>
      </c>
      <c r="I23" s="832">
        <f t="shared" si="1"/>
        <v>1793747</v>
      </c>
      <c r="J23" s="819">
        <f t="shared" si="3"/>
        <v>2005247</v>
      </c>
      <c r="K23" s="484">
        <f t="shared" si="4"/>
        <v>0</v>
      </c>
      <c r="L23" s="820">
        <f t="shared" si="2"/>
        <v>2005247</v>
      </c>
    </row>
    <row r="24" spans="2:12" ht="12" customHeight="1">
      <c r="B24" s="1">
        <f t="shared" si="5"/>
        <v>16</v>
      </c>
      <c r="C24" s="1119" t="s">
        <v>386</v>
      </c>
      <c r="D24" s="1125">
        <f>D9-D10</f>
        <v>2236606</v>
      </c>
      <c r="E24" s="1165">
        <f>E9-E10</f>
        <v>-182353</v>
      </c>
      <c r="F24" s="1159">
        <f t="shared" si="0"/>
        <v>2054253</v>
      </c>
      <c r="G24" s="885"/>
      <c r="H24" s="486"/>
      <c r="I24" s="798"/>
      <c r="J24" s="1109"/>
      <c r="K24" s="1133"/>
      <c r="L24" s="1135"/>
    </row>
    <row r="25" spans="2:12" ht="11.25" customHeight="1">
      <c r="B25" s="1">
        <f t="shared" si="5"/>
        <v>17</v>
      </c>
      <c r="C25" s="1120"/>
      <c r="D25" s="1126"/>
      <c r="E25" s="1166"/>
      <c r="F25" s="1160"/>
      <c r="G25" s="886"/>
      <c r="H25" s="487"/>
      <c r="I25" s="799"/>
      <c r="J25" s="1110"/>
      <c r="K25" s="1134"/>
      <c r="L25" s="1136"/>
    </row>
    <row r="26" spans="2:12" ht="11.25" customHeight="1">
      <c r="B26" s="1">
        <f>B25+1</f>
        <v>18</v>
      </c>
      <c r="C26" s="1121" t="s">
        <v>387</v>
      </c>
      <c r="D26" s="823"/>
      <c r="E26" s="883"/>
      <c r="F26" s="824"/>
      <c r="G26" s="1123">
        <f>G9-G10</f>
        <v>3048753</v>
      </c>
      <c r="H26" s="1167">
        <f>H9-H10</f>
        <v>-1498149</v>
      </c>
      <c r="I26" s="1161">
        <f>G26+H26</f>
        <v>1550604</v>
      </c>
      <c r="J26" s="1163"/>
      <c r="K26" s="1137"/>
      <c r="L26" s="1139"/>
    </row>
    <row r="27" spans="2:12" ht="11.25" customHeight="1">
      <c r="B27" s="1">
        <f>B26+1</f>
        <v>19</v>
      </c>
      <c r="C27" s="1122"/>
      <c r="D27" s="825"/>
      <c r="E27" s="884"/>
      <c r="F27" s="826"/>
      <c r="G27" s="1124"/>
      <c r="H27" s="1168"/>
      <c r="I27" s="1162"/>
      <c r="J27" s="1164"/>
      <c r="K27" s="1138"/>
      <c r="L27" s="1140"/>
    </row>
    <row r="28" spans="1:13" ht="21" customHeight="1" thickBot="1">
      <c r="A28" s="34"/>
      <c r="B28" s="391">
        <f>B27+1</f>
        <v>20</v>
      </c>
      <c r="C28" s="808" t="s">
        <v>388</v>
      </c>
      <c r="D28" s="827"/>
      <c r="E28" s="488"/>
      <c r="F28" s="828"/>
      <c r="G28" s="887"/>
      <c r="H28" s="489"/>
      <c r="I28" s="833"/>
      <c r="J28" s="840">
        <f>J9-J10</f>
        <v>5285359</v>
      </c>
      <c r="K28" s="841">
        <f>K9-K10</f>
        <v>-1680502</v>
      </c>
      <c r="L28" s="842">
        <f>L9-L10</f>
        <v>3604857</v>
      </c>
      <c r="M28" s="19"/>
    </row>
    <row r="29" spans="1:10" s="34" customFormat="1" ht="10.5" customHeight="1" thickBot="1">
      <c r="A29" s="47"/>
      <c r="B29" s="15"/>
      <c r="C29" s="240"/>
      <c r="D29" s="392"/>
      <c r="E29" s="392"/>
      <c r="F29" s="392"/>
      <c r="G29" s="392"/>
      <c r="H29" s="392"/>
      <c r="I29" s="392"/>
      <c r="J29" s="392"/>
    </row>
    <row r="30" spans="1:12" ht="16.5" customHeight="1">
      <c r="A30" s="34"/>
      <c r="B30" s="1141" t="s">
        <v>311</v>
      </c>
      <c r="C30" s="1142"/>
      <c r="D30" s="1142"/>
      <c r="E30" s="1142"/>
      <c r="F30" s="1142"/>
      <c r="G30" s="1142"/>
      <c r="H30" s="1142"/>
      <c r="I30" s="1142"/>
      <c r="J30" s="1142"/>
      <c r="K30" s="1142"/>
      <c r="L30" s="1143"/>
    </row>
    <row r="31" spans="1:12" ht="14.25" customHeight="1">
      <c r="A31" s="34"/>
      <c r="B31" s="800">
        <f>B28+1</f>
        <v>21</v>
      </c>
      <c r="C31" s="1144" t="s">
        <v>410</v>
      </c>
      <c r="D31" s="1145"/>
      <c r="E31" s="1145"/>
      <c r="F31" s="1145"/>
      <c r="G31" s="1146"/>
      <c r="H31" s="801"/>
      <c r="I31" s="801"/>
      <c r="J31" s="802">
        <f>SUM(J32:J35)</f>
        <v>2242041</v>
      </c>
      <c r="K31" s="802">
        <f>SUM(K32:K35)</f>
        <v>956704</v>
      </c>
      <c r="L31" s="802">
        <f>J31+K31</f>
        <v>3198745</v>
      </c>
    </row>
    <row r="32" spans="1:15" ht="14.25" customHeight="1">
      <c r="A32" s="34"/>
      <c r="B32" s="622">
        <v>22</v>
      </c>
      <c r="C32" s="623" t="s">
        <v>409</v>
      </c>
      <c r="D32" s="624"/>
      <c r="E32" s="624"/>
      <c r="F32" s="624"/>
      <c r="G32" s="625"/>
      <c r="H32" s="624"/>
      <c r="I32" s="624"/>
      <c r="J32" s="626">
        <v>2000000</v>
      </c>
      <c r="K32" s="626">
        <v>-343296</v>
      </c>
      <c r="L32" s="626">
        <f aca="true" t="shared" si="6" ref="L32:L44">J32+K32</f>
        <v>1656704</v>
      </c>
      <c r="O32" s="19"/>
    </row>
    <row r="33" spans="1:12" ht="14.25" customHeight="1">
      <c r="A33" s="34"/>
      <c r="B33" s="622">
        <v>22</v>
      </c>
      <c r="C33" s="857" t="s">
        <v>454</v>
      </c>
      <c r="D33" s="624"/>
      <c r="E33" s="624"/>
      <c r="F33" s="624"/>
      <c r="G33" s="625"/>
      <c r="H33" s="624"/>
      <c r="I33" s="624"/>
      <c r="J33" s="626">
        <v>0</v>
      </c>
      <c r="K33" s="626">
        <v>1300000</v>
      </c>
      <c r="L33" s="626">
        <f>K33+J33</f>
        <v>1300000</v>
      </c>
    </row>
    <row r="34" spans="1:12" ht="14.25" customHeight="1">
      <c r="A34" s="34"/>
      <c r="B34" s="622">
        <v>22</v>
      </c>
      <c r="C34" s="623" t="s">
        <v>443</v>
      </c>
      <c r="D34" s="624"/>
      <c r="E34" s="624"/>
      <c r="F34" s="624"/>
      <c r="G34" s="625"/>
      <c r="H34" s="624"/>
      <c r="I34" s="624"/>
      <c r="J34" s="626">
        <v>201593</v>
      </c>
      <c r="K34" s="626"/>
      <c r="L34" s="626">
        <f t="shared" si="6"/>
        <v>201593</v>
      </c>
    </row>
    <row r="35" spans="1:12" ht="14.25" customHeight="1">
      <c r="A35" s="34"/>
      <c r="B35" s="622">
        <f>B34+1</f>
        <v>23</v>
      </c>
      <c r="C35" s="623" t="s">
        <v>444</v>
      </c>
      <c r="D35" s="624"/>
      <c r="E35" s="624"/>
      <c r="F35" s="624"/>
      <c r="G35" s="625"/>
      <c r="H35" s="624"/>
      <c r="I35" s="624"/>
      <c r="J35" s="626">
        <v>40448</v>
      </c>
      <c r="K35" s="626"/>
      <c r="L35" s="626">
        <f t="shared" si="6"/>
        <v>40448</v>
      </c>
    </row>
    <row r="36" spans="1:13" ht="15.75" customHeight="1">
      <c r="A36" s="34"/>
      <c r="B36" s="627">
        <f>B35+1</f>
        <v>24</v>
      </c>
      <c r="C36" s="1147" t="s">
        <v>411</v>
      </c>
      <c r="D36" s="1148"/>
      <c r="E36" s="1148"/>
      <c r="F36" s="1148"/>
      <c r="G36" s="1149"/>
      <c r="H36" s="713"/>
      <c r="I36" s="713"/>
      <c r="J36" s="628">
        <f>J37+J41+J42</f>
        <v>7527400</v>
      </c>
      <c r="K36" s="628">
        <f>K37+K41+K42+K45</f>
        <v>-723798</v>
      </c>
      <c r="L36" s="628">
        <f t="shared" si="6"/>
        <v>6803602</v>
      </c>
      <c r="M36" s="19"/>
    </row>
    <row r="37" spans="1:12" ht="14.25" customHeight="1">
      <c r="A37" s="34"/>
      <c r="B37" s="622">
        <f aca="true" t="shared" si="7" ref="B37:B45">B36+1</f>
        <v>25</v>
      </c>
      <c r="C37" s="623" t="s">
        <v>405</v>
      </c>
      <c r="D37" s="624"/>
      <c r="E37" s="624"/>
      <c r="F37" s="624"/>
      <c r="G37" s="625"/>
      <c r="H37" s="624"/>
      <c r="I37" s="624"/>
      <c r="J37" s="626">
        <f>SUM(J38:J40)</f>
        <v>1532200</v>
      </c>
      <c r="K37" s="626">
        <f>SUM(K38:K40)</f>
        <v>-383002</v>
      </c>
      <c r="L37" s="626">
        <f t="shared" si="6"/>
        <v>1149198</v>
      </c>
    </row>
    <row r="38" spans="1:12" ht="13.5" customHeight="1">
      <c r="A38" s="34"/>
      <c r="B38" s="207">
        <f t="shared" si="7"/>
        <v>26</v>
      </c>
      <c r="C38" s="1130" t="s">
        <v>413</v>
      </c>
      <c r="D38" s="1131"/>
      <c r="E38" s="1131"/>
      <c r="F38" s="1131"/>
      <c r="G38" s="1132"/>
      <c r="H38" s="494"/>
      <c r="I38" s="494"/>
      <c r="J38" s="493">
        <v>266000</v>
      </c>
      <c r="K38" s="493">
        <f>-8740-6300-42540-8870</f>
        <v>-66450</v>
      </c>
      <c r="L38" s="493">
        <f t="shared" si="6"/>
        <v>199550</v>
      </c>
    </row>
    <row r="39" spans="1:12" ht="13.5" customHeight="1">
      <c r="A39" s="34"/>
      <c r="B39" s="207">
        <f t="shared" si="7"/>
        <v>27</v>
      </c>
      <c r="C39" s="1130" t="s">
        <v>393</v>
      </c>
      <c r="D39" s="1131"/>
      <c r="E39" s="1131"/>
      <c r="F39" s="1131"/>
      <c r="G39" s="1132"/>
      <c r="H39" s="494"/>
      <c r="I39" s="494"/>
      <c r="J39" s="493">
        <v>731200</v>
      </c>
      <c r="K39" s="493">
        <f>-25200-157600</f>
        <v>-182800</v>
      </c>
      <c r="L39" s="493">
        <f t="shared" si="6"/>
        <v>548400</v>
      </c>
    </row>
    <row r="40" spans="1:12" ht="13.5" customHeight="1">
      <c r="A40" s="34"/>
      <c r="B40" s="207">
        <f t="shared" si="7"/>
        <v>28</v>
      </c>
      <c r="C40" s="572" t="s">
        <v>394</v>
      </c>
      <c r="D40" s="494"/>
      <c r="E40" s="494"/>
      <c r="F40" s="494"/>
      <c r="G40" s="495"/>
      <c r="H40" s="494"/>
      <c r="I40" s="494"/>
      <c r="J40" s="493">
        <v>535000</v>
      </c>
      <c r="K40" s="493">
        <f>-44584*3</f>
        <v>-133752</v>
      </c>
      <c r="L40" s="493">
        <f t="shared" si="6"/>
        <v>401248</v>
      </c>
    </row>
    <row r="41" spans="1:12" ht="14.25" customHeight="1">
      <c r="A41" s="34"/>
      <c r="B41" s="622">
        <f t="shared" si="7"/>
        <v>29</v>
      </c>
      <c r="C41" s="623" t="s">
        <v>406</v>
      </c>
      <c r="D41" s="624"/>
      <c r="E41" s="624"/>
      <c r="F41" s="624"/>
      <c r="G41" s="625"/>
      <c r="H41" s="624"/>
      <c r="I41" s="624"/>
      <c r="J41" s="626">
        <v>21200</v>
      </c>
      <c r="K41" s="626"/>
      <c r="L41" s="626">
        <f t="shared" si="6"/>
        <v>21200</v>
      </c>
    </row>
    <row r="42" spans="1:12" ht="14.25" customHeight="1">
      <c r="A42" s="34"/>
      <c r="B42" s="622">
        <f t="shared" si="7"/>
        <v>30</v>
      </c>
      <c r="C42" s="623" t="s">
        <v>407</v>
      </c>
      <c r="D42" s="624"/>
      <c r="E42" s="624"/>
      <c r="F42" s="624"/>
      <c r="G42" s="625"/>
      <c r="H42" s="624"/>
      <c r="I42" s="624"/>
      <c r="J42" s="626">
        <f>J43+J44</f>
        <v>5974000</v>
      </c>
      <c r="K42" s="626">
        <f>SUM(K43:K44)</f>
        <v>-343296</v>
      </c>
      <c r="L42" s="626">
        <f t="shared" si="6"/>
        <v>5630704</v>
      </c>
    </row>
    <row r="43" spans="1:12" ht="13.5" customHeight="1">
      <c r="A43" s="34"/>
      <c r="B43" s="207">
        <f t="shared" si="7"/>
        <v>31</v>
      </c>
      <c r="C43" s="1130" t="s">
        <v>408</v>
      </c>
      <c r="D43" s="1131"/>
      <c r="E43" s="1131"/>
      <c r="F43" s="1131"/>
      <c r="G43" s="1132"/>
      <c r="H43" s="494"/>
      <c r="I43" s="494"/>
      <c r="J43" s="493">
        <v>3974000</v>
      </c>
      <c r="K43" s="493"/>
      <c r="L43" s="493">
        <f t="shared" si="6"/>
        <v>3974000</v>
      </c>
    </row>
    <row r="44" spans="1:12" ht="13.5" customHeight="1">
      <c r="A44" s="34"/>
      <c r="B44" s="207">
        <f t="shared" si="7"/>
        <v>32</v>
      </c>
      <c r="C44" s="508" t="s">
        <v>414</v>
      </c>
      <c r="D44" s="509"/>
      <c r="E44" s="509"/>
      <c r="F44" s="509"/>
      <c r="G44" s="510"/>
      <c r="H44" s="509"/>
      <c r="I44" s="509"/>
      <c r="J44" s="511">
        <v>2000000</v>
      </c>
      <c r="K44" s="511">
        <v>-343296</v>
      </c>
      <c r="L44" s="511">
        <f t="shared" si="6"/>
        <v>1656704</v>
      </c>
    </row>
    <row r="45" spans="1:13" ht="18" customHeight="1" thickBot="1">
      <c r="A45" s="34"/>
      <c r="B45" s="207">
        <f t="shared" si="7"/>
        <v>33</v>
      </c>
      <c r="C45" s="879" t="s">
        <v>465</v>
      </c>
      <c r="D45" s="875"/>
      <c r="E45" s="875"/>
      <c r="F45" s="875"/>
      <c r="G45" s="876"/>
      <c r="H45" s="875"/>
      <c r="I45" s="875"/>
      <c r="J45" s="877">
        <v>0</v>
      </c>
      <c r="K45" s="909">
        <v>2500</v>
      </c>
      <c r="L45" s="909">
        <f>K45</f>
        <v>2500</v>
      </c>
      <c r="M45" s="19"/>
    </row>
    <row r="46" spans="1:12" ht="20.25" customHeight="1" thickBot="1" thickTop="1">
      <c r="A46" s="34"/>
      <c r="B46" s="394">
        <f>B45+1</f>
        <v>34</v>
      </c>
      <c r="C46" s="1127" t="s">
        <v>312</v>
      </c>
      <c r="D46" s="1128"/>
      <c r="E46" s="1128"/>
      <c r="F46" s="1128"/>
      <c r="G46" s="1129"/>
      <c r="H46" s="712"/>
      <c r="I46" s="712"/>
      <c r="J46" s="490">
        <f>J28+J31-J36</f>
        <v>0</v>
      </c>
      <c r="K46" s="490">
        <f>K28+K31-K36</f>
        <v>0</v>
      </c>
      <c r="L46" s="490">
        <f>J46+K46</f>
        <v>0</v>
      </c>
    </row>
    <row r="47" spans="1:3" ht="8.25" customHeight="1">
      <c r="A47" s="34"/>
      <c r="B47" s="395"/>
      <c r="C47" s="396"/>
    </row>
    <row r="48" spans="1:10" ht="37.5" customHeight="1">
      <c r="A48" s="34"/>
      <c r="B48" s="1111" t="s">
        <v>330</v>
      </c>
      <c r="C48" s="1111"/>
      <c r="D48" s="1111"/>
      <c r="E48" s="1111"/>
      <c r="F48" s="1111"/>
      <c r="G48" s="1111"/>
      <c r="H48" s="1111"/>
      <c r="I48" s="1111"/>
      <c r="J48" s="1111"/>
    </row>
    <row r="49" spans="1:3" ht="7.5" customHeight="1">
      <c r="A49" s="34"/>
      <c r="B49" s="395"/>
      <c r="C49" s="396"/>
    </row>
    <row r="50" spans="1:10" ht="42.75" customHeight="1">
      <c r="A50" s="34"/>
      <c r="B50" s="1108" t="s">
        <v>412</v>
      </c>
      <c r="C50" s="1108"/>
      <c r="D50" s="1108"/>
      <c r="E50" s="1108"/>
      <c r="F50" s="1108"/>
      <c r="G50" s="1108"/>
      <c r="H50" s="1108"/>
      <c r="I50" s="1108"/>
      <c r="J50" s="1108"/>
    </row>
    <row r="51" spans="2:3" ht="15">
      <c r="B51" s="25"/>
      <c r="C51" s="26"/>
    </row>
    <row r="52" spans="2:3" ht="15">
      <c r="B52" s="25"/>
      <c r="C52" s="26"/>
    </row>
    <row r="53" spans="2:3" ht="15">
      <c r="B53" s="25"/>
      <c r="C53" s="26"/>
    </row>
    <row r="54" spans="2:3" ht="15">
      <c r="B54" s="25"/>
      <c r="C54" s="26"/>
    </row>
    <row r="55" spans="2:3" ht="15">
      <c r="B55" s="25"/>
      <c r="C55" s="26"/>
    </row>
    <row r="56" spans="2:3" ht="15">
      <c r="B56" s="25"/>
      <c r="C56" s="26"/>
    </row>
    <row r="57" spans="2:3" ht="15">
      <c r="B57" s="25"/>
      <c r="C57" s="26"/>
    </row>
    <row r="58" spans="2:3" ht="15">
      <c r="B58" s="25"/>
      <c r="C58" s="26"/>
    </row>
    <row r="59" spans="2:3" ht="15">
      <c r="B59" s="25"/>
      <c r="C59" s="26"/>
    </row>
  </sheetData>
  <sheetProtection/>
  <mergeCells count="26">
    <mergeCell ref="D4:L7"/>
    <mergeCell ref="F24:F25"/>
    <mergeCell ref="I26:I27"/>
    <mergeCell ref="J26:J27"/>
    <mergeCell ref="E24:E25"/>
    <mergeCell ref="H26:H27"/>
    <mergeCell ref="C43:G43"/>
    <mergeCell ref="K24:K25"/>
    <mergeCell ref="L24:L25"/>
    <mergeCell ref="K26:K27"/>
    <mergeCell ref="L26:L27"/>
    <mergeCell ref="B30:L30"/>
    <mergeCell ref="C31:G31"/>
    <mergeCell ref="C36:G36"/>
    <mergeCell ref="C38:G38"/>
    <mergeCell ref="C39:G39"/>
    <mergeCell ref="B50:J50"/>
    <mergeCell ref="J24:J25"/>
    <mergeCell ref="B48:J48"/>
    <mergeCell ref="B2:J2"/>
    <mergeCell ref="B4:C8"/>
    <mergeCell ref="C24:C25"/>
    <mergeCell ref="C26:C27"/>
    <mergeCell ref="G26:G27"/>
    <mergeCell ref="D24:D25"/>
    <mergeCell ref="C46:G46"/>
  </mergeCells>
  <printOptions/>
  <pageMargins left="0.4330708661417323" right="0.1968503937007874" top="0.17" bottom="0.1968503937007874" header="0.17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140625" style="17" customWidth="1"/>
    <col min="3" max="3" width="5.140625" style="18" customWidth="1"/>
    <col min="4" max="4" width="4.28125" style="18" customWidth="1"/>
    <col min="5" max="5" width="3.421875" style="18" customWidth="1"/>
    <col min="6" max="6" width="41.57421875" style="17" customWidth="1"/>
    <col min="7" max="7" width="13.7109375" style="17" customWidth="1"/>
    <col min="8" max="8" width="13.421875" style="0" customWidth="1"/>
    <col min="9" max="9" width="13.00390625" style="0" customWidth="1"/>
    <col min="10" max="10" width="5.421875" style="0" customWidth="1"/>
    <col min="11" max="11" width="9.7109375" style="19" bestFit="1" customWidth="1"/>
    <col min="12" max="12" width="9.140625" style="19" customWidth="1"/>
  </cols>
  <sheetData>
    <row r="1" ht="12.75">
      <c r="A1" s="499"/>
    </row>
    <row r="2" ht="13.5" thickBot="1"/>
    <row r="3" spans="2:9" ht="14.25" customHeight="1">
      <c r="B3" s="1001" t="s">
        <v>286</v>
      </c>
      <c r="C3" s="1016"/>
      <c r="D3" s="1016"/>
      <c r="E3" s="1016"/>
      <c r="F3" s="1017"/>
      <c r="G3" s="1007" t="s">
        <v>450</v>
      </c>
      <c r="H3" s="1010" t="s">
        <v>451</v>
      </c>
      <c r="I3" s="1013" t="s">
        <v>452</v>
      </c>
    </row>
    <row r="4" spans="2:9" ht="14.25" customHeight="1">
      <c r="B4" s="1018"/>
      <c r="C4" s="1019"/>
      <c r="D4" s="1019"/>
      <c r="E4" s="1019"/>
      <c r="F4" s="1020"/>
      <c r="G4" s="1008"/>
      <c r="H4" s="1011"/>
      <c r="I4" s="1014"/>
    </row>
    <row r="5" spans="2:9" ht="14.25" customHeight="1">
      <c r="B5" s="181"/>
      <c r="C5" s="182" t="s">
        <v>14</v>
      </c>
      <c r="D5" s="182" t="s">
        <v>15</v>
      </c>
      <c r="E5" s="182" t="s">
        <v>16</v>
      </c>
      <c r="F5" s="184"/>
      <c r="G5" s="1008"/>
      <c r="H5" s="1011"/>
      <c r="I5" s="1014"/>
    </row>
    <row r="6" spans="2:9" ht="14.25" customHeight="1" thickBot="1">
      <c r="B6" s="185"/>
      <c r="C6" s="186"/>
      <c r="D6" s="187"/>
      <c r="E6" s="186" t="s">
        <v>17</v>
      </c>
      <c r="F6" s="189" t="s">
        <v>18</v>
      </c>
      <c r="G6" s="1009"/>
      <c r="H6" s="1012"/>
      <c r="I6" s="1015"/>
    </row>
    <row r="7" spans="2:9" ht="16.5" thickTop="1">
      <c r="B7" s="207">
        <v>1</v>
      </c>
      <c r="C7" s="208" t="s">
        <v>41</v>
      </c>
      <c r="D7" s="209"/>
      <c r="E7" s="210"/>
      <c r="F7" s="211" t="s">
        <v>42</v>
      </c>
      <c r="G7" s="585">
        <f>G9</f>
        <v>7563445</v>
      </c>
      <c r="H7" s="914">
        <f>H9</f>
        <v>-1339044</v>
      </c>
      <c r="I7" s="888">
        <f>H7+G7</f>
        <v>6224401</v>
      </c>
    </row>
    <row r="8" spans="2:9" ht="12.75">
      <c r="B8" s="212">
        <f>B7+1</f>
        <v>2</v>
      </c>
      <c r="C8" s="16"/>
      <c r="D8" s="9"/>
      <c r="E8" s="11"/>
      <c r="F8" s="213"/>
      <c r="G8" s="214"/>
      <c r="H8" s="896"/>
      <c r="I8" s="889"/>
    </row>
    <row r="9" spans="2:9" ht="12.75">
      <c r="B9" s="212">
        <f aca="true" t="shared" si="0" ref="B9:B24">B8+1</f>
        <v>3</v>
      </c>
      <c r="C9" s="9" t="s">
        <v>287</v>
      </c>
      <c r="D9" s="9"/>
      <c r="E9" s="11"/>
      <c r="F9" s="213" t="s">
        <v>286</v>
      </c>
      <c r="G9" s="178">
        <f>G10+G15</f>
        <v>7563445</v>
      </c>
      <c r="H9" s="902">
        <f>H10+H15</f>
        <v>-1339044</v>
      </c>
      <c r="I9" s="890">
        <f aca="true" t="shared" si="1" ref="I9:I26">H9+G9</f>
        <v>6224401</v>
      </c>
    </row>
    <row r="10" spans="2:9" ht="12.75">
      <c r="B10" s="212">
        <f t="shared" si="0"/>
        <v>4</v>
      </c>
      <c r="C10" s="10"/>
      <c r="D10" s="10" t="s">
        <v>288</v>
      </c>
      <c r="E10" s="13"/>
      <c r="F10" s="215" t="s">
        <v>289</v>
      </c>
      <c r="G10" s="179">
        <f>SUM(G11:G13)</f>
        <v>5244400</v>
      </c>
      <c r="H10" s="903">
        <f>H11</f>
        <v>-1064899</v>
      </c>
      <c r="I10" s="891">
        <f t="shared" si="1"/>
        <v>4179501</v>
      </c>
    </row>
    <row r="11" spans="2:9" ht="12.75">
      <c r="B11" s="212">
        <f t="shared" si="0"/>
        <v>5</v>
      </c>
      <c r="C11" s="10"/>
      <c r="D11" s="48"/>
      <c r="E11" s="8"/>
      <c r="F11" s="20" t="s">
        <v>290</v>
      </c>
      <c r="G11" s="179">
        <v>2600000</v>
      </c>
      <c r="H11" s="903">
        <v>-1064899</v>
      </c>
      <c r="I11" s="891">
        <f t="shared" si="1"/>
        <v>1535101</v>
      </c>
    </row>
    <row r="12" spans="2:9" ht="12.75">
      <c r="B12" s="212">
        <f t="shared" si="0"/>
        <v>6</v>
      </c>
      <c r="C12" s="9"/>
      <c r="D12" s="10"/>
      <c r="E12" s="12"/>
      <c r="F12" s="22" t="s">
        <v>291</v>
      </c>
      <c r="G12" s="179">
        <v>500000</v>
      </c>
      <c r="H12" s="903"/>
      <c r="I12" s="891">
        <f t="shared" si="1"/>
        <v>500000</v>
      </c>
    </row>
    <row r="13" spans="2:9" ht="12.75">
      <c r="B13" s="212">
        <f t="shared" si="0"/>
        <v>7</v>
      </c>
      <c r="C13" s="9"/>
      <c r="D13" s="10"/>
      <c r="E13" s="12"/>
      <c r="F13" s="22" t="s">
        <v>403</v>
      </c>
      <c r="G13" s="180">
        <v>2144400</v>
      </c>
      <c r="H13" s="903"/>
      <c r="I13" s="892">
        <f t="shared" si="1"/>
        <v>2144400</v>
      </c>
    </row>
    <row r="14" spans="2:9" ht="12.75">
      <c r="B14" s="212">
        <f t="shared" si="0"/>
        <v>8</v>
      </c>
      <c r="C14" s="9"/>
      <c r="D14" s="10"/>
      <c r="E14" s="12"/>
      <c r="F14" s="22"/>
      <c r="G14" s="180"/>
      <c r="H14" s="903"/>
      <c r="I14" s="892"/>
    </row>
    <row r="15" spans="2:9" ht="12.75">
      <c r="B15" s="212">
        <f t="shared" si="0"/>
        <v>9</v>
      </c>
      <c r="C15" s="9"/>
      <c r="D15" s="10" t="s">
        <v>292</v>
      </c>
      <c r="E15" s="12" t="s">
        <v>30</v>
      </c>
      <c r="F15" s="22" t="s">
        <v>293</v>
      </c>
      <c r="G15" s="179">
        <f>SUM(G16:G19)</f>
        <v>2319045</v>
      </c>
      <c r="H15" s="903">
        <f>SUM(H16:H19)</f>
        <v>-274145</v>
      </c>
      <c r="I15" s="891">
        <f t="shared" si="1"/>
        <v>2044900</v>
      </c>
    </row>
    <row r="16" spans="2:9" ht="12.75">
      <c r="B16" s="212">
        <f t="shared" si="0"/>
        <v>10</v>
      </c>
      <c r="C16" s="10"/>
      <c r="D16" s="10"/>
      <c r="E16" s="12"/>
      <c r="F16" s="22" t="s">
        <v>294</v>
      </c>
      <c r="G16" s="179">
        <v>1300003</v>
      </c>
      <c r="H16" s="903"/>
      <c r="I16" s="891">
        <f t="shared" si="1"/>
        <v>1300003</v>
      </c>
    </row>
    <row r="17" spans="2:9" ht="12.75">
      <c r="B17" s="212">
        <f t="shared" si="0"/>
        <v>11</v>
      </c>
      <c r="C17" s="10"/>
      <c r="D17" s="13"/>
      <c r="E17" s="12"/>
      <c r="F17" s="22" t="s">
        <v>295</v>
      </c>
      <c r="G17" s="179">
        <v>59260</v>
      </c>
      <c r="H17" s="903"/>
      <c r="I17" s="891">
        <f t="shared" si="1"/>
        <v>59260</v>
      </c>
    </row>
    <row r="18" spans="2:9" ht="12.75">
      <c r="B18" s="212">
        <f t="shared" si="0"/>
        <v>12</v>
      </c>
      <c r="C18" s="10"/>
      <c r="D18" s="13"/>
      <c r="E18" s="12"/>
      <c r="F18" s="22" t="s">
        <v>389</v>
      </c>
      <c r="G18" s="179">
        <v>685637</v>
      </c>
      <c r="H18" s="903"/>
      <c r="I18" s="891">
        <f t="shared" si="1"/>
        <v>685637</v>
      </c>
    </row>
    <row r="19" spans="2:9" ht="12.75">
      <c r="B19" s="212">
        <f t="shared" si="0"/>
        <v>13</v>
      </c>
      <c r="C19" s="10"/>
      <c r="D19" s="13"/>
      <c r="E19" s="12"/>
      <c r="F19" s="22" t="s">
        <v>390</v>
      </c>
      <c r="G19" s="179">
        <v>274145</v>
      </c>
      <c r="H19" s="897">
        <v>-274145</v>
      </c>
      <c r="I19" s="891">
        <f t="shared" si="1"/>
        <v>0</v>
      </c>
    </row>
    <row r="20" spans="2:9" ht="12.75">
      <c r="B20" s="212">
        <f t="shared" si="0"/>
        <v>14</v>
      </c>
      <c r="C20" s="10"/>
      <c r="D20" s="13"/>
      <c r="E20" s="12"/>
      <c r="F20" s="216" t="s">
        <v>296</v>
      </c>
      <c r="G20" s="179"/>
      <c r="H20" s="897"/>
      <c r="I20" s="891"/>
    </row>
    <row r="21" spans="2:9" ht="12.75">
      <c r="B21" s="212">
        <f t="shared" si="0"/>
        <v>15</v>
      </c>
      <c r="C21" s="217" t="s">
        <v>89</v>
      </c>
      <c r="D21" s="218"/>
      <c r="E21" s="218"/>
      <c r="F21" s="211" t="s">
        <v>297</v>
      </c>
      <c r="G21" s="467">
        <f>G23</f>
        <v>2145000</v>
      </c>
      <c r="H21" s="915">
        <f>SUM(H22:H24)</f>
        <v>-507693</v>
      </c>
      <c r="I21" s="893">
        <f t="shared" si="1"/>
        <v>1637307</v>
      </c>
    </row>
    <row r="22" spans="2:9" ht="12.75">
      <c r="B22" s="212">
        <f t="shared" si="0"/>
        <v>16</v>
      </c>
      <c r="C22" s="219"/>
      <c r="D22" s="220"/>
      <c r="E22" s="220"/>
      <c r="F22" s="221"/>
      <c r="G22" s="177"/>
      <c r="H22" s="898"/>
      <c r="I22" s="894"/>
    </row>
    <row r="23" spans="2:9" ht="12.75">
      <c r="B23" s="212">
        <f t="shared" si="0"/>
        <v>17</v>
      </c>
      <c r="C23" s="219"/>
      <c r="D23" s="220"/>
      <c r="E23" s="220"/>
      <c r="F23" s="22" t="s">
        <v>391</v>
      </c>
      <c r="G23" s="906">
        <v>2145000</v>
      </c>
      <c r="H23" s="907">
        <v>-507693</v>
      </c>
      <c r="I23" s="908">
        <f t="shared" si="1"/>
        <v>1637307</v>
      </c>
    </row>
    <row r="24" spans="2:9" ht="12.75">
      <c r="B24" s="212">
        <f t="shared" si="0"/>
        <v>18</v>
      </c>
      <c r="C24" s="219"/>
      <c r="D24" s="220"/>
      <c r="E24" s="220"/>
      <c r="F24" s="221"/>
      <c r="G24" s="177"/>
      <c r="H24" s="898"/>
      <c r="I24" s="894"/>
    </row>
    <row r="25" spans="2:9" ht="12.75">
      <c r="B25" s="212">
        <f>B24+1</f>
        <v>19</v>
      </c>
      <c r="C25" s="219"/>
      <c r="D25" s="220"/>
      <c r="E25" s="220"/>
      <c r="F25" s="221"/>
      <c r="G25" s="177"/>
      <c r="H25" s="898"/>
      <c r="I25" s="894"/>
    </row>
    <row r="26" spans="2:9" ht="21" thickBot="1">
      <c r="B26" s="905">
        <f>B25+1</f>
        <v>20</v>
      </c>
      <c r="C26" s="473"/>
      <c r="D26" s="474"/>
      <c r="E26" s="475"/>
      <c r="F26" s="476" t="s">
        <v>298</v>
      </c>
      <c r="G26" s="586">
        <f>G7+G21</f>
        <v>9708445</v>
      </c>
      <c r="H26" s="916">
        <f>H21+H7</f>
        <v>-1846737</v>
      </c>
      <c r="I26" s="895">
        <f t="shared" si="1"/>
        <v>7861708</v>
      </c>
    </row>
    <row r="27" spans="2:7" ht="12.75">
      <c r="B27" s="15"/>
      <c r="C27" s="222"/>
      <c r="D27" s="222"/>
      <c r="E27" s="222"/>
      <c r="F27" s="223"/>
      <c r="G27"/>
    </row>
    <row r="28" spans="2:7" ht="12.75">
      <c r="B28" s="15"/>
      <c r="C28" s="224"/>
      <c r="D28" s="222"/>
      <c r="E28" s="222"/>
      <c r="F28" s="225"/>
      <c r="G28"/>
    </row>
    <row r="29" spans="2:7" ht="13.5" thickBot="1">
      <c r="B29" s="15"/>
      <c r="C29" s="222"/>
      <c r="D29" s="222"/>
      <c r="E29" s="222"/>
      <c r="F29" s="223"/>
      <c r="G29"/>
    </row>
    <row r="30" spans="2:9" ht="14.25" customHeight="1">
      <c r="B30" s="1001" t="s">
        <v>334</v>
      </c>
      <c r="C30" s="1016"/>
      <c r="D30" s="1016"/>
      <c r="E30" s="1016"/>
      <c r="F30" s="1017"/>
      <c r="G30" s="1007" t="s">
        <v>450</v>
      </c>
      <c r="H30" s="1010" t="s">
        <v>451</v>
      </c>
      <c r="I30" s="1013" t="s">
        <v>452</v>
      </c>
    </row>
    <row r="31" spans="2:9" ht="14.25" customHeight="1">
      <c r="B31" s="1018"/>
      <c r="C31" s="1019"/>
      <c r="D31" s="1019"/>
      <c r="E31" s="1019"/>
      <c r="F31" s="1020"/>
      <c r="G31" s="1008"/>
      <c r="H31" s="1011"/>
      <c r="I31" s="1014"/>
    </row>
    <row r="32" spans="2:9" ht="14.25" customHeight="1">
      <c r="B32" s="181"/>
      <c r="C32" s="182" t="s">
        <v>14</v>
      </c>
      <c r="D32" s="182" t="s">
        <v>15</v>
      </c>
      <c r="E32" s="182" t="s">
        <v>16</v>
      </c>
      <c r="F32" s="184"/>
      <c r="G32" s="1008"/>
      <c r="H32" s="1011"/>
      <c r="I32" s="1014"/>
    </row>
    <row r="33" spans="2:9" ht="14.25" customHeight="1" thickBot="1">
      <c r="B33" s="185"/>
      <c r="C33" s="186"/>
      <c r="D33" s="187"/>
      <c r="E33" s="186" t="s">
        <v>17</v>
      </c>
      <c r="F33" s="189" t="s">
        <v>18</v>
      </c>
      <c r="G33" s="1009"/>
      <c r="H33" s="1012"/>
      <c r="I33" s="1015"/>
    </row>
    <row r="34" spans="2:9" ht="16.5" thickTop="1">
      <c r="B34" s="212">
        <v>1</v>
      </c>
      <c r="C34" s="226"/>
      <c r="D34" s="226"/>
      <c r="E34" s="227"/>
      <c r="F34" s="228" t="s">
        <v>99</v>
      </c>
      <c r="G34" s="587">
        <f>'BP'!H149</f>
        <v>27075584</v>
      </c>
      <c r="H34" s="917">
        <f>'BP'!I149</f>
        <v>213400</v>
      </c>
      <c r="I34" s="899">
        <f>H34+G34</f>
        <v>27288984</v>
      </c>
    </row>
    <row r="35" spans="2:9" ht="16.5" thickBot="1">
      <c r="B35" s="229">
        <f>B34+1</f>
        <v>2</v>
      </c>
      <c r="C35" s="230"/>
      <c r="D35" s="230"/>
      <c r="E35" s="231"/>
      <c r="F35" s="232" t="s">
        <v>298</v>
      </c>
      <c r="G35" s="588">
        <f>G26</f>
        <v>9708445</v>
      </c>
      <c r="H35" s="918">
        <f>H26</f>
        <v>-1846737</v>
      </c>
      <c r="I35" s="900">
        <f>H35+G35</f>
        <v>7861708</v>
      </c>
    </row>
    <row r="36" spans="2:9" ht="17.25" thickBot="1" thickTop="1">
      <c r="B36" s="233">
        <f>B35+1</f>
        <v>3</v>
      </c>
      <c r="C36" s="234"/>
      <c r="D36" s="235"/>
      <c r="E36" s="236"/>
      <c r="F36" s="237" t="s">
        <v>299</v>
      </c>
      <c r="G36" s="589">
        <f>G34+G35</f>
        <v>36784029</v>
      </c>
      <c r="H36" s="919">
        <f>H35+H34</f>
        <v>-1633337</v>
      </c>
      <c r="I36" s="901">
        <f>H36+G36</f>
        <v>35150692</v>
      </c>
    </row>
    <row r="37" spans="2:7" ht="12.75">
      <c r="B37" s="15"/>
      <c r="C37" s="238"/>
      <c r="D37" s="238"/>
      <c r="E37" s="222"/>
      <c r="F37" s="7"/>
      <c r="G37" s="7"/>
    </row>
    <row r="38" spans="1:7" ht="12.75">
      <c r="A38" s="15"/>
      <c r="B38" s="238"/>
      <c r="C38" s="238"/>
      <c r="D38" s="239"/>
      <c r="E38" s="17"/>
      <c r="G38"/>
    </row>
    <row r="39" spans="1:7" ht="12.75">
      <c r="A39" s="15"/>
      <c r="B39" s="238"/>
      <c r="C39" s="238"/>
      <c r="D39" s="239"/>
      <c r="E39" s="17"/>
      <c r="G39"/>
    </row>
    <row r="40" spans="1:7" ht="12.75">
      <c r="A40" s="15"/>
      <c r="B40" s="238"/>
      <c r="C40" s="238"/>
      <c r="D40" s="239"/>
      <c r="E40" s="17"/>
      <c r="G40"/>
    </row>
    <row r="41" spans="1:7" ht="12.75">
      <c r="A41" s="15"/>
      <c r="B41" s="238"/>
      <c r="C41" s="238"/>
      <c r="D41" s="239"/>
      <c r="E41" s="17"/>
      <c r="G41"/>
    </row>
    <row r="42" spans="1:7" ht="12.75">
      <c r="A42" s="15"/>
      <c r="B42" s="238"/>
      <c r="C42" s="238"/>
      <c r="D42" s="222"/>
      <c r="E42" s="7"/>
      <c r="F42" s="7"/>
      <c r="G42"/>
    </row>
    <row r="43" spans="1:7" ht="12.75">
      <c r="A43" s="15"/>
      <c r="B43" s="238"/>
      <c r="C43" s="238"/>
      <c r="D43" s="222"/>
      <c r="E43" s="7"/>
      <c r="F43" s="7"/>
      <c r="G43"/>
    </row>
    <row r="44" spans="1:7" ht="12.75">
      <c r="A44" s="15"/>
      <c r="B44" s="224"/>
      <c r="C44" s="238"/>
      <c r="D44" s="239"/>
      <c r="E44" s="23"/>
      <c r="F44" s="23"/>
      <c r="G44"/>
    </row>
    <row r="45" spans="1:7" ht="12.75">
      <c r="A45" s="15"/>
      <c r="B45" s="224"/>
      <c r="C45" s="238"/>
      <c r="D45" s="239"/>
      <c r="E45" s="225"/>
      <c r="F45" s="225"/>
      <c r="G45"/>
    </row>
    <row r="46" spans="2:7" ht="12.75">
      <c r="B46" s="15"/>
      <c r="C46" s="224"/>
      <c r="D46" s="222"/>
      <c r="E46" s="239"/>
      <c r="F46" s="223"/>
      <c r="G46" s="223"/>
    </row>
    <row r="47" spans="2:7" ht="12.75">
      <c r="B47" s="15"/>
      <c r="C47" s="224"/>
      <c r="D47" s="238"/>
      <c r="E47" s="222"/>
      <c r="F47" s="7"/>
      <c r="G47" s="7"/>
    </row>
    <row r="48" spans="2:7" ht="12.75">
      <c r="B48" s="15"/>
      <c r="C48" s="224"/>
      <c r="D48" s="238"/>
      <c r="E48" s="239"/>
      <c r="F48" s="7"/>
      <c r="G48" s="7"/>
    </row>
    <row r="49" spans="2:7" ht="12.75">
      <c r="B49" s="15"/>
      <c r="C49" s="224"/>
      <c r="D49" s="238"/>
      <c r="E49" s="239"/>
      <c r="F49" s="7"/>
      <c r="G49" s="7"/>
    </row>
    <row r="50" spans="2:7" ht="12.75">
      <c r="B50" s="15"/>
      <c r="C50" s="224"/>
      <c r="D50" s="238"/>
      <c r="E50" s="239"/>
      <c r="F50" s="7"/>
      <c r="G50" s="7"/>
    </row>
    <row r="51" spans="2:7" ht="12.75">
      <c r="B51" s="15"/>
      <c r="C51" s="224"/>
      <c r="D51" s="238"/>
      <c r="E51" s="239"/>
      <c r="F51" s="7"/>
      <c r="G51" s="7"/>
    </row>
    <row r="52" spans="2:7" ht="12.75">
      <c r="B52" s="15"/>
      <c r="C52" s="224"/>
      <c r="D52" s="238"/>
      <c r="E52" s="239"/>
      <c r="F52" s="7"/>
      <c r="G52" s="7"/>
    </row>
    <row r="53" spans="2:7" ht="12.75">
      <c r="B53" s="15"/>
      <c r="C53" s="224"/>
      <c r="D53" s="238"/>
      <c r="E53" s="222"/>
      <c r="F53" s="7"/>
      <c r="G53" s="7"/>
    </row>
    <row r="54" spans="2:7" ht="12.75">
      <c r="B54" s="15"/>
      <c r="C54" s="224"/>
      <c r="D54" s="238"/>
      <c r="E54" s="222"/>
      <c r="F54" s="7"/>
      <c r="G54" s="7"/>
    </row>
    <row r="55" spans="2:7" ht="12.75">
      <c r="B55" s="15"/>
      <c r="C55" s="224"/>
      <c r="D55" s="238"/>
      <c r="E55" s="222"/>
      <c r="F55" s="7"/>
      <c r="G55" s="7"/>
    </row>
    <row r="56" spans="2:7" ht="12.75">
      <c r="B56" s="15"/>
      <c r="C56" s="224"/>
      <c r="D56" s="224"/>
      <c r="E56" s="222"/>
      <c r="F56" s="225"/>
      <c r="G56" s="225"/>
    </row>
    <row r="57" spans="2:7" ht="12.75">
      <c r="B57" s="15"/>
      <c r="C57" s="224"/>
      <c r="D57" s="222"/>
      <c r="E57" s="222"/>
      <c r="F57" s="7"/>
      <c r="G57" s="7"/>
    </row>
    <row r="58" spans="2:7" ht="12.75">
      <c r="B58" s="15"/>
      <c r="C58" s="224"/>
      <c r="D58" s="222"/>
      <c r="E58" s="222"/>
      <c r="F58" s="7"/>
      <c r="G58" s="7"/>
    </row>
    <row r="59" spans="2:7" ht="12.75">
      <c r="B59" s="15"/>
      <c r="C59" s="224"/>
      <c r="D59" s="238"/>
      <c r="E59" s="222"/>
      <c r="F59" s="7"/>
      <c r="G59" s="7"/>
    </row>
    <row r="60" spans="2:7" ht="12.75">
      <c r="B60" s="15"/>
      <c r="C60" s="224"/>
      <c r="D60" s="238"/>
      <c r="E60" s="222"/>
      <c r="F60" s="7"/>
      <c r="G60" s="7"/>
    </row>
    <row r="61" spans="2:7" ht="12.75">
      <c r="B61" s="15"/>
      <c r="C61" s="224"/>
      <c r="D61" s="222"/>
      <c r="E61" s="222"/>
      <c r="F61" s="7"/>
      <c r="G61" s="7"/>
    </row>
    <row r="62" spans="2:7" ht="12.75">
      <c r="B62" s="15"/>
      <c r="C62" s="224"/>
      <c r="D62" s="238"/>
      <c r="E62" s="222"/>
      <c r="F62" s="7"/>
      <c r="G62" s="7"/>
    </row>
    <row r="63" spans="2:7" ht="12.75">
      <c r="B63" s="15"/>
      <c r="C63" s="224"/>
      <c r="D63" s="238"/>
      <c r="E63" s="222"/>
      <c r="F63" s="225"/>
      <c r="G63" s="225"/>
    </row>
    <row r="64" spans="2:7" ht="12.75">
      <c r="B64" s="15"/>
      <c r="C64" s="224"/>
      <c r="D64" s="238"/>
      <c r="E64" s="222"/>
      <c r="F64" s="7"/>
      <c r="G64" s="7"/>
    </row>
    <row r="65" spans="2:7" ht="12.75">
      <c r="B65" s="15"/>
      <c r="C65" s="224"/>
      <c r="D65" s="238"/>
      <c r="E65" s="222"/>
      <c r="F65" s="7"/>
      <c r="G65" s="7"/>
    </row>
    <row r="66" spans="2:7" ht="12.75">
      <c r="B66" s="15"/>
      <c r="C66" s="224"/>
      <c r="D66" s="238"/>
      <c r="E66" s="222"/>
      <c r="F66" s="240"/>
      <c r="G66" s="240"/>
    </row>
    <row r="67" spans="2:7" ht="12.75">
      <c r="B67" s="7"/>
      <c r="C67" s="222"/>
      <c r="D67" s="222"/>
      <c r="E67" s="222"/>
      <c r="F67" s="7"/>
      <c r="G67" s="7"/>
    </row>
    <row r="68" spans="2:7" ht="12.75">
      <c r="B68" s="7"/>
      <c r="C68" s="222"/>
      <c r="D68" s="222"/>
      <c r="E68" s="222"/>
      <c r="F68" s="7"/>
      <c r="G68" s="7"/>
    </row>
    <row r="69" spans="2:7" ht="12.75">
      <c r="B69" s="7"/>
      <c r="C69" s="222"/>
      <c r="D69" s="222"/>
      <c r="E69" s="222"/>
      <c r="F69" s="7"/>
      <c r="G69" s="7"/>
    </row>
    <row r="70" spans="2:7" ht="12.75">
      <c r="B70" s="7"/>
      <c r="C70" s="222"/>
      <c r="D70" s="222"/>
      <c r="E70" s="222"/>
      <c r="F70" s="7"/>
      <c r="G70" s="7"/>
    </row>
    <row r="71" spans="2:7" ht="12.75">
      <c r="B71" s="7"/>
      <c r="C71" s="222"/>
      <c r="D71" s="222"/>
      <c r="E71" s="222"/>
      <c r="F71" s="7"/>
      <c r="G71" s="7"/>
    </row>
    <row r="72" spans="2:7" ht="12.75">
      <c r="B72" s="7"/>
      <c r="C72" s="222"/>
      <c r="D72" s="222"/>
      <c r="E72" s="222"/>
      <c r="F72" s="7"/>
      <c r="G72" s="7"/>
    </row>
    <row r="73" spans="2:7" ht="12.75">
      <c r="B73" s="7"/>
      <c r="C73" s="222"/>
      <c r="D73" s="222"/>
      <c r="E73" s="222"/>
      <c r="F73" s="7"/>
      <c r="G73" s="7"/>
    </row>
    <row r="74" spans="2:7" ht="12.75">
      <c r="B74" s="7"/>
      <c r="C74" s="222"/>
      <c r="D74" s="222"/>
      <c r="E74" s="222"/>
      <c r="F74" s="7"/>
      <c r="G74" s="7"/>
    </row>
    <row r="75" spans="2:7" ht="12.75">
      <c r="B75" s="7"/>
      <c r="C75" s="222"/>
      <c r="D75" s="222"/>
      <c r="E75" s="222"/>
      <c r="F75" s="7"/>
      <c r="G75" s="7"/>
    </row>
    <row r="76" spans="2:7" ht="12.75">
      <c r="B76" s="7"/>
      <c r="C76" s="222"/>
      <c r="D76" s="222"/>
      <c r="E76" s="222"/>
      <c r="F76" s="7"/>
      <c r="G76" s="7"/>
    </row>
    <row r="77" spans="2:7" ht="12.75">
      <c r="B77" s="7"/>
      <c r="C77" s="222"/>
      <c r="D77" s="222"/>
      <c r="E77" s="222"/>
      <c r="F77" s="7"/>
      <c r="G77" s="7"/>
    </row>
    <row r="78" spans="2:7" ht="12.75">
      <c r="B78" s="7"/>
      <c r="C78" s="222"/>
      <c r="D78" s="222"/>
      <c r="E78" s="222"/>
      <c r="F78" s="7"/>
      <c r="G78" s="7"/>
    </row>
    <row r="79" spans="2:7" ht="12.75">
      <c r="B79" s="7"/>
      <c r="C79" s="222"/>
      <c r="D79" s="222"/>
      <c r="E79" s="222"/>
      <c r="F79" s="7"/>
      <c r="G79" s="7"/>
    </row>
    <row r="80" spans="2:7" ht="12.75">
      <c r="B80" s="7"/>
      <c r="C80" s="222"/>
      <c r="D80" s="222"/>
      <c r="E80" s="222"/>
      <c r="F80" s="7"/>
      <c r="G80" s="7"/>
    </row>
    <row r="81" spans="2:7" ht="12.75">
      <c r="B81" s="7"/>
      <c r="C81" s="222"/>
      <c r="D81" s="222"/>
      <c r="E81" s="222"/>
      <c r="F81" s="7"/>
      <c r="G81" s="7"/>
    </row>
    <row r="82" spans="2:7" ht="12.75">
      <c r="B82" s="7"/>
      <c r="C82" s="222"/>
      <c r="D82" s="222"/>
      <c r="E82" s="222"/>
      <c r="F82" s="7"/>
      <c r="G82" s="7"/>
    </row>
    <row r="83" spans="2:7" ht="12.75">
      <c r="B83" s="7"/>
      <c r="C83" s="222"/>
      <c r="D83" s="222"/>
      <c r="E83" s="222"/>
      <c r="F83" s="7"/>
      <c r="G83" s="7"/>
    </row>
    <row r="84" spans="2:7" ht="12.75">
      <c r="B84" s="7"/>
      <c r="C84" s="222"/>
      <c r="D84" s="222"/>
      <c r="E84" s="222"/>
      <c r="F84" s="7"/>
      <c r="G84" s="7"/>
    </row>
    <row r="85" spans="2:7" ht="12.75">
      <c r="B85" s="7"/>
      <c r="C85" s="222"/>
      <c r="D85" s="222"/>
      <c r="E85" s="222"/>
      <c r="F85" s="7"/>
      <c r="G85" s="7"/>
    </row>
    <row r="86" spans="2:7" ht="12.75">
      <c r="B86" s="7"/>
      <c r="C86" s="222"/>
      <c r="D86" s="222"/>
      <c r="E86" s="222"/>
      <c r="F86" s="7"/>
      <c r="G86" s="7"/>
    </row>
    <row r="87" spans="2:7" ht="12.75">
      <c r="B87" s="7"/>
      <c r="C87" s="222"/>
      <c r="D87" s="222"/>
      <c r="E87" s="222"/>
      <c r="F87" s="7"/>
      <c r="G87" s="7"/>
    </row>
    <row r="88" spans="2:7" ht="12.75">
      <c r="B88" s="7"/>
      <c r="C88" s="222"/>
      <c r="D88" s="222"/>
      <c r="E88" s="222"/>
      <c r="F88" s="7"/>
      <c r="G88" s="7"/>
    </row>
    <row r="89" spans="2:7" ht="12.75">
      <c r="B89" s="7"/>
      <c r="C89" s="222"/>
      <c r="D89" s="222"/>
      <c r="E89" s="222"/>
      <c r="F89" s="7"/>
      <c r="G89" s="7"/>
    </row>
    <row r="90" spans="2:7" ht="12.75">
      <c r="B90" s="7"/>
      <c r="C90" s="222"/>
      <c r="D90" s="222"/>
      <c r="E90" s="222"/>
      <c r="F90" s="7"/>
      <c r="G90" s="7"/>
    </row>
    <row r="91" spans="2:7" ht="12.75">
      <c r="B91" s="7"/>
      <c r="C91" s="222"/>
      <c r="D91" s="222"/>
      <c r="E91" s="222"/>
      <c r="F91" s="7"/>
      <c r="G91" s="7"/>
    </row>
    <row r="92" spans="2:7" ht="12.75">
      <c r="B92" s="7"/>
      <c r="C92" s="222"/>
      <c r="D92" s="222"/>
      <c r="E92" s="222"/>
      <c r="F92" s="7"/>
      <c r="G92" s="7"/>
    </row>
    <row r="93" spans="2:7" ht="12.75">
      <c r="B93" s="7"/>
      <c r="C93" s="222"/>
      <c r="D93" s="222"/>
      <c r="E93" s="222"/>
      <c r="F93" s="7"/>
      <c r="G93" s="7"/>
    </row>
    <row r="94" spans="2:7" ht="12.75">
      <c r="B94" s="7"/>
      <c r="C94" s="222"/>
      <c r="D94" s="222"/>
      <c r="E94" s="222"/>
      <c r="F94" s="7"/>
      <c r="G94" s="7"/>
    </row>
    <row r="95" spans="2:7" ht="12.75">
      <c r="B95" s="7"/>
      <c r="C95" s="222"/>
      <c r="D95" s="222"/>
      <c r="E95" s="222"/>
      <c r="F95" s="7"/>
      <c r="G95" s="7"/>
    </row>
    <row r="96" spans="2:7" ht="12.75">
      <c r="B96" s="7"/>
      <c r="C96" s="222"/>
      <c r="D96" s="222"/>
      <c r="E96" s="222"/>
      <c r="F96" s="7"/>
      <c r="G96" s="7"/>
    </row>
    <row r="97" spans="2:7" ht="12.75">
      <c r="B97" s="7"/>
      <c r="C97" s="222"/>
      <c r="D97" s="222"/>
      <c r="E97" s="222"/>
      <c r="F97" s="7"/>
      <c r="G97" s="7"/>
    </row>
    <row r="98" spans="2:7" ht="12.75">
      <c r="B98" s="7"/>
      <c r="C98" s="222"/>
      <c r="D98" s="222"/>
      <c r="E98" s="222"/>
      <c r="F98" s="7"/>
      <c r="G98" s="7"/>
    </row>
    <row r="99" spans="2:7" ht="12.75">
      <c r="B99" s="7"/>
      <c r="C99" s="222"/>
      <c r="D99" s="222"/>
      <c r="E99" s="222"/>
      <c r="F99" s="7"/>
      <c r="G99" s="7"/>
    </row>
    <row r="100" spans="2:7" ht="12.75">
      <c r="B100" s="7"/>
      <c r="C100" s="222"/>
      <c r="D100" s="222"/>
      <c r="E100" s="222"/>
      <c r="F100" s="7"/>
      <c r="G100" s="7"/>
    </row>
    <row r="101" spans="2:7" ht="12.75">
      <c r="B101" s="7"/>
      <c r="C101" s="222"/>
      <c r="D101" s="222"/>
      <c r="E101" s="222"/>
      <c r="F101" s="7"/>
      <c r="G101" s="7"/>
    </row>
    <row r="102" spans="2:7" ht="12.75">
      <c r="B102" s="7"/>
      <c r="C102" s="222"/>
      <c r="D102" s="222"/>
      <c r="E102" s="222"/>
      <c r="F102" s="7"/>
      <c r="G102" s="7"/>
    </row>
    <row r="103" spans="2:7" ht="12.75">
      <c r="B103" s="7"/>
      <c r="C103" s="222"/>
      <c r="D103" s="222"/>
      <c r="E103" s="222"/>
      <c r="F103" s="7"/>
      <c r="G103" s="7"/>
    </row>
    <row r="104" spans="2:7" ht="12.75">
      <c r="B104" s="7"/>
      <c r="C104" s="222"/>
      <c r="D104" s="222"/>
      <c r="E104" s="222"/>
      <c r="F104" s="7"/>
      <c r="G104" s="7"/>
    </row>
    <row r="105" spans="2:7" ht="12.75">
      <c r="B105" s="7"/>
      <c r="C105" s="222"/>
      <c r="D105" s="222"/>
      <c r="E105" s="222"/>
      <c r="F105" s="7"/>
      <c r="G105" s="7"/>
    </row>
    <row r="106" spans="2:7" ht="12.75">
      <c r="B106" s="7"/>
      <c r="C106" s="222"/>
      <c r="D106" s="222"/>
      <c r="E106" s="222"/>
      <c r="F106" s="7"/>
      <c r="G106" s="7"/>
    </row>
    <row r="107" spans="2:7" ht="12.75">
      <c r="B107" s="7"/>
      <c r="C107" s="222"/>
      <c r="D107" s="222"/>
      <c r="E107" s="222"/>
      <c r="F107" s="7"/>
      <c r="G107" s="7"/>
    </row>
    <row r="108" spans="2:7" ht="12.75">
      <c r="B108" s="7"/>
      <c r="C108" s="222"/>
      <c r="D108" s="222"/>
      <c r="E108" s="222"/>
      <c r="F108" s="7"/>
      <c r="G108" s="7"/>
    </row>
    <row r="109" spans="2:7" ht="12.75">
      <c r="B109" s="7"/>
      <c r="C109" s="222"/>
      <c r="D109" s="222"/>
      <c r="E109" s="222"/>
      <c r="F109" s="7"/>
      <c r="G109" s="7"/>
    </row>
    <row r="110" spans="2:7" ht="12.75">
      <c r="B110" s="7"/>
      <c r="C110" s="222"/>
      <c r="D110" s="222"/>
      <c r="E110" s="222"/>
      <c r="F110" s="7"/>
      <c r="G110" s="7"/>
    </row>
    <row r="111" spans="2:7" ht="12.75">
      <c r="B111" s="7"/>
      <c r="C111" s="222"/>
      <c r="D111" s="222"/>
      <c r="E111" s="222"/>
      <c r="F111" s="7"/>
      <c r="G111" s="7"/>
    </row>
    <row r="112" spans="2:7" ht="12.75">
      <c r="B112" s="7"/>
      <c r="C112" s="222"/>
      <c r="D112" s="222"/>
      <c r="E112" s="222"/>
      <c r="F112" s="7"/>
      <c r="G112" s="7"/>
    </row>
    <row r="113" spans="2:7" ht="12.75">
      <c r="B113" s="7"/>
      <c r="C113" s="222"/>
      <c r="D113" s="222"/>
      <c r="E113" s="222"/>
      <c r="F113" s="7"/>
      <c r="G113" s="7"/>
    </row>
    <row r="114" spans="2:7" ht="12.75">
      <c r="B114" s="7"/>
      <c r="C114" s="222"/>
      <c r="D114" s="222"/>
      <c r="E114" s="222"/>
      <c r="F114" s="7"/>
      <c r="G114" s="7"/>
    </row>
    <row r="115" spans="2:7" ht="12.75">
      <c r="B115" s="7"/>
      <c r="C115" s="222"/>
      <c r="D115" s="222"/>
      <c r="E115" s="222"/>
      <c r="F115" s="7"/>
      <c r="G115" s="7"/>
    </row>
    <row r="116" spans="2:7" ht="12.75">
      <c r="B116" s="7"/>
      <c r="C116" s="222"/>
      <c r="D116" s="222"/>
      <c r="E116" s="222"/>
      <c r="F116" s="7"/>
      <c r="G116" s="7"/>
    </row>
    <row r="117" spans="2:7" ht="12.75">
      <c r="B117" s="7"/>
      <c r="C117" s="222"/>
      <c r="D117" s="222"/>
      <c r="E117" s="222"/>
      <c r="F117" s="7"/>
      <c r="G117" s="7"/>
    </row>
  </sheetData>
  <sheetProtection/>
  <mergeCells count="8">
    <mergeCell ref="H3:H6"/>
    <mergeCell ref="I3:I6"/>
    <mergeCell ref="H30:H33"/>
    <mergeCell ref="I30:I33"/>
    <mergeCell ref="B30:F31"/>
    <mergeCell ref="B3:F4"/>
    <mergeCell ref="G3:G6"/>
    <mergeCell ref="G30:G33"/>
  </mergeCells>
  <printOptions/>
  <pageMargins left="0.84" right="0.42" top="0.93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6"/>
  <sheetViews>
    <sheetView view="pageBreakPreview" zoomScaleNormal="88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421875" style="6" customWidth="1"/>
    <col min="3" max="3" width="2.7109375" style="5" customWidth="1"/>
    <col min="4" max="4" width="2.00390625" style="0" customWidth="1"/>
    <col min="5" max="5" width="41.57421875" style="0" customWidth="1"/>
    <col min="6" max="6" width="5.7109375" style="0" customWidth="1"/>
    <col min="7" max="7" width="8.421875" style="0" customWidth="1"/>
    <col min="8" max="8" width="10.00390625" style="0" customWidth="1"/>
    <col min="9" max="9" width="8.421875" style="0" customWidth="1"/>
    <col min="10" max="10" width="10.421875" style="0" customWidth="1"/>
    <col min="11" max="11" width="10.00390625" style="0" customWidth="1"/>
    <col min="12" max="12" width="10.421875" style="0" customWidth="1"/>
    <col min="13" max="13" width="2.140625" style="176" customWidth="1"/>
    <col min="14" max="15" width="8.8515625" style="176" customWidth="1"/>
    <col min="16" max="18" width="10.28125" style="176" customWidth="1"/>
    <col min="19" max="19" width="1.1484375" style="176" customWidth="1"/>
    <col min="20" max="20" width="11.140625" style="176" customWidth="1"/>
    <col min="21" max="21" width="10.140625" style="0" customWidth="1"/>
    <col min="22" max="22" width="11.140625" style="0" customWidth="1"/>
    <col min="23" max="23" width="2.57421875" style="0" customWidth="1"/>
  </cols>
  <sheetData>
    <row r="1" spans="10:12" ht="15.75" customHeight="1">
      <c r="J1" s="51"/>
      <c r="K1" s="51"/>
      <c r="L1" s="51"/>
    </row>
    <row r="2" spans="2:20" ht="27">
      <c r="B2" s="977"/>
      <c r="C2" s="978" t="s">
        <v>220</v>
      </c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</row>
    <row r="3" spans="2:20" ht="13.5" customHeight="1" thickBot="1">
      <c r="B3" s="977"/>
      <c r="C3" s="980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</row>
    <row r="4" spans="2:22" ht="12.75" customHeight="1">
      <c r="B4" s="1045" t="s">
        <v>316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7"/>
      <c r="S4" s="553"/>
      <c r="T4" s="1029" t="s">
        <v>450</v>
      </c>
      <c r="U4" s="1051" t="s">
        <v>451</v>
      </c>
      <c r="V4" s="1042" t="s">
        <v>452</v>
      </c>
    </row>
    <row r="5" spans="2:22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3"/>
      <c r="N5" s="1048" t="s">
        <v>337</v>
      </c>
      <c r="O5" s="1049"/>
      <c r="P5" s="1049"/>
      <c r="Q5" s="1049"/>
      <c r="R5" s="1050"/>
      <c r="T5" s="1030"/>
      <c r="U5" s="1052"/>
      <c r="V5" s="1043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N6" s="1039" t="s">
        <v>11</v>
      </c>
      <c r="O6" s="1025"/>
      <c r="P6" s="1025"/>
      <c r="Q6" s="1025"/>
      <c r="R6" s="1026"/>
      <c r="T6" s="1030"/>
      <c r="U6" s="1052"/>
      <c r="V6" s="1043"/>
    </row>
    <row r="7" spans="2:22" ht="48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N7" s="1057">
        <v>711</v>
      </c>
      <c r="O7" s="1038">
        <v>716</v>
      </c>
      <c r="P7" s="1027" t="s">
        <v>450</v>
      </c>
      <c r="Q7" s="1034" t="s">
        <v>451</v>
      </c>
      <c r="R7" s="1040" t="s">
        <v>452</v>
      </c>
      <c r="T7" s="1030"/>
      <c r="U7" s="1052"/>
      <c r="V7" s="1043"/>
    </row>
    <row r="8" spans="2:22" ht="41.25" customHeight="1" thickBot="1">
      <c r="B8" s="46"/>
      <c r="C8" s="1056"/>
      <c r="D8" s="1056"/>
      <c r="E8" s="53"/>
      <c r="F8" s="1037"/>
      <c r="G8" s="1033"/>
      <c r="H8" s="1033"/>
      <c r="I8" s="1033"/>
      <c r="J8" s="1028"/>
      <c r="K8" s="1035"/>
      <c r="L8" s="1041"/>
      <c r="N8" s="1058"/>
      <c r="O8" s="1033"/>
      <c r="P8" s="1028"/>
      <c r="Q8" s="1035"/>
      <c r="R8" s="1041"/>
      <c r="T8" s="1031"/>
      <c r="U8" s="1053"/>
      <c r="V8" s="1044"/>
    </row>
    <row r="9" spans="2:22" ht="26.25" customHeight="1" thickBot="1" thickTop="1">
      <c r="B9" s="31">
        <v>1</v>
      </c>
      <c r="C9" s="590" t="s">
        <v>221</v>
      </c>
      <c r="D9" s="256"/>
      <c r="E9" s="257"/>
      <c r="F9" s="591">
        <f>F10+F20+F24+F27+F28+F29+F30+F33+F34</f>
        <v>0</v>
      </c>
      <c r="G9" s="591">
        <f>G10+G20+G24+G27+G28+G29+G30+G33+G34</f>
        <v>20000</v>
      </c>
      <c r="H9" s="592">
        <f>H10+H20+H24+H27+H28+H29+H30+H33+H34</f>
        <v>199160</v>
      </c>
      <c r="I9" s="592">
        <f>I10+I20+I24+I27+I28+I29+I30+I33+I34</f>
        <v>10040</v>
      </c>
      <c r="J9" s="631">
        <f>SUM(F9:I9)</f>
        <v>229200</v>
      </c>
      <c r="K9" s="920">
        <f>K10+K20+K24+K27+K28+K29+K30+K33+K34</f>
        <v>26004</v>
      </c>
      <c r="L9" s="739">
        <f>K9+J9</f>
        <v>255204</v>
      </c>
      <c r="M9" s="281"/>
      <c r="N9" s="593">
        <f>N10+N20+N24+N27+N28+N29+N30+N33+N34</f>
        <v>17380</v>
      </c>
      <c r="O9" s="592">
        <f>O10+O20+O24+O27+O28+O29+O30+O33+O34</f>
        <v>18018</v>
      </c>
      <c r="P9" s="631">
        <f aca="true" t="shared" si="0" ref="P9:P25">SUM(N9:O9)</f>
        <v>35398</v>
      </c>
      <c r="Q9" s="924">
        <f>Q10+Q20+Q24+Q27+Q28+Q29+Q30+Q33+Q34</f>
        <v>0</v>
      </c>
      <c r="R9" s="745">
        <f>Q9+P9</f>
        <v>35398</v>
      </c>
      <c r="S9" s="281"/>
      <c r="T9" s="749">
        <f aca="true" t="shared" si="1" ref="T9:T30">J9+P9</f>
        <v>264598</v>
      </c>
      <c r="U9" s="932">
        <f aca="true" t="shared" si="2" ref="U9:U30">K9+Q9</f>
        <v>26004</v>
      </c>
      <c r="V9" s="873">
        <f aca="true" t="shared" si="3" ref="V9:V34">U9+T9</f>
        <v>290602</v>
      </c>
    </row>
    <row r="10" spans="2:22" ht="15.75" thickTop="1">
      <c r="B10" s="31">
        <f>B9+1</f>
        <v>2</v>
      </c>
      <c r="C10" s="42">
        <v>1</v>
      </c>
      <c r="D10" s="43" t="s">
        <v>152</v>
      </c>
      <c r="E10" s="44"/>
      <c r="F10" s="402"/>
      <c r="G10" s="403">
        <f>G11+G13+G14+G16+G17+G18+G19</f>
        <v>20000</v>
      </c>
      <c r="H10" s="403">
        <f>H11+H13+H14+H16+H17+H18+H19</f>
        <v>103520</v>
      </c>
      <c r="I10" s="403">
        <f>I11+I13+I14+I16+I17+I18+I19</f>
        <v>40</v>
      </c>
      <c r="J10" s="632">
        <f>SUM(F10:H10)</f>
        <v>123520</v>
      </c>
      <c r="K10" s="921">
        <f>SUM(K11:K19)</f>
        <v>29400</v>
      </c>
      <c r="L10" s="740">
        <f aca="true" t="shared" si="4" ref="L10:L34">K10+J10</f>
        <v>152920</v>
      </c>
      <c r="M10" s="199"/>
      <c r="N10" s="258"/>
      <c r="O10" s="162"/>
      <c r="P10" s="637">
        <f t="shared" si="0"/>
        <v>0</v>
      </c>
      <c r="Q10" s="925"/>
      <c r="R10" s="746">
        <f aca="true" t="shared" si="5" ref="R10:R34">Q10+P10</f>
        <v>0</v>
      </c>
      <c r="S10" s="199"/>
      <c r="T10" s="750">
        <f t="shared" si="1"/>
        <v>123520</v>
      </c>
      <c r="U10" s="931">
        <f t="shared" si="2"/>
        <v>29400</v>
      </c>
      <c r="V10" s="770">
        <f t="shared" si="3"/>
        <v>152920</v>
      </c>
    </row>
    <row r="11" spans="2:22" ht="12.75">
      <c r="B11" s="31">
        <f aca="true" t="shared" si="6" ref="B11:B33">B10+1</f>
        <v>3</v>
      </c>
      <c r="C11" s="147"/>
      <c r="D11" s="59" t="s">
        <v>6</v>
      </c>
      <c r="E11" s="325" t="s">
        <v>109</v>
      </c>
      <c r="F11" s="340"/>
      <c r="G11" s="341"/>
      <c r="H11" s="341">
        <v>17000</v>
      </c>
      <c r="I11" s="413"/>
      <c r="J11" s="633">
        <f aca="true" t="shared" si="7" ref="J11:J30">SUM(F11:H11)</f>
        <v>17000</v>
      </c>
      <c r="K11" s="633"/>
      <c r="L11" s="633">
        <f t="shared" si="4"/>
        <v>17000</v>
      </c>
      <c r="M11" s="36"/>
      <c r="N11" s="346"/>
      <c r="O11" s="347"/>
      <c r="P11" s="638">
        <f t="shared" si="0"/>
        <v>0</v>
      </c>
      <c r="Q11" s="638"/>
      <c r="R11" s="638">
        <f t="shared" si="5"/>
        <v>0</v>
      </c>
      <c r="S11" s="36"/>
      <c r="T11" s="504">
        <f t="shared" si="1"/>
        <v>17000</v>
      </c>
      <c r="U11" s="504">
        <f t="shared" si="2"/>
        <v>0</v>
      </c>
      <c r="V11" s="517">
        <f t="shared" si="3"/>
        <v>17000</v>
      </c>
    </row>
    <row r="12" spans="2:22" ht="12.75">
      <c r="B12" s="31">
        <f t="shared" si="6"/>
        <v>4</v>
      </c>
      <c r="C12" s="147"/>
      <c r="D12" s="147"/>
      <c r="E12" s="547" t="s">
        <v>367</v>
      </c>
      <c r="F12" s="334"/>
      <c r="G12" s="335"/>
      <c r="H12" s="335">
        <v>2031</v>
      </c>
      <c r="I12" s="361"/>
      <c r="J12" s="634">
        <f t="shared" si="7"/>
        <v>2031</v>
      </c>
      <c r="K12" s="634"/>
      <c r="L12" s="634">
        <f t="shared" si="4"/>
        <v>2031</v>
      </c>
      <c r="M12" s="36"/>
      <c r="N12" s="367"/>
      <c r="O12" s="353"/>
      <c r="P12" s="639">
        <f t="shared" si="0"/>
        <v>0</v>
      </c>
      <c r="Q12" s="639"/>
      <c r="R12" s="639">
        <f t="shared" si="5"/>
        <v>0</v>
      </c>
      <c r="S12" s="36"/>
      <c r="T12" s="549">
        <f t="shared" si="1"/>
        <v>2031</v>
      </c>
      <c r="U12" s="549">
        <f t="shared" si="2"/>
        <v>0</v>
      </c>
      <c r="V12" s="518">
        <f t="shared" si="3"/>
        <v>2031</v>
      </c>
    </row>
    <row r="13" spans="2:22" ht="12.75">
      <c r="B13" s="31">
        <f t="shared" si="6"/>
        <v>5</v>
      </c>
      <c r="C13" s="147"/>
      <c r="D13" s="59" t="s">
        <v>7</v>
      </c>
      <c r="E13" s="325" t="s">
        <v>331</v>
      </c>
      <c r="F13" s="340"/>
      <c r="G13" s="341"/>
      <c r="H13" s="342">
        <v>0</v>
      </c>
      <c r="I13" s="413"/>
      <c r="J13" s="633">
        <f t="shared" si="7"/>
        <v>0</v>
      </c>
      <c r="K13" s="633"/>
      <c r="L13" s="633">
        <f t="shared" si="4"/>
        <v>0</v>
      </c>
      <c r="M13" s="36"/>
      <c r="N13" s="346"/>
      <c r="O13" s="347"/>
      <c r="P13" s="638">
        <f t="shared" si="0"/>
        <v>0</v>
      </c>
      <c r="Q13" s="638"/>
      <c r="R13" s="638">
        <f t="shared" si="5"/>
        <v>0</v>
      </c>
      <c r="S13" s="36"/>
      <c r="T13" s="504">
        <f t="shared" si="1"/>
        <v>0</v>
      </c>
      <c r="U13" s="504">
        <f t="shared" si="2"/>
        <v>0</v>
      </c>
      <c r="V13" s="517">
        <f t="shared" si="3"/>
        <v>0</v>
      </c>
    </row>
    <row r="14" spans="2:22" ht="12.75">
      <c r="B14" s="31">
        <f t="shared" si="6"/>
        <v>6</v>
      </c>
      <c r="C14" s="148"/>
      <c r="D14" s="59" t="s">
        <v>8</v>
      </c>
      <c r="E14" s="325" t="s">
        <v>138</v>
      </c>
      <c r="F14" s="340"/>
      <c r="G14" s="341"/>
      <c r="H14" s="342">
        <f>H15</f>
        <v>260</v>
      </c>
      <c r="I14" s="413"/>
      <c r="J14" s="633">
        <f t="shared" si="7"/>
        <v>260</v>
      </c>
      <c r="K14" s="633"/>
      <c r="L14" s="633">
        <f t="shared" si="4"/>
        <v>260</v>
      </c>
      <c r="M14" s="36"/>
      <c r="N14" s="346"/>
      <c r="O14" s="347"/>
      <c r="P14" s="638">
        <f t="shared" si="0"/>
        <v>0</v>
      </c>
      <c r="Q14" s="638"/>
      <c r="R14" s="638">
        <f t="shared" si="5"/>
        <v>0</v>
      </c>
      <c r="S14" s="36"/>
      <c r="T14" s="504">
        <f t="shared" si="1"/>
        <v>260</v>
      </c>
      <c r="U14" s="504">
        <f t="shared" si="2"/>
        <v>0</v>
      </c>
      <c r="V14" s="517">
        <f t="shared" si="3"/>
        <v>260</v>
      </c>
    </row>
    <row r="15" spans="2:22" ht="12.75">
      <c r="B15" s="31">
        <f t="shared" si="6"/>
        <v>7</v>
      </c>
      <c r="C15" s="147"/>
      <c r="D15" s="147"/>
      <c r="E15" s="547" t="s">
        <v>367</v>
      </c>
      <c r="F15" s="334"/>
      <c r="G15" s="335"/>
      <c r="H15" s="335">
        <v>260</v>
      </c>
      <c r="I15" s="361"/>
      <c r="J15" s="634">
        <f>SUM(F15:H15)</f>
        <v>260</v>
      </c>
      <c r="K15" s="634"/>
      <c r="L15" s="634">
        <f t="shared" si="4"/>
        <v>260</v>
      </c>
      <c r="M15" s="36"/>
      <c r="N15" s="367"/>
      <c r="O15" s="353"/>
      <c r="P15" s="639">
        <f t="shared" si="0"/>
        <v>0</v>
      </c>
      <c r="Q15" s="639"/>
      <c r="R15" s="639">
        <f t="shared" si="5"/>
        <v>0</v>
      </c>
      <c r="S15" s="36"/>
      <c r="T15" s="549">
        <f t="shared" si="1"/>
        <v>260</v>
      </c>
      <c r="U15" s="549">
        <f t="shared" si="2"/>
        <v>0</v>
      </c>
      <c r="V15" s="518">
        <f t="shared" si="3"/>
        <v>260</v>
      </c>
    </row>
    <row r="16" spans="2:22" ht="12.75">
      <c r="B16" s="31">
        <f t="shared" si="6"/>
        <v>8</v>
      </c>
      <c r="C16" s="148"/>
      <c r="D16" s="59" t="s">
        <v>9</v>
      </c>
      <c r="E16" s="325" t="s">
        <v>268</v>
      </c>
      <c r="F16" s="340"/>
      <c r="G16" s="341"/>
      <c r="H16" s="342">
        <v>10600</v>
      </c>
      <c r="I16" s="413"/>
      <c r="J16" s="633">
        <f t="shared" si="7"/>
        <v>10600</v>
      </c>
      <c r="K16" s="633"/>
      <c r="L16" s="633">
        <f t="shared" si="4"/>
        <v>10600</v>
      </c>
      <c r="M16" s="36"/>
      <c r="N16" s="346"/>
      <c r="O16" s="347"/>
      <c r="P16" s="638">
        <f t="shared" si="0"/>
        <v>0</v>
      </c>
      <c r="Q16" s="638"/>
      <c r="R16" s="638">
        <f t="shared" si="5"/>
        <v>0</v>
      </c>
      <c r="S16" s="36"/>
      <c r="T16" s="504">
        <f t="shared" si="1"/>
        <v>10600</v>
      </c>
      <c r="U16" s="504">
        <f t="shared" si="2"/>
        <v>0</v>
      </c>
      <c r="V16" s="517">
        <f t="shared" si="3"/>
        <v>10600</v>
      </c>
    </row>
    <row r="17" spans="2:22" ht="12.75">
      <c r="B17" s="31">
        <f t="shared" si="6"/>
        <v>9</v>
      </c>
      <c r="C17" s="148"/>
      <c r="D17" s="59" t="s">
        <v>10</v>
      </c>
      <c r="E17" s="325" t="s">
        <v>266</v>
      </c>
      <c r="F17" s="340"/>
      <c r="G17" s="341"/>
      <c r="H17" s="342">
        <v>6000</v>
      </c>
      <c r="I17" s="413"/>
      <c r="J17" s="633">
        <f t="shared" si="7"/>
        <v>6000</v>
      </c>
      <c r="K17" s="633">
        <v>2000</v>
      </c>
      <c r="L17" s="633">
        <f t="shared" si="4"/>
        <v>8000</v>
      </c>
      <c r="M17" s="36"/>
      <c r="N17" s="346"/>
      <c r="O17" s="347"/>
      <c r="P17" s="647">
        <f t="shared" si="0"/>
        <v>0</v>
      </c>
      <c r="Q17" s="638"/>
      <c r="R17" s="638">
        <f t="shared" si="5"/>
        <v>0</v>
      </c>
      <c r="S17" s="36"/>
      <c r="T17" s="504">
        <f t="shared" si="1"/>
        <v>6000</v>
      </c>
      <c r="U17" s="504">
        <f t="shared" si="2"/>
        <v>2000</v>
      </c>
      <c r="V17" s="517">
        <f t="shared" si="3"/>
        <v>8000</v>
      </c>
    </row>
    <row r="18" spans="2:22" ht="13.5" customHeight="1">
      <c r="B18" s="31">
        <f t="shared" si="6"/>
        <v>10</v>
      </c>
      <c r="C18" s="148"/>
      <c r="D18" s="59" t="s">
        <v>273</v>
      </c>
      <c r="E18" s="325" t="s">
        <v>110</v>
      </c>
      <c r="F18" s="340"/>
      <c r="G18" s="341">
        <v>20000</v>
      </c>
      <c r="H18" s="342">
        <f>89700-20040</f>
        <v>69660</v>
      </c>
      <c r="I18" s="413">
        <v>40</v>
      </c>
      <c r="J18" s="633">
        <f t="shared" si="7"/>
        <v>89660</v>
      </c>
      <c r="K18" s="633">
        <v>24700</v>
      </c>
      <c r="L18" s="633">
        <f t="shared" si="4"/>
        <v>114360</v>
      </c>
      <c r="M18" s="36"/>
      <c r="N18" s="505"/>
      <c r="O18" s="338"/>
      <c r="P18" s="647">
        <f t="shared" si="0"/>
        <v>0</v>
      </c>
      <c r="Q18" s="638"/>
      <c r="R18" s="638">
        <f t="shared" si="5"/>
        <v>0</v>
      </c>
      <c r="S18" s="36"/>
      <c r="T18" s="504">
        <f t="shared" si="1"/>
        <v>89660</v>
      </c>
      <c r="U18" s="756">
        <f t="shared" si="2"/>
        <v>24700</v>
      </c>
      <c r="V18" s="753">
        <f t="shared" si="3"/>
        <v>114360</v>
      </c>
    </row>
    <row r="19" spans="2:22" ht="13.5" customHeight="1">
      <c r="B19" s="31">
        <f t="shared" si="6"/>
        <v>11</v>
      </c>
      <c r="C19" s="147"/>
      <c r="D19" s="59" t="s">
        <v>278</v>
      </c>
      <c r="E19" s="325" t="s">
        <v>322</v>
      </c>
      <c r="F19" s="340"/>
      <c r="G19" s="341"/>
      <c r="H19" s="342">
        <v>0</v>
      </c>
      <c r="I19" s="413"/>
      <c r="J19" s="633">
        <f t="shared" si="7"/>
        <v>0</v>
      </c>
      <c r="K19" s="633">
        <v>2700</v>
      </c>
      <c r="L19" s="633">
        <f t="shared" si="4"/>
        <v>2700</v>
      </c>
      <c r="M19" s="36"/>
      <c r="N19" s="506"/>
      <c r="O19" s="341"/>
      <c r="P19" s="647">
        <f t="shared" si="0"/>
        <v>0</v>
      </c>
      <c r="Q19" s="638"/>
      <c r="R19" s="638">
        <f t="shared" si="5"/>
        <v>0</v>
      </c>
      <c r="S19" s="36"/>
      <c r="T19" s="753">
        <f t="shared" si="1"/>
        <v>0</v>
      </c>
      <c r="U19" s="756">
        <f t="shared" si="2"/>
        <v>2700</v>
      </c>
      <c r="V19" s="753">
        <f t="shared" si="3"/>
        <v>2700</v>
      </c>
    </row>
    <row r="20" spans="2:22" ht="15">
      <c r="B20" s="31">
        <f t="shared" si="6"/>
        <v>12</v>
      </c>
      <c r="C20" s="42">
        <v>2</v>
      </c>
      <c r="D20" s="43" t="s">
        <v>279</v>
      </c>
      <c r="E20" s="44"/>
      <c r="F20" s="402"/>
      <c r="G20" s="403"/>
      <c r="H20" s="403">
        <v>5000</v>
      </c>
      <c r="I20" s="402"/>
      <c r="J20" s="635">
        <f t="shared" si="7"/>
        <v>5000</v>
      </c>
      <c r="K20" s="922"/>
      <c r="L20" s="743">
        <f t="shared" si="4"/>
        <v>5000</v>
      </c>
      <c r="M20" s="199"/>
      <c r="N20" s="258">
        <f>SUM(N21:N23)</f>
        <v>17380</v>
      </c>
      <c r="O20" s="162">
        <f>O21+O23</f>
        <v>18018</v>
      </c>
      <c r="P20" s="642">
        <f aca="true" t="shared" si="8" ref="P20:P34">SUM(N20:O20)</f>
        <v>35398</v>
      </c>
      <c r="Q20" s="926"/>
      <c r="R20" s="747">
        <f t="shared" si="5"/>
        <v>35398</v>
      </c>
      <c r="S20" s="199"/>
      <c r="T20" s="754">
        <f t="shared" si="1"/>
        <v>40398</v>
      </c>
      <c r="U20" s="929">
        <f t="shared" si="2"/>
        <v>0</v>
      </c>
      <c r="V20" s="771">
        <f t="shared" si="3"/>
        <v>40398</v>
      </c>
    </row>
    <row r="21" spans="2:22" ht="12.75">
      <c r="B21" s="31">
        <f t="shared" si="6"/>
        <v>13</v>
      </c>
      <c r="C21" s="147"/>
      <c r="D21" s="147"/>
      <c r="E21" s="547" t="s">
        <v>367</v>
      </c>
      <c r="F21" s="334"/>
      <c r="G21" s="335"/>
      <c r="H21" s="335">
        <v>702</v>
      </c>
      <c r="I21" s="361"/>
      <c r="J21" s="634">
        <f>SUM(F21:H21)</f>
        <v>702</v>
      </c>
      <c r="K21" s="634"/>
      <c r="L21" s="634">
        <f t="shared" si="4"/>
        <v>702</v>
      </c>
      <c r="M21" s="36"/>
      <c r="N21" s="369"/>
      <c r="O21" s="332">
        <v>8298</v>
      </c>
      <c r="P21" s="640">
        <f t="shared" si="0"/>
        <v>8298</v>
      </c>
      <c r="Q21" s="640"/>
      <c r="R21" s="640">
        <f t="shared" si="5"/>
        <v>8298</v>
      </c>
      <c r="S21" s="36"/>
      <c r="T21" s="453">
        <f t="shared" si="1"/>
        <v>9000</v>
      </c>
      <c r="U21" s="573">
        <f t="shared" si="2"/>
        <v>0</v>
      </c>
      <c r="V21" s="453">
        <f t="shared" si="3"/>
        <v>9000</v>
      </c>
    </row>
    <row r="22" spans="2:22" ht="12.75">
      <c r="B22" s="31">
        <f t="shared" si="6"/>
        <v>14</v>
      </c>
      <c r="C22" s="147"/>
      <c r="D22" s="147"/>
      <c r="E22" s="547" t="s">
        <v>395</v>
      </c>
      <c r="F22" s="334"/>
      <c r="G22" s="335"/>
      <c r="H22" s="335">
        <f>H20-H21</f>
        <v>4298</v>
      </c>
      <c r="I22" s="361"/>
      <c r="J22" s="634">
        <f>SUM(F22:H22)</f>
        <v>4298</v>
      </c>
      <c r="K22" s="634"/>
      <c r="L22" s="634">
        <f t="shared" si="4"/>
        <v>4298</v>
      </c>
      <c r="M22" s="36"/>
      <c r="N22" s="369"/>
      <c r="O22" s="332"/>
      <c r="P22" s="640">
        <f t="shared" si="0"/>
        <v>0</v>
      </c>
      <c r="Q22" s="640"/>
      <c r="R22" s="640">
        <f t="shared" si="5"/>
        <v>0</v>
      </c>
      <c r="S22" s="36"/>
      <c r="T22" s="453">
        <f t="shared" si="1"/>
        <v>4298</v>
      </c>
      <c r="U22" s="573">
        <f t="shared" si="2"/>
        <v>0</v>
      </c>
      <c r="V22" s="453">
        <f t="shared" si="3"/>
        <v>4298</v>
      </c>
    </row>
    <row r="23" spans="2:22" ht="12.75">
      <c r="B23" s="31">
        <f t="shared" si="6"/>
        <v>15</v>
      </c>
      <c r="C23" s="147"/>
      <c r="D23" s="147"/>
      <c r="E23" s="547" t="s">
        <v>385</v>
      </c>
      <c r="F23" s="334"/>
      <c r="G23" s="335"/>
      <c r="H23" s="335"/>
      <c r="I23" s="361"/>
      <c r="J23" s="634">
        <v>0</v>
      </c>
      <c r="K23" s="634"/>
      <c r="L23" s="634">
        <f t="shared" si="4"/>
        <v>0</v>
      </c>
      <c r="M23" s="36"/>
      <c r="N23" s="371">
        <v>17380</v>
      </c>
      <c r="O23" s="335">
        <f>27100-17380</f>
        <v>9720</v>
      </c>
      <c r="P23" s="641">
        <f t="shared" si="0"/>
        <v>27100</v>
      </c>
      <c r="Q23" s="641"/>
      <c r="R23" s="641">
        <f t="shared" si="5"/>
        <v>27100</v>
      </c>
      <c r="S23" s="36"/>
      <c r="T23" s="453">
        <f t="shared" si="1"/>
        <v>27100</v>
      </c>
      <c r="U23" s="573">
        <f t="shared" si="2"/>
        <v>0</v>
      </c>
      <c r="V23" s="453">
        <f t="shared" si="3"/>
        <v>27100</v>
      </c>
    </row>
    <row r="24" spans="2:22" ht="15">
      <c r="B24" s="31">
        <f t="shared" si="6"/>
        <v>16</v>
      </c>
      <c r="C24" s="37">
        <v>3</v>
      </c>
      <c r="D24" s="38" t="s">
        <v>222</v>
      </c>
      <c r="E24" s="39"/>
      <c r="F24" s="439"/>
      <c r="G24" s="440"/>
      <c r="H24" s="440">
        <f>15000+H25-45</f>
        <v>16640</v>
      </c>
      <c r="I24" s="439"/>
      <c r="J24" s="635">
        <f>SUM(F24:H24)</f>
        <v>16640</v>
      </c>
      <c r="K24" s="922"/>
      <c r="L24" s="743">
        <f t="shared" si="4"/>
        <v>16640</v>
      </c>
      <c r="M24" s="199"/>
      <c r="N24" s="258"/>
      <c r="O24" s="162"/>
      <c r="P24" s="637">
        <f t="shared" si="8"/>
        <v>0</v>
      </c>
      <c r="Q24" s="925"/>
      <c r="R24" s="746">
        <f t="shared" si="5"/>
        <v>0</v>
      </c>
      <c r="S24" s="264"/>
      <c r="T24" s="754">
        <f t="shared" si="1"/>
        <v>16640</v>
      </c>
      <c r="U24" s="929">
        <f t="shared" si="2"/>
        <v>0</v>
      </c>
      <c r="V24" s="771">
        <f t="shared" si="3"/>
        <v>16640</v>
      </c>
    </row>
    <row r="25" spans="2:22" ht="12.75">
      <c r="B25" s="31">
        <f t="shared" si="6"/>
        <v>17</v>
      </c>
      <c r="C25" s="147"/>
      <c r="D25" s="147"/>
      <c r="E25" s="547" t="s">
        <v>367</v>
      </c>
      <c r="F25" s="334"/>
      <c r="G25" s="335"/>
      <c r="H25" s="335">
        <v>1685</v>
      </c>
      <c r="I25" s="361"/>
      <c r="J25" s="634">
        <f t="shared" si="7"/>
        <v>1685</v>
      </c>
      <c r="K25" s="634"/>
      <c r="L25" s="634">
        <f t="shared" si="4"/>
        <v>1685</v>
      </c>
      <c r="M25" s="36"/>
      <c r="N25" s="367"/>
      <c r="O25" s="353"/>
      <c r="P25" s="640">
        <f t="shared" si="0"/>
        <v>0</v>
      </c>
      <c r="Q25" s="640"/>
      <c r="R25" s="640">
        <f t="shared" si="5"/>
        <v>0</v>
      </c>
      <c r="S25" s="36"/>
      <c r="T25" s="453">
        <f t="shared" si="1"/>
        <v>1685</v>
      </c>
      <c r="U25" s="573">
        <f t="shared" si="2"/>
        <v>0</v>
      </c>
      <c r="V25" s="453">
        <f t="shared" si="3"/>
        <v>1685</v>
      </c>
    </row>
    <row r="26" spans="2:22" ht="12.75">
      <c r="B26" s="31">
        <f t="shared" si="6"/>
        <v>18</v>
      </c>
      <c r="C26" s="147"/>
      <c r="D26" s="147"/>
      <c r="E26" s="547" t="s">
        <v>395</v>
      </c>
      <c r="F26" s="334"/>
      <c r="G26" s="335"/>
      <c r="H26" s="335">
        <f>H24-H25</f>
        <v>14955</v>
      </c>
      <c r="I26" s="361"/>
      <c r="J26" s="634">
        <f>SUM(F26:H26)</f>
        <v>14955</v>
      </c>
      <c r="K26" s="634"/>
      <c r="L26" s="634">
        <f t="shared" si="4"/>
        <v>14955</v>
      </c>
      <c r="M26" s="36"/>
      <c r="N26" s="367"/>
      <c r="O26" s="353"/>
      <c r="P26" s="640">
        <f>SUM(N26:O26)</f>
        <v>0</v>
      </c>
      <c r="Q26" s="640"/>
      <c r="R26" s="640">
        <f t="shared" si="5"/>
        <v>0</v>
      </c>
      <c r="S26" s="36"/>
      <c r="T26" s="453">
        <f t="shared" si="1"/>
        <v>14955</v>
      </c>
      <c r="U26" s="573">
        <f t="shared" si="2"/>
        <v>0</v>
      </c>
      <c r="V26" s="453">
        <f t="shared" si="3"/>
        <v>14955</v>
      </c>
    </row>
    <row r="27" spans="2:22" ht="13.5" customHeight="1">
      <c r="B27" s="31">
        <f t="shared" si="6"/>
        <v>19</v>
      </c>
      <c r="C27" s="37">
        <v>4</v>
      </c>
      <c r="D27" s="38" t="s">
        <v>153</v>
      </c>
      <c r="E27" s="39"/>
      <c r="F27" s="439"/>
      <c r="G27" s="440"/>
      <c r="H27" s="440"/>
      <c r="I27" s="439"/>
      <c r="J27" s="635">
        <f t="shared" si="7"/>
        <v>0</v>
      </c>
      <c r="K27" s="922"/>
      <c r="L27" s="743">
        <f t="shared" si="4"/>
        <v>0</v>
      </c>
      <c r="M27" s="199"/>
      <c r="N27" s="263"/>
      <c r="O27" s="164"/>
      <c r="P27" s="637">
        <f t="shared" si="8"/>
        <v>0</v>
      </c>
      <c r="Q27" s="925"/>
      <c r="R27" s="746">
        <f t="shared" si="5"/>
        <v>0</v>
      </c>
      <c r="S27" s="264"/>
      <c r="T27" s="750">
        <f t="shared" si="1"/>
        <v>0</v>
      </c>
      <c r="U27" s="931">
        <f t="shared" si="2"/>
        <v>0</v>
      </c>
      <c r="V27" s="770">
        <f t="shared" si="3"/>
        <v>0</v>
      </c>
    </row>
    <row r="28" spans="2:22" ht="15">
      <c r="B28" s="31">
        <f t="shared" si="6"/>
        <v>20</v>
      </c>
      <c r="C28" s="37">
        <v>5</v>
      </c>
      <c r="D28" s="38" t="s">
        <v>469</v>
      </c>
      <c r="E28" s="39"/>
      <c r="F28" s="439"/>
      <c r="G28" s="440"/>
      <c r="H28" s="440"/>
      <c r="I28" s="439"/>
      <c r="J28" s="635">
        <f t="shared" si="7"/>
        <v>0</v>
      </c>
      <c r="K28" s="922"/>
      <c r="L28" s="743">
        <f t="shared" si="4"/>
        <v>0</v>
      </c>
      <c r="M28" s="199"/>
      <c r="N28" s="263"/>
      <c r="O28" s="164"/>
      <c r="P28" s="637">
        <f t="shared" si="8"/>
        <v>0</v>
      </c>
      <c r="Q28" s="925"/>
      <c r="R28" s="746">
        <f t="shared" si="5"/>
        <v>0</v>
      </c>
      <c r="S28" s="264"/>
      <c r="T28" s="751">
        <f t="shared" si="1"/>
        <v>0</v>
      </c>
      <c r="U28" s="929">
        <f t="shared" si="2"/>
        <v>0</v>
      </c>
      <c r="V28" s="771">
        <f t="shared" si="3"/>
        <v>0</v>
      </c>
    </row>
    <row r="29" spans="2:22" ht="15">
      <c r="B29" s="31">
        <f t="shared" si="6"/>
        <v>21</v>
      </c>
      <c r="C29" s="37">
        <v>6</v>
      </c>
      <c r="D29" s="38" t="s">
        <v>154</v>
      </c>
      <c r="E29" s="39"/>
      <c r="F29" s="439"/>
      <c r="G29" s="440"/>
      <c r="H29" s="440"/>
      <c r="I29" s="439"/>
      <c r="J29" s="635">
        <f t="shared" si="7"/>
        <v>0</v>
      </c>
      <c r="K29" s="922"/>
      <c r="L29" s="743">
        <f t="shared" si="4"/>
        <v>0</v>
      </c>
      <c r="M29" s="199"/>
      <c r="N29" s="263"/>
      <c r="O29" s="164"/>
      <c r="P29" s="637">
        <f t="shared" si="8"/>
        <v>0</v>
      </c>
      <c r="Q29" s="925"/>
      <c r="R29" s="746">
        <f t="shared" si="5"/>
        <v>0</v>
      </c>
      <c r="S29" s="264"/>
      <c r="T29" s="751">
        <f t="shared" si="1"/>
        <v>0</v>
      </c>
      <c r="U29" s="929">
        <f t="shared" si="2"/>
        <v>0</v>
      </c>
      <c r="V29" s="771">
        <f t="shared" si="3"/>
        <v>0</v>
      </c>
    </row>
    <row r="30" spans="2:22" ht="15.75" customHeight="1">
      <c r="B30" s="31">
        <f t="shared" si="6"/>
        <v>22</v>
      </c>
      <c r="C30" s="37">
        <v>7</v>
      </c>
      <c r="D30" s="38" t="s">
        <v>470</v>
      </c>
      <c r="E30" s="39"/>
      <c r="F30" s="439"/>
      <c r="G30" s="440"/>
      <c r="H30" s="440">
        <f>H31+H32</f>
        <v>74000</v>
      </c>
      <c r="I30" s="439"/>
      <c r="J30" s="635">
        <f t="shared" si="7"/>
        <v>74000</v>
      </c>
      <c r="K30" s="922"/>
      <c r="L30" s="743">
        <f t="shared" si="4"/>
        <v>74000</v>
      </c>
      <c r="M30" s="199"/>
      <c r="N30" s="263"/>
      <c r="O30" s="164"/>
      <c r="P30" s="637">
        <f t="shared" si="8"/>
        <v>0</v>
      </c>
      <c r="Q30" s="925"/>
      <c r="R30" s="746">
        <f t="shared" si="5"/>
        <v>0</v>
      </c>
      <c r="S30" s="264"/>
      <c r="T30" s="751">
        <f t="shared" si="1"/>
        <v>74000</v>
      </c>
      <c r="U30" s="929">
        <f t="shared" si="2"/>
        <v>0</v>
      </c>
      <c r="V30" s="771">
        <f t="shared" si="3"/>
        <v>74000</v>
      </c>
    </row>
    <row r="31" spans="2:22" ht="12.75">
      <c r="B31" s="31">
        <f t="shared" si="6"/>
        <v>23</v>
      </c>
      <c r="C31" s="147"/>
      <c r="D31" s="147"/>
      <c r="E31" s="547" t="s">
        <v>367</v>
      </c>
      <c r="F31" s="334"/>
      <c r="G31" s="335"/>
      <c r="H31" s="335">
        <v>3101</v>
      </c>
      <c r="I31" s="361"/>
      <c r="J31" s="634">
        <f>SUM(F31:H31)</f>
        <v>3101</v>
      </c>
      <c r="K31" s="634"/>
      <c r="L31" s="634">
        <f t="shared" si="4"/>
        <v>3101</v>
      </c>
      <c r="M31" s="36"/>
      <c r="N31" s="367"/>
      <c r="O31" s="353"/>
      <c r="P31" s="639">
        <f>SUM(N31:O31)</f>
        <v>0</v>
      </c>
      <c r="Q31" s="639"/>
      <c r="R31" s="639">
        <f t="shared" si="5"/>
        <v>0</v>
      </c>
      <c r="S31" s="36"/>
      <c r="T31" s="573">
        <f>J31</f>
        <v>3101</v>
      </c>
      <c r="U31" s="573">
        <f>K31</f>
        <v>0</v>
      </c>
      <c r="V31" s="453">
        <f t="shared" si="3"/>
        <v>3101</v>
      </c>
    </row>
    <row r="32" spans="2:22" ht="12.75">
      <c r="B32" s="31">
        <f t="shared" si="6"/>
        <v>24</v>
      </c>
      <c r="C32" s="147"/>
      <c r="D32" s="147"/>
      <c r="E32" s="547" t="s">
        <v>395</v>
      </c>
      <c r="F32" s="334"/>
      <c r="G32" s="335"/>
      <c r="H32" s="335">
        <v>70899</v>
      </c>
      <c r="I32" s="361"/>
      <c r="J32" s="634">
        <f>SUM(F32:H32)</f>
        <v>70899</v>
      </c>
      <c r="K32" s="634"/>
      <c r="L32" s="634">
        <f t="shared" si="4"/>
        <v>70899</v>
      </c>
      <c r="M32" s="36"/>
      <c r="N32" s="367"/>
      <c r="O32" s="353"/>
      <c r="P32" s="640">
        <f>SUM(N32:O32)</f>
        <v>0</v>
      </c>
      <c r="Q32" s="640"/>
      <c r="R32" s="640">
        <f t="shared" si="5"/>
        <v>0</v>
      </c>
      <c r="S32" s="36"/>
      <c r="T32" s="573">
        <f aca="true" t="shared" si="9" ref="T32:U34">J32+P32</f>
        <v>70899</v>
      </c>
      <c r="U32" s="573">
        <f t="shared" si="9"/>
        <v>0</v>
      </c>
      <c r="V32" s="453">
        <f t="shared" si="3"/>
        <v>70899</v>
      </c>
    </row>
    <row r="33" spans="2:22" ht="13.5" customHeight="1">
      <c r="B33" s="31">
        <f t="shared" si="6"/>
        <v>25</v>
      </c>
      <c r="C33" s="37">
        <v>8</v>
      </c>
      <c r="D33" s="38" t="s">
        <v>468</v>
      </c>
      <c r="E33" s="39"/>
      <c r="F33" s="439"/>
      <c r="G33" s="440"/>
      <c r="H33" s="440"/>
      <c r="I33" s="439">
        <v>10000</v>
      </c>
      <c r="J33" s="635">
        <f>SUM(F33:I33)</f>
        <v>10000</v>
      </c>
      <c r="K33" s="922">
        <v>-3396</v>
      </c>
      <c r="L33" s="743">
        <f t="shared" si="4"/>
        <v>6604</v>
      </c>
      <c r="M33" s="199"/>
      <c r="N33" s="263"/>
      <c r="O33" s="164"/>
      <c r="P33" s="642">
        <f t="shared" si="8"/>
        <v>0</v>
      </c>
      <c r="Q33" s="927"/>
      <c r="R33" s="747">
        <f t="shared" si="5"/>
        <v>0</v>
      </c>
      <c r="S33" s="264"/>
      <c r="T33" s="751">
        <f t="shared" si="9"/>
        <v>10000</v>
      </c>
      <c r="U33" s="929">
        <f t="shared" si="9"/>
        <v>-3396</v>
      </c>
      <c r="V33" s="771">
        <f t="shared" si="3"/>
        <v>6604</v>
      </c>
    </row>
    <row r="34" spans="2:22" ht="15.75" thickBot="1">
      <c r="B34" s="32">
        <f>B33+1</f>
        <v>26</v>
      </c>
      <c r="C34" s="56">
        <v>9</v>
      </c>
      <c r="D34" s="57" t="s">
        <v>155</v>
      </c>
      <c r="E34" s="58"/>
      <c r="F34" s="404"/>
      <c r="G34" s="405"/>
      <c r="H34" s="405"/>
      <c r="I34" s="404"/>
      <c r="J34" s="636">
        <v>0</v>
      </c>
      <c r="K34" s="923"/>
      <c r="L34" s="744">
        <f t="shared" si="4"/>
        <v>0</v>
      </c>
      <c r="M34" s="558"/>
      <c r="N34" s="265"/>
      <c r="O34" s="168"/>
      <c r="P34" s="643">
        <f t="shared" si="8"/>
        <v>0</v>
      </c>
      <c r="Q34" s="928"/>
      <c r="R34" s="748">
        <f t="shared" si="5"/>
        <v>0</v>
      </c>
      <c r="S34" s="559"/>
      <c r="T34" s="752">
        <f t="shared" si="9"/>
        <v>0</v>
      </c>
      <c r="U34" s="930">
        <f t="shared" si="9"/>
        <v>0</v>
      </c>
      <c r="V34" s="849">
        <f t="shared" si="3"/>
        <v>0</v>
      </c>
    </row>
    <row r="36" spans="2:20" ht="12.75">
      <c r="B36" s="176"/>
      <c r="C36" s="176"/>
      <c r="D36" s="176"/>
      <c r="E36" s="176"/>
      <c r="F36" s="176"/>
      <c r="G36" s="176"/>
      <c r="J36" s="19"/>
      <c r="K36" s="19"/>
      <c r="L36" s="19"/>
      <c r="M36"/>
      <c r="N36"/>
      <c r="O36"/>
      <c r="P36"/>
      <c r="Q36"/>
      <c r="R36"/>
      <c r="S36"/>
      <c r="T36"/>
    </row>
    <row r="37" spans="2:20" ht="12.75">
      <c r="B37" s="176"/>
      <c r="C37" s="176"/>
      <c r="D37" s="176"/>
      <c r="E37" s="176"/>
      <c r="F37" s="176"/>
      <c r="G37" s="176"/>
      <c r="M37"/>
      <c r="N37"/>
      <c r="O37"/>
      <c r="P37"/>
      <c r="Q37"/>
      <c r="R37"/>
      <c r="S37"/>
      <c r="T37"/>
    </row>
    <row r="38" spans="2:20" ht="12.75">
      <c r="B38" s="176"/>
      <c r="C38" s="176"/>
      <c r="D38" s="176"/>
      <c r="E38" s="176"/>
      <c r="F38" s="176"/>
      <c r="G38" s="176"/>
      <c r="M38"/>
      <c r="N38"/>
      <c r="O38"/>
      <c r="P38"/>
      <c r="Q38"/>
      <c r="R38"/>
      <c r="S38"/>
      <c r="T38"/>
    </row>
    <row r="39" spans="2:20" ht="12.75">
      <c r="B39" s="176"/>
      <c r="C39" s="176"/>
      <c r="D39" s="176"/>
      <c r="E39" s="176"/>
      <c r="F39" s="176"/>
      <c r="G39" s="176"/>
      <c r="M39"/>
      <c r="N39"/>
      <c r="O39"/>
      <c r="P39"/>
      <c r="Q39"/>
      <c r="R39"/>
      <c r="S39"/>
      <c r="T39"/>
    </row>
    <row r="40" spans="2:20" ht="12.75">
      <c r="B40" s="176"/>
      <c r="C40" s="176"/>
      <c r="D40" s="176"/>
      <c r="E40" s="176"/>
      <c r="F40" s="176"/>
      <c r="G40" s="176"/>
      <c r="M40"/>
      <c r="N40"/>
      <c r="O40"/>
      <c r="P40"/>
      <c r="Q40"/>
      <c r="R40"/>
      <c r="S40"/>
      <c r="T40"/>
    </row>
    <row r="41" spans="2:20" ht="12.75">
      <c r="B41" s="176"/>
      <c r="C41" s="176"/>
      <c r="D41" s="176"/>
      <c r="E41" s="176"/>
      <c r="F41" s="176"/>
      <c r="G41" s="176"/>
      <c r="M41"/>
      <c r="N41"/>
      <c r="O41"/>
      <c r="P41"/>
      <c r="Q41"/>
      <c r="R41"/>
      <c r="S41"/>
      <c r="T41"/>
    </row>
    <row r="42" spans="2:20" ht="12.75">
      <c r="B42" s="176"/>
      <c r="C42" s="176"/>
      <c r="D42" s="176"/>
      <c r="E42" s="176"/>
      <c r="F42" s="176"/>
      <c r="G42" s="176"/>
      <c r="M42"/>
      <c r="N42"/>
      <c r="O42"/>
      <c r="P42"/>
      <c r="Q42"/>
      <c r="R42"/>
      <c r="S42"/>
      <c r="T42"/>
    </row>
    <row r="43" spans="2:20" ht="12.75">
      <c r="B43" s="176"/>
      <c r="C43" s="176"/>
      <c r="D43" s="176"/>
      <c r="E43" s="176"/>
      <c r="F43" s="176"/>
      <c r="G43" s="176"/>
      <c r="M43"/>
      <c r="N43"/>
      <c r="O43"/>
      <c r="P43"/>
      <c r="Q43"/>
      <c r="R43"/>
      <c r="S43"/>
      <c r="T43"/>
    </row>
    <row r="44" spans="2:20" ht="12.75">
      <c r="B44" s="176"/>
      <c r="C44" s="176"/>
      <c r="D44" s="176"/>
      <c r="E44" s="176"/>
      <c r="F44" s="176"/>
      <c r="G44" s="176"/>
      <c r="M44"/>
      <c r="N44"/>
      <c r="O44"/>
      <c r="P44"/>
      <c r="Q44"/>
      <c r="R44"/>
      <c r="S44"/>
      <c r="T44"/>
    </row>
    <row r="45" spans="2:20" ht="12.75">
      <c r="B45" s="176"/>
      <c r="C45" s="176"/>
      <c r="D45" s="176"/>
      <c r="E45" s="176"/>
      <c r="F45" s="176"/>
      <c r="G45" s="176"/>
      <c r="M45"/>
      <c r="N45"/>
      <c r="O45"/>
      <c r="P45"/>
      <c r="Q45"/>
      <c r="R45"/>
      <c r="S45"/>
      <c r="T45"/>
    </row>
    <row r="46" spans="2:20" ht="12.75">
      <c r="B46" s="176"/>
      <c r="C46" s="176"/>
      <c r="D46" s="176"/>
      <c r="E46" s="176"/>
      <c r="F46" s="176"/>
      <c r="G46" s="176"/>
      <c r="M46"/>
      <c r="N46"/>
      <c r="O46"/>
      <c r="P46"/>
      <c r="Q46"/>
      <c r="R46"/>
      <c r="S46"/>
      <c r="T46"/>
    </row>
  </sheetData>
  <sheetProtection/>
  <mergeCells count="22">
    <mergeCell ref="P7:P8"/>
    <mergeCell ref="D6:D8"/>
    <mergeCell ref="L7:L8"/>
    <mergeCell ref="I7:I8"/>
    <mergeCell ref="V4:V8"/>
    <mergeCell ref="Q7:Q8"/>
    <mergeCell ref="R7:R8"/>
    <mergeCell ref="B4:R4"/>
    <mergeCell ref="N5:R5"/>
    <mergeCell ref="U4:U8"/>
    <mergeCell ref="C6:C8"/>
    <mergeCell ref="N7:N8"/>
    <mergeCell ref="B5:L5"/>
    <mergeCell ref="E6:L6"/>
    <mergeCell ref="J7:J8"/>
    <mergeCell ref="T4:T8"/>
    <mergeCell ref="G7:G8"/>
    <mergeCell ref="K7:K8"/>
    <mergeCell ref="H7:H8"/>
    <mergeCell ref="F7:F8"/>
    <mergeCell ref="O7:O8"/>
    <mergeCell ref="N6:R6"/>
  </mergeCells>
  <printOptions/>
  <pageMargins left="0.17" right="0.17" top="0.73" bottom="0.708661417322834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6" customWidth="1"/>
    <col min="3" max="3" width="3.00390625" style="5" customWidth="1"/>
    <col min="4" max="4" width="2.28125" style="0" customWidth="1"/>
    <col min="5" max="5" width="49.00390625" style="0" customWidth="1"/>
    <col min="6" max="6" width="4.28125" style="0" customWidth="1"/>
    <col min="7" max="7" width="5.140625" style="0" customWidth="1"/>
    <col min="8" max="8" width="10.00390625" style="0" customWidth="1"/>
    <col min="9" max="9" width="8.57421875" style="0" customWidth="1"/>
    <col min="10" max="10" width="11.421875" style="0" customWidth="1"/>
    <col min="11" max="11" width="12.57421875" style="0" customWidth="1"/>
    <col min="12" max="12" width="11.421875" style="0" customWidth="1"/>
    <col min="13" max="13" width="2.00390625" style="0" customWidth="1"/>
    <col min="14" max="14" width="4.7109375" style="0" customWidth="1"/>
    <col min="15" max="15" width="7.421875" style="0" customWidth="1"/>
    <col min="16" max="16" width="13.00390625" style="0" customWidth="1"/>
    <col min="17" max="17" width="0.9921875" style="0" customWidth="1"/>
    <col min="18" max="18" width="10.421875" style="0" bestFit="1" customWidth="1"/>
    <col min="19" max="19" width="11.28125" style="0" customWidth="1"/>
    <col min="20" max="20" width="11.7109375" style="0" customWidth="1"/>
    <col min="21" max="21" width="2.57421875" style="0" customWidth="1"/>
  </cols>
  <sheetData>
    <row r="1" spans="10:13" ht="15.75" customHeight="1">
      <c r="J1" s="51"/>
      <c r="K1" s="51"/>
      <c r="L1" s="51"/>
      <c r="M1" s="51"/>
    </row>
    <row r="2" spans="2:20" ht="27">
      <c r="B2" s="981"/>
      <c r="C2" s="982" t="s">
        <v>239</v>
      </c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</row>
    <row r="3" spans="2:20" ht="13.5" customHeight="1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</row>
    <row r="4" spans="2:20" ht="12.75" customHeight="1" thickBot="1">
      <c r="B4" s="1061" t="s">
        <v>316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3"/>
      <c r="R4" s="1029" t="s">
        <v>450</v>
      </c>
      <c r="S4" s="1051" t="s">
        <v>451</v>
      </c>
      <c r="T4" s="1073" t="s">
        <v>452</v>
      </c>
    </row>
    <row r="5" spans="2:20" ht="18.75" customHeight="1" thickBot="1">
      <c r="B5" s="1067" t="s">
        <v>12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9"/>
      <c r="M5" s="455"/>
      <c r="N5" s="1064" t="s">
        <v>337</v>
      </c>
      <c r="O5" s="1065"/>
      <c r="P5" s="1066"/>
      <c r="R5" s="1030"/>
      <c r="S5" s="1052"/>
      <c r="T5" s="1074"/>
    </row>
    <row r="6" spans="2:20" ht="12.75" customHeight="1">
      <c r="B6" s="41"/>
      <c r="C6" s="447" t="s">
        <v>150</v>
      </c>
      <c r="D6" s="1054" t="s">
        <v>151</v>
      </c>
      <c r="E6" s="1070" t="s">
        <v>11</v>
      </c>
      <c r="F6" s="1071"/>
      <c r="G6" s="1071"/>
      <c r="H6" s="1071"/>
      <c r="I6" s="1071"/>
      <c r="J6" s="1071"/>
      <c r="K6" s="1071"/>
      <c r="L6" s="1072"/>
      <c r="M6" s="295"/>
      <c r="N6" s="1039" t="s">
        <v>11</v>
      </c>
      <c r="O6" s="1025"/>
      <c r="P6" s="1026"/>
      <c r="R6" s="1030"/>
      <c r="S6" s="1052"/>
      <c r="T6" s="1074"/>
    </row>
    <row r="7" spans="2:20" ht="36.75" customHeight="1">
      <c r="B7" s="41"/>
      <c r="C7" s="447"/>
      <c r="D7" s="1054"/>
      <c r="E7" s="441" t="s">
        <v>5</v>
      </c>
      <c r="F7" s="1038">
        <v>610</v>
      </c>
      <c r="G7" s="1060">
        <v>620</v>
      </c>
      <c r="H7" s="1038">
        <v>630</v>
      </c>
      <c r="I7" s="1038">
        <v>640</v>
      </c>
      <c r="J7" s="1027" t="s">
        <v>450</v>
      </c>
      <c r="K7" s="1034" t="s">
        <v>451</v>
      </c>
      <c r="L7" s="1040" t="s">
        <v>452</v>
      </c>
      <c r="M7" s="173"/>
      <c r="N7" s="1057">
        <v>716</v>
      </c>
      <c r="O7" s="1038">
        <v>717</v>
      </c>
      <c r="P7" s="1027" t="s">
        <v>450</v>
      </c>
      <c r="R7" s="1030"/>
      <c r="S7" s="1052"/>
      <c r="T7" s="1074"/>
    </row>
    <row r="8" spans="2:21" ht="39.75" customHeight="1" thickBot="1">
      <c r="B8" s="46"/>
      <c r="C8" s="454"/>
      <c r="D8" s="1059"/>
      <c r="E8" s="127"/>
      <c r="F8" s="1033"/>
      <c r="G8" s="1037"/>
      <c r="H8" s="1033"/>
      <c r="I8" s="1033"/>
      <c r="J8" s="1028"/>
      <c r="K8" s="1035"/>
      <c r="L8" s="1041"/>
      <c r="M8" s="173"/>
      <c r="N8" s="1058"/>
      <c r="O8" s="1033"/>
      <c r="P8" s="1028"/>
      <c r="R8" s="1031"/>
      <c r="S8" s="1053"/>
      <c r="T8" s="1075"/>
      <c r="U8" s="499"/>
    </row>
    <row r="9" spans="2:21" ht="26.25" customHeight="1" thickBot="1" thickTop="1">
      <c r="B9" s="31">
        <v>1</v>
      </c>
      <c r="C9" s="590" t="s">
        <v>301</v>
      </c>
      <c r="D9" s="283"/>
      <c r="E9" s="301"/>
      <c r="F9" s="592">
        <f>SUM(F10:F14)</f>
        <v>0</v>
      </c>
      <c r="G9" s="591">
        <f>SUM(G10:G14)</f>
        <v>0</v>
      </c>
      <c r="H9" s="592">
        <f>H10+H11+H14</f>
        <v>30000</v>
      </c>
      <c r="I9" s="592">
        <f>I10+I11+I14</f>
        <v>32500</v>
      </c>
      <c r="J9" s="644">
        <f aca="true" t="shared" si="0" ref="J9:J16">SUM(F9:I9)</f>
        <v>62500</v>
      </c>
      <c r="K9" s="933">
        <f>K10+K11+K14</f>
        <v>-6000</v>
      </c>
      <c r="L9" s="757">
        <f>J9+K9</f>
        <v>56500</v>
      </c>
      <c r="M9" s="411"/>
      <c r="N9" s="593">
        <f>SUM(N10:N14)</f>
        <v>0</v>
      </c>
      <c r="O9" s="592">
        <f>SUM(O10:O14)</f>
        <v>0</v>
      </c>
      <c r="P9" s="649">
        <f aca="true" t="shared" si="1" ref="P9:P16">SUM(N9:O9)</f>
        <v>0</v>
      </c>
      <c r="R9" s="749">
        <f aca="true" t="shared" si="2" ref="R9:R16">J9+P9</f>
        <v>62500</v>
      </c>
      <c r="S9" s="932">
        <f>K9</f>
        <v>-6000</v>
      </c>
      <c r="T9" s="755">
        <f aca="true" t="shared" si="3" ref="T9:T16">S9+R9</f>
        <v>56500</v>
      </c>
      <c r="U9" s="19"/>
    </row>
    <row r="10" spans="2:21" ht="15.75" thickTop="1">
      <c r="B10" s="192">
        <f aca="true" t="shared" si="4" ref="B10:B16">B9+1</f>
        <v>2</v>
      </c>
      <c r="C10" s="42">
        <v>1</v>
      </c>
      <c r="D10" s="43" t="s">
        <v>274</v>
      </c>
      <c r="E10" s="140"/>
      <c r="F10" s="162"/>
      <c r="G10" s="158"/>
      <c r="H10" s="158">
        <v>10000</v>
      </c>
      <c r="I10" s="162"/>
      <c r="J10" s="645">
        <f t="shared" si="0"/>
        <v>10000</v>
      </c>
      <c r="K10" s="934"/>
      <c r="L10" s="758">
        <f aca="true" t="shared" si="5" ref="L10:L16">J10+K10</f>
        <v>10000</v>
      </c>
      <c r="M10" s="191"/>
      <c r="N10" s="258"/>
      <c r="O10" s="162"/>
      <c r="P10" s="650">
        <f t="shared" si="1"/>
        <v>0</v>
      </c>
      <c r="R10" s="766">
        <f t="shared" si="2"/>
        <v>10000</v>
      </c>
      <c r="S10" s="935">
        <f aca="true" t="shared" si="6" ref="S10:S16">K10</f>
        <v>0</v>
      </c>
      <c r="T10" s="759">
        <f t="shared" si="3"/>
        <v>10000</v>
      </c>
      <c r="U10" s="19"/>
    </row>
    <row r="11" spans="2:21" ht="15">
      <c r="B11" s="192">
        <f t="shared" si="4"/>
        <v>3</v>
      </c>
      <c r="C11" s="42">
        <v>2</v>
      </c>
      <c r="D11" s="43" t="s">
        <v>275</v>
      </c>
      <c r="E11" s="140"/>
      <c r="F11" s="162"/>
      <c r="G11" s="158"/>
      <c r="H11" s="158">
        <f>SUM(H12:H13)</f>
        <v>20000</v>
      </c>
      <c r="I11" s="162"/>
      <c r="J11" s="645">
        <f t="shared" si="0"/>
        <v>20000</v>
      </c>
      <c r="K11" s="934"/>
      <c r="L11" s="758">
        <f t="shared" si="5"/>
        <v>20000</v>
      </c>
      <c r="M11" s="191"/>
      <c r="N11" s="258"/>
      <c r="O11" s="162"/>
      <c r="P11" s="650">
        <f t="shared" si="1"/>
        <v>0</v>
      </c>
      <c r="R11" s="766">
        <f t="shared" si="2"/>
        <v>20000</v>
      </c>
      <c r="S11" s="935">
        <f t="shared" si="6"/>
        <v>0</v>
      </c>
      <c r="T11" s="759">
        <f t="shared" si="3"/>
        <v>20000</v>
      </c>
      <c r="U11" s="19"/>
    </row>
    <row r="12" spans="2:21" ht="15">
      <c r="B12" s="192">
        <f t="shared" si="4"/>
        <v>4</v>
      </c>
      <c r="C12" s="40"/>
      <c r="D12" s="40"/>
      <c r="E12" s="594" t="s">
        <v>359</v>
      </c>
      <c r="F12" s="334"/>
      <c r="G12" s="334"/>
      <c r="H12" s="334">
        <v>15000</v>
      </c>
      <c r="I12" s="334"/>
      <c r="J12" s="646">
        <f>H12</f>
        <v>15000</v>
      </c>
      <c r="K12" s="646"/>
      <c r="L12" s="646">
        <f t="shared" si="5"/>
        <v>15000</v>
      </c>
      <c r="M12" s="191"/>
      <c r="N12" s="258"/>
      <c r="O12" s="162"/>
      <c r="P12" s="650">
        <f t="shared" si="1"/>
        <v>0</v>
      </c>
      <c r="R12" s="760">
        <f t="shared" si="2"/>
        <v>15000</v>
      </c>
      <c r="S12" s="760">
        <f t="shared" si="6"/>
        <v>0</v>
      </c>
      <c r="T12" s="760">
        <f t="shared" si="3"/>
        <v>15000</v>
      </c>
      <c r="U12" s="19"/>
    </row>
    <row r="13" spans="2:21" ht="15">
      <c r="B13" s="192">
        <f t="shared" si="4"/>
        <v>5</v>
      </c>
      <c r="C13" s="33"/>
      <c r="D13" s="40"/>
      <c r="E13" s="551" t="s">
        <v>392</v>
      </c>
      <c r="F13" s="334"/>
      <c r="G13" s="334"/>
      <c r="H13" s="334">
        <v>5000</v>
      </c>
      <c r="I13" s="335"/>
      <c r="J13" s="646">
        <f>H13</f>
        <v>5000</v>
      </c>
      <c r="K13" s="646"/>
      <c r="L13" s="646">
        <f t="shared" si="5"/>
        <v>5000</v>
      </c>
      <c r="M13" s="191"/>
      <c r="N13" s="258"/>
      <c r="O13" s="162"/>
      <c r="P13" s="650"/>
      <c r="R13" s="760">
        <f t="shared" si="2"/>
        <v>5000</v>
      </c>
      <c r="S13" s="760">
        <f t="shared" si="6"/>
        <v>0</v>
      </c>
      <c r="T13" s="760">
        <f t="shared" si="3"/>
        <v>5000</v>
      </c>
      <c r="U13" s="19"/>
    </row>
    <row r="14" spans="2:21" ht="15">
      <c r="B14" s="192">
        <f t="shared" si="4"/>
        <v>6</v>
      </c>
      <c r="C14" s="42">
        <v>3</v>
      </c>
      <c r="D14" s="43" t="s">
        <v>223</v>
      </c>
      <c r="E14" s="140"/>
      <c r="F14" s="162"/>
      <c r="G14" s="158"/>
      <c r="H14" s="162">
        <f>H16</f>
        <v>0</v>
      </c>
      <c r="I14" s="162">
        <f>I16</f>
        <v>32500</v>
      </c>
      <c r="J14" s="645">
        <f t="shared" si="0"/>
        <v>32500</v>
      </c>
      <c r="K14" s="934">
        <f>SUM(K15:K16)</f>
        <v>-6000</v>
      </c>
      <c r="L14" s="758">
        <f t="shared" si="5"/>
        <v>26500</v>
      </c>
      <c r="M14" s="191"/>
      <c r="N14" s="258"/>
      <c r="O14" s="162"/>
      <c r="P14" s="650">
        <f t="shared" si="1"/>
        <v>0</v>
      </c>
      <c r="R14" s="766">
        <f t="shared" si="2"/>
        <v>32500</v>
      </c>
      <c r="S14" s="935">
        <f t="shared" si="6"/>
        <v>-6000</v>
      </c>
      <c r="T14" s="759">
        <f t="shared" si="3"/>
        <v>26500</v>
      </c>
      <c r="U14" s="19"/>
    </row>
    <row r="15" spans="2:20" ht="12.75">
      <c r="B15" s="192">
        <f t="shared" si="4"/>
        <v>7</v>
      </c>
      <c r="C15" s="40"/>
      <c r="D15" s="130" t="s">
        <v>6</v>
      </c>
      <c r="E15" s="491" t="s">
        <v>219</v>
      </c>
      <c r="F15" s="338"/>
      <c r="G15" s="337"/>
      <c r="H15" s="339">
        <v>0</v>
      </c>
      <c r="I15" s="339"/>
      <c r="J15" s="647">
        <f t="shared" si="0"/>
        <v>0</v>
      </c>
      <c r="K15" s="647"/>
      <c r="L15" s="647">
        <f t="shared" si="5"/>
        <v>0</v>
      </c>
      <c r="M15" s="174"/>
      <c r="N15" s="346"/>
      <c r="O15" s="347"/>
      <c r="P15" s="651">
        <f t="shared" si="1"/>
        <v>0</v>
      </c>
      <c r="R15" s="513">
        <f t="shared" si="2"/>
        <v>0</v>
      </c>
      <c r="S15" s="513">
        <f t="shared" si="6"/>
        <v>0</v>
      </c>
      <c r="T15" s="513">
        <f t="shared" si="3"/>
        <v>0</v>
      </c>
    </row>
    <row r="16" spans="2:20" ht="13.5" thickBot="1">
      <c r="B16" s="192">
        <f t="shared" si="4"/>
        <v>8</v>
      </c>
      <c r="C16" s="50"/>
      <c r="D16" s="142" t="s">
        <v>7</v>
      </c>
      <c r="E16" s="492" t="s">
        <v>224</v>
      </c>
      <c r="F16" s="349"/>
      <c r="G16" s="348"/>
      <c r="H16" s="350"/>
      <c r="I16" s="349">
        <v>32500</v>
      </c>
      <c r="J16" s="648">
        <f t="shared" si="0"/>
        <v>32500</v>
      </c>
      <c r="K16" s="648">
        <v>-6000</v>
      </c>
      <c r="L16" s="648">
        <f t="shared" si="5"/>
        <v>26500</v>
      </c>
      <c r="M16" s="174"/>
      <c r="N16" s="512"/>
      <c r="O16" s="349"/>
      <c r="P16" s="652">
        <f t="shared" si="1"/>
        <v>0</v>
      </c>
      <c r="R16" s="514">
        <f t="shared" si="2"/>
        <v>32500</v>
      </c>
      <c r="S16" s="514">
        <f t="shared" si="6"/>
        <v>-6000</v>
      </c>
      <c r="T16" s="514">
        <f t="shared" si="3"/>
        <v>26500</v>
      </c>
    </row>
  </sheetData>
  <sheetProtection/>
  <mergeCells count="19">
    <mergeCell ref="E6:L6"/>
    <mergeCell ref="S4:S8"/>
    <mergeCell ref="T4:T8"/>
    <mergeCell ref="I7:I8"/>
    <mergeCell ref="P7:P8"/>
    <mergeCell ref="N7:N8"/>
    <mergeCell ref="J7:J8"/>
    <mergeCell ref="K7:K8"/>
    <mergeCell ref="N6:P6"/>
    <mergeCell ref="D6:D8"/>
    <mergeCell ref="H7:H8"/>
    <mergeCell ref="R4:R8"/>
    <mergeCell ref="G7:G8"/>
    <mergeCell ref="F7:F8"/>
    <mergeCell ref="L7:L8"/>
    <mergeCell ref="O7:O8"/>
    <mergeCell ref="B4:P4"/>
    <mergeCell ref="N5:P5"/>
    <mergeCell ref="B5:L5"/>
  </mergeCells>
  <printOptions/>
  <pageMargins left="0.1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83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8515625" style="6" customWidth="1"/>
    <col min="3" max="3" width="2.8515625" style="5" customWidth="1"/>
    <col min="4" max="4" width="2.140625" style="0" customWidth="1"/>
    <col min="5" max="5" width="35.57421875" style="0" customWidth="1"/>
    <col min="6" max="6" width="11.8515625" style="0" customWidth="1"/>
    <col min="7" max="7" width="9.57421875" style="0" customWidth="1"/>
    <col min="8" max="8" width="11.57421875" style="0" customWidth="1"/>
    <col min="9" max="9" width="9.421875" style="0" customWidth="1"/>
    <col min="10" max="10" width="12.28125" style="0" customWidth="1"/>
    <col min="11" max="11" width="11.28125" style="0" customWidth="1"/>
    <col min="12" max="12" width="12.7109375" style="0" customWidth="1"/>
    <col min="13" max="13" width="2.8515625" style="176" customWidth="1"/>
    <col min="14" max="14" width="8.28125" style="176" customWidth="1"/>
    <col min="15" max="15" width="5.28125" style="176" customWidth="1"/>
    <col min="16" max="16" width="10.140625" style="176" customWidth="1"/>
    <col min="17" max="17" width="10.57421875" style="176" customWidth="1"/>
    <col min="18" max="18" width="11.00390625" style="176" customWidth="1"/>
    <col min="19" max="19" width="2.00390625" style="0" customWidth="1"/>
    <col min="20" max="20" width="11.28125" style="0" customWidth="1"/>
    <col min="21" max="21" width="11.140625" style="0" customWidth="1"/>
    <col min="22" max="22" width="12.28125" style="0" customWidth="1"/>
    <col min="23" max="23" width="7.421875" style="0" customWidth="1"/>
  </cols>
  <sheetData>
    <row r="1" spans="10:13" ht="15.75" customHeight="1">
      <c r="J1" s="193"/>
      <c r="K1" s="193"/>
      <c r="L1" s="193"/>
      <c r="M1" s="414"/>
    </row>
    <row r="2" spans="2:22" ht="27">
      <c r="B2" s="981"/>
      <c r="C2" s="982" t="s">
        <v>166</v>
      </c>
      <c r="D2" s="970"/>
      <c r="E2" s="970"/>
      <c r="F2" s="970"/>
      <c r="G2" s="970"/>
      <c r="H2" s="970"/>
      <c r="I2" s="984"/>
      <c r="J2" s="985"/>
      <c r="K2" s="985"/>
      <c r="L2" s="985"/>
      <c r="M2" s="985"/>
      <c r="N2" s="979"/>
      <c r="O2" s="979"/>
      <c r="P2" s="979"/>
      <c r="Q2" s="979"/>
      <c r="R2" s="979"/>
      <c r="S2" s="970"/>
      <c r="T2" s="970"/>
      <c r="U2" s="970"/>
      <c r="V2" s="970"/>
    </row>
    <row r="3" spans="2:22" ht="13.5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79"/>
      <c r="N3" s="979"/>
      <c r="O3" s="979"/>
      <c r="P3" s="979"/>
      <c r="Q3" s="979"/>
      <c r="R3" s="979"/>
      <c r="S3" s="970"/>
      <c r="T3" s="970"/>
      <c r="U3" s="970"/>
      <c r="V3" s="970"/>
    </row>
    <row r="4" spans="2:22" ht="12.75" customHeight="1">
      <c r="B4" s="1045" t="s">
        <v>316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7"/>
      <c r="T4" s="1029" t="s">
        <v>450</v>
      </c>
      <c r="U4" s="1051" t="s">
        <v>451</v>
      </c>
      <c r="V4" s="1042" t="s">
        <v>452</v>
      </c>
    </row>
    <row r="5" spans="2:22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3"/>
      <c r="M5" s="410"/>
      <c r="N5" s="1048" t="s">
        <v>300</v>
      </c>
      <c r="O5" s="1049"/>
      <c r="P5" s="1049"/>
      <c r="Q5" s="1049"/>
      <c r="R5" s="1050"/>
      <c r="T5" s="1030"/>
      <c r="U5" s="1052"/>
      <c r="V5" s="1043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393"/>
      <c r="N6" s="1039" t="s">
        <v>11</v>
      </c>
      <c r="O6" s="1025"/>
      <c r="P6" s="1025"/>
      <c r="Q6" s="1025"/>
      <c r="R6" s="1026"/>
      <c r="T6" s="1030"/>
      <c r="U6" s="1052"/>
      <c r="V6" s="1043"/>
    </row>
    <row r="7" spans="2:22" ht="25.5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76">
        <v>650</v>
      </c>
      <c r="J7" s="1027" t="s">
        <v>450</v>
      </c>
      <c r="K7" s="1034" t="s">
        <v>451</v>
      </c>
      <c r="L7" s="1040" t="s">
        <v>452</v>
      </c>
      <c r="M7" s="173"/>
      <c r="N7" s="1077">
        <v>711</v>
      </c>
      <c r="O7" s="1038">
        <v>717</v>
      </c>
      <c r="P7" s="1027" t="s">
        <v>450</v>
      </c>
      <c r="Q7" s="1034" t="s">
        <v>451</v>
      </c>
      <c r="R7" s="1040" t="s">
        <v>452</v>
      </c>
      <c r="T7" s="1030"/>
      <c r="U7" s="1052"/>
      <c r="V7" s="1043"/>
    </row>
    <row r="8" spans="2:22" ht="36" customHeight="1" thickBot="1">
      <c r="B8" s="46"/>
      <c r="C8" s="1056"/>
      <c r="D8" s="1056"/>
      <c r="E8" s="53"/>
      <c r="F8" s="1037"/>
      <c r="G8" s="1033"/>
      <c r="H8" s="1033"/>
      <c r="I8" s="1033"/>
      <c r="J8" s="1028"/>
      <c r="K8" s="1035"/>
      <c r="L8" s="1041"/>
      <c r="M8" s="415"/>
      <c r="N8" s="1058"/>
      <c r="O8" s="1033"/>
      <c r="P8" s="1028"/>
      <c r="Q8" s="1035"/>
      <c r="R8" s="1041"/>
      <c r="T8" s="1031"/>
      <c r="U8" s="1053"/>
      <c r="V8" s="1044"/>
    </row>
    <row r="9" spans="2:23" ht="25.5" customHeight="1" thickBot="1" thickTop="1">
      <c r="B9" s="31">
        <v>1</v>
      </c>
      <c r="C9" s="202" t="s">
        <v>167</v>
      </c>
      <c r="D9" s="286"/>
      <c r="E9" s="287"/>
      <c r="F9" s="595">
        <f>F10+F13+F18+F19+F23+F30+F31+F35+F38</f>
        <v>1331729</v>
      </c>
      <c r="G9" s="596">
        <f>G10+G13+G18+G19+G23+G30+G31+G35+G38</f>
        <v>444181</v>
      </c>
      <c r="H9" s="596">
        <f>H10+H13+H18+H19+H23+H30+H31+H35+H38</f>
        <v>1075988</v>
      </c>
      <c r="I9" s="596">
        <f>I10+I13+I18+I19+I23+I30+I31+I35+I38</f>
        <v>440000</v>
      </c>
      <c r="J9" s="649">
        <f aca="true" t="shared" si="0" ref="J9:J19">SUM(F9:I9)</f>
        <v>3291898</v>
      </c>
      <c r="K9" s="936">
        <f>K10+K13+K18+K19+K23+K30+K31+K35+K38</f>
        <v>377770</v>
      </c>
      <c r="L9" s="761">
        <f>J9+K9</f>
        <v>3669668</v>
      </c>
      <c r="M9" s="416"/>
      <c r="N9" s="597">
        <f>N10+N13+N18+N19+N30+N31+N35+N38</f>
        <v>19015</v>
      </c>
      <c r="O9" s="596">
        <f>O10+O13+O18+O19+O23+O30+O31+O35+O38</f>
        <v>0</v>
      </c>
      <c r="P9" s="644">
        <f aca="true" t="shared" si="1" ref="P9:P20">SUM(N9:O9)</f>
        <v>19015</v>
      </c>
      <c r="Q9" s="933">
        <f>Q10+Q13+Q18+Q19+Q23+Q30+Q31+Q35+Q38</f>
        <v>0</v>
      </c>
      <c r="R9" s="757">
        <f>P9+Q9</f>
        <v>19015</v>
      </c>
      <c r="T9" s="767">
        <f>J9+P9</f>
        <v>3310913</v>
      </c>
      <c r="U9" s="940">
        <f aca="true" t="shared" si="2" ref="U9:U40">Q9+K9</f>
        <v>377770</v>
      </c>
      <c r="V9" s="769">
        <f aca="true" t="shared" si="3" ref="V9:V28">T9+U9</f>
        <v>3688683</v>
      </c>
      <c r="W9" s="629"/>
    </row>
    <row r="10" spans="2:22" ht="16.5" thickTop="1">
      <c r="B10" s="31">
        <f aca="true" t="shared" si="4" ref="B10:B39">B9+1</f>
        <v>2</v>
      </c>
      <c r="C10" s="42">
        <v>1</v>
      </c>
      <c r="D10" s="602" t="s">
        <v>112</v>
      </c>
      <c r="E10" s="44"/>
      <c r="F10" s="402"/>
      <c r="G10" s="403"/>
      <c r="H10" s="403">
        <f>H11+H12</f>
        <v>83000</v>
      </c>
      <c r="I10" s="403"/>
      <c r="J10" s="653">
        <f t="shared" si="0"/>
        <v>83000</v>
      </c>
      <c r="K10" s="937"/>
      <c r="L10" s="762">
        <f aca="true" t="shared" si="5" ref="L10:L40">J10+K10</f>
        <v>83000</v>
      </c>
      <c r="M10" s="191"/>
      <c r="N10" s="258"/>
      <c r="O10" s="162"/>
      <c r="P10" s="655">
        <f t="shared" si="1"/>
        <v>0</v>
      </c>
      <c r="Q10" s="939"/>
      <c r="R10" s="764">
        <f aca="true" t="shared" si="6" ref="R10:R40">P10+Q10</f>
        <v>0</v>
      </c>
      <c r="T10" s="768">
        <f>J10+P10</f>
        <v>83000</v>
      </c>
      <c r="U10" s="941">
        <f t="shared" si="2"/>
        <v>0</v>
      </c>
      <c r="V10" s="770">
        <f t="shared" si="3"/>
        <v>83000</v>
      </c>
    </row>
    <row r="11" spans="2:22" ht="15">
      <c r="B11" s="31">
        <f t="shared" si="4"/>
        <v>3</v>
      </c>
      <c r="C11" s="148"/>
      <c r="D11" s="2"/>
      <c r="E11" s="599" t="s">
        <v>367</v>
      </c>
      <c r="F11" s="605"/>
      <c r="G11" s="606"/>
      <c r="H11" s="607">
        <v>6030</v>
      </c>
      <c r="I11" s="606"/>
      <c r="J11" s="640">
        <f>H11</f>
        <v>6030</v>
      </c>
      <c r="K11" s="640"/>
      <c r="L11" s="640">
        <f t="shared" si="5"/>
        <v>6030</v>
      </c>
      <c r="M11" s="174"/>
      <c r="N11" s="560"/>
      <c r="O11" s="548"/>
      <c r="P11" s="656"/>
      <c r="Q11" s="656"/>
      <c r="R11" s="850">
        <f t="shared" si="6"/>
        <v>0</v>
      </c>
      <c r="S11" s="175"/>
      <c r="T11" s="518">
        <f>J11+P11</f>
        <v>6030</v>
      </c>
      <c r="U11" s="518">
        <f t="shared" si="2"/>
        <v>0</v>
      </c>
      <c r="V11" s="518">
        <f t="shared" si="3"/>
        <v>6030</v>
      </c>
    </row>
    <row r="12" spans="2:22" ht="15">
      <c r="B12" s="31">
        <f t="shared" si="4"/>
        <v>4</v>
      </c>
      <c r="C12" s="147"/>
      <c r="D12" s="2"/>
      <c r="E12" s="599" t="s">
        <v>395</v>
      </c>
      <c r="F12" s="605"/>
      <c r="G12" s="606"/>
      <c r="H12" s="607">
        <v>76970</v>
      </c>
      <c r="I12" s="606"/>
      <c r="J12" s="640">
        <f>H12</f>
        <v>76970</v>
      </c>
      <c r="K12" s="640"/>
      <c r="L12" s="640">
        <f t="shared" si="5"/>
        <v>76970</v>
      </c>
      <c r="M12" s="174"/>
      <c r="N12" s="555"/>
      <c r="O12" s="543"/>
      <c r="P12" s="656"/>
      <c r="Q12" s="656"/>
      <c r="R12" s="850">
        <f t="shared" si="6"/>
        <v>0</v>
      </c>
      <c r="S12" s="175"/>
      <c r="T12" s="518"/>
      <c r="U12" s="518">
        <f t="shared" si="2"/>
        <v>0</v>
      </c>
      <c r="V12" s="518">
        <f t="shared" si="3"/>
        <v>0</v>
      </c>
    </row>
    <row r="13" spans="2:22" ht="15.75">
      <c r="B13" s="31">
        <f t="shared" si="4"/>
        <v>5</v>
      </c>
      <c r="C13" s="42">
        <v>2</v>
      </c>
      <c r="D13" s="602" t="s">
        <v>280</v>
      </c>
      <c r="E13" s="44"/>
      <c r="F13" s="402"/>
      <c r="G13" s="403"/>
      <c r="H13" s="403">
        <f>H14+H15+H16+H17</f>
        <v>130500</v>
      </c>
      <c r="I13" s="403"/>
      <c r="J13" s="645">
        <f t="shared" si="0"/>
        <v>130500</v>
      </c>
      <c r="K13" s="934">
        <f>SUM(K14:K17)</f>
        <v>23582</v>
      </c>
      <c r="L13" s="763">
        <f t="shared" si="5"/>
        <v>154082</v>
      </c>
      <c r="M13" s="191"/>
      <c r="N13" s="258"/>
      <c r="O13" s="162"/>
      <c r="P13" s="655">
        <f t="shared" si="1"/>
        <v>0</v>
      </c>
      <c r="Q13" s="939"/>
      <c r="R13" s="851">
        <f t="shared" si="6"/>
        <v>0</v>
      </c>
      <c r="S13" s="176"/>
      <c r="T13" s="754">
        <f aca="true" t="shared" si="7" ref="T13:T36">J13+P13</f>
        <v>130500</v>
      </c>
      <c r="U13" s="942">
        <f t="shared" si="2"/>
        <v>23582</v>
      </c>
      <c r="V13" s="771">
        <f t="shared" si="3"/>
        <v>154082</v>
      </c>
    </row>
    <row r="14" spans="2:22" ht="15">
      <c r="B14" s="31">
        <f t="shared" si="4"/>
        <v>6</v>
      </c>
      <c r="C14" s="148"/>
      <c r="D14" s="61" t="s">
        <v>6</v>
      </c>
      <c r="E14" s="603" t="s">
        <v>156</v>
      </c>
      <c r="F14" s="608"/>
      <c r="G14" s="609"/>
      <c r="H14" s="610">
        <v>4490</v>
      </c>
      <c r="I14" s="609"/>
      <c r="J14" s="647">
        <f>SUM(F14:I14)</f>
        <v>4490</v>
      </c>
      <c r="K14" s="647"/>
      <c r="L14" s="647">
        <f t="shared" si="5"/>
        <v>4490</v>
      </c>
      <c r="M14" s="174"/>
      <c r="N14" s="351"/>
      <c r="O14" s="338"/>
      <c r="P14" s="638">
        <f t="shared" si="1"/>
        <v>0</v>
      </c>
      <c r="Q14" s="638"/>
      <c r="R14" s="638">
        <f t="shared" si="6"/>
        <v>0</v>
      </c>
      <c r="S14" s="175"/>
      <c r="T14" s="517">
        <f t="shared" si="7"/>
        <v>4490</v>
      </c>
      <c r="U14" s="517">
        <f t="shared" si="2"/>
        <v>0</v>
      </c>
      <c r="V14" s="517">
        <f t="shared" si="3"/>
        <v>4490</v>
      </c>
    </row>
    <row r="15" spans="2:22" ht="15">
      <c r="B15" s="31">
        <f t="shared" si="4"/>
        <v>7</v>
      </c>
      <c r="C15" s="148"/>
      <c r="D15" s="62" t="s">
        <v>7</v>
      </c>
      <c r="E15" s="598" t="s">
        <v>157</v>
      </c>
      <c r="F15" s="611"/>
      <c r="G15" s="612"/>
      <c r="H15" s="613">
        <v>40100</v>
      </c>
      <c r="I15" s="612"/>
      <c r="J15" s="647">
        <f>SUM(F15:I15)</f>
        <v>40100</v>
      </c>
      <c r="K15" s="647"/>
      <c r="L15" s="647">
        <f t="shared" si="5"/>
        <v>40100</v>
      </c>
      <c r="M15" s="174"/>
      <c r="N15" s="351"/>
      <c r="O15" s="338"/>
      <c r="P15" s="647">
        <f t="shared" si="1"/>
        <v>0</v>
      </c>
      <c r="Q15" s="647"/>
      <c r="R15" s="647">
        <f t="shared" si="6"/>
        <v>0</v>
      </c>
      <c r="S15" s="175"/>
      <c r="T15" s="517">
        <f t="shared" si="7"/>
        <v>40100</v>
      </c>
      <c r="U15" s="517">
        <f t="shared" si="2"/>
        <v>0</v>
      </c>
      <c r="V15" s="517">
        <f t="shared" si="3"/>
        <v>40100</v>
      </c>
    </row>
    <row r="16" spans="2:22" ht="15">
      <c r="B16" s="31">
        <f t="shared" si="4"/>
        <v>8</v>
      </c>
      <c r="C16" s="148"/>
      <c r="D16" s="62" t="s">
        <v>8</v>
      </c>
      <c r="E16" s="598" t="s">
        <v>158</v>
      </c>
      <c r="F16" s="611"/>
      <c r="G16" s="612"/>
      <c r="H16" s="613">
        <v>71010</v>
      </c>
      <c r="I16" s="612"/>
      <c r="J16" s="647">
        <f>SUM(F16:I16)</f>
        <v>71010</v>
      </c>
      <c r="K16" s="647">
        <f>19500+4082</f>
        <v>23582</v>
      </c>
      <c r="L16" s="647">
        <f t="shared" si="5"/>
        <v>94592</v>
      </c>
      <c r="M16" s="174"/>
      <c r="N16" s="351"/>
      <c r="O16" s="338"/>
      <c r="P16" s="647">
        <f t="shared" si="1"/>
        <v>0</v>
      </c>
      <c r="Q16" s="647"/>
      <c r="R16" s="647">
        <f t="shared" si="6"/>
        <v>0</v>
      </c>
      <c r="S16" s="175"/>
      <c r="T16" s="517">
        <f t="shared" si="7"/>
        <v>71010</v>
      </c>
      <c r="U16" s="517">
        <f t="shared" si="2"/>
        <v>23582</v>
      </c>
      <c r="V16" s="517">
        <f t="shared" si="3"/>
        <v>94592</v>
      </c>
    </row>
    <row r="17" spans="2:22" ht="15">
      <c r="B17" s="31">
        <f t="shared" si="4"/>
        <v>9</v>
      </c>
      <c r="C17" s="148"/>
      <c r="D17" s="2"/>
      <c r="E17" s="599" t="s">
        <v>367</v>
      </c>
      <c r="F17" s="605"/>
      <c r="G17" s="606"/>
      <c r="H17" s="607">
        <v>14900</v>
      </c>
      <c r="I17" s="606"/>
      <c r="J17" s="640">
        <f>H17</f>
        <v>14900</v>
      </c>
      <c r="K17" s="640"/>
      <c r="L17" s="640">
        <f t="shared" si="5"/>
        <v>14900</v>
      </c>
      <c r="M17" s="174"/>
      <c r="N17" s="560"/>
      <c r="O17" s="548"/>
      <c r="P17" s="656"/>
      <c r="Q17" s="656"/>
      <c r="R17" s="850">
        <f t="shared" si="6"/>
        <v>0</v>
      </c>
      <c r="S17" s="175"/>
      <c r="T17" s="518">
        <f t="shared" si="7"/>
        <v>14900</v>
      </c>
      <c r="U17" s="518">
        <f t="shared" si="2"/>
        <v>0</v>
      </c>
      <c r="V17" s="518">
        <f t="shared" si="3"/>
        <v>14900</v>
      </c>
    </row>
    <row r="18" spans="2:22" ht="15.75">
      <c r="B18" s="31">
        <f t="shared" si="4"/>
        <v>10</v>
      </c>
      <c r="C18" s="42">
        <v>3</v>
      </c>
      <c r="D18" s="602" t="s">
        <v>159</v>
      </c>
      <c r="E18" s="44"/>
      <c r="F18" s="439"/>
      <c r="G18" s="440"/>
      <c r="H18" s="440">
        <v>2000</v>
      </c>
      <c r="I18" s="403"/>
      <c r="J18" s="645">
        <f t="shared" si="0"/>
        <v>2000</v>
      </c>
      <c r="K18" s="934"/>
      <c r="L18" s="763">
        <f t="shared" si="5"/>
        <v>2000</v>
      </c>
      <c r="M18" s="191"/>
      <c r="N18" s="258"/>
      <c r="O18" s="162"/>
      <c r="P18" s="655">
        <f t="shared" si="1"/>
        <v>0</v>
      </c>
      <c r="Q18" s="939"/>
      <c r="R18" s="851">
        <f t="shared" si="6"/>
        <v>0</v>
      </c>
      <c r="S18" s="175"/>
      <c r="T18" s="754">
        <f t="shared" si="7"/>
        <v>2000</v>
      </c>
      <c r="U18" s="942">
        <f t="shared" si="2"/>
        <v>0</v>
      </c>
      <c r="V18" s="771">
        <f t="shared" si="3"/>
        <v>2000</v>
      </c>
    </row>
    <row r="19" spans="2:22" ht="15.75">
      <c r="B19" s="31">
        <f t="shared" si="4"/>
        <v>11</v>
      </c>
      <c r="C19" s="37">
        <v>4</v>
      </c>
      <c r="D19" s="601" t="s">
        <v>160</v>
      </c>
      <c r="E19" s="39"/>
      <c r="F19" s="439">
        <f>F20</f>
        <v>77330</v>
      </c>
      <c r="G19" s="440">
        <f>G20</f>
        <v>27967</v>
      </c>
      <c r="H19" s="440">
        <f>SUM(H20:H22)</f>
        <v>289003</v>
      </c>
      <c r="I19" s="440"/>
      <c r="J19" s="645">
        <f t="shared" si="0"/>
        <v>394300</v>
      </c>
      <c r="K19" s="934">
        <f>SUM(K20:K22)</f>
        <v>26300</v>
      </c>
      <c r="L19" s="763">
        <f t="shared" si="5"/>
        <v>420600</v>
      </c>
      <c r="M19" s="191"/>
      <c r="N19" s="263"/>
      <c r="O19" s="164"/>
      <c r="P19" s="655">
        <f t="shared" si="1"/>
        <v>0</v>
      </c>
      <c r="Q19" s="939"/>
      <c r="R19" s="851">
        <f t="shared" si="6"/>
        <v>0</v>
      </c>
      <c r="S19" s="175"/>
      <c r="T19" s="754">
        <f t="shared" si="7"/>
        <v>394300</v>
      </c>
      <c r="U19" s="942">
        <f t="shared" si="2"/>
        <v>26300</v>
      </c>
      <c r="V19" s="771">
        <f t="shared" si="3"/>
        <v>420600</v>
      </c>
    </row>
    <row r="20" spans="2:22" s="45" customFormat="1" ht="14.25">
      <c r="B20" s="31">
        <f t="shared" si="4"/>
        <v>12</v>
      </c>
      <c r="C20" s="33"/>
      <c r="D20" s="2"/>
      <c r="E20" s="604" t="s">
        <v>327</v>
      </c>
      <c r="F20" s="605">
        <f>70330+7000</f>
        <v>77330</v>
      </c>
      <c r="G20" s="605">
        <f>24967+3000</f>
        <v>27967</v>
      </c>
      <c r="H20" s="605">
        <f>110003+44700+115000</f>
        <v>269703</v>
      </c>
      <c r="I20" s="605"/>
      <c r="J20" s="640">
        <f>SUM(F20:I20)</f>
        <v>375000</v>
      </c>
      <c r="K20" s="640">
        <v>26300</v>
      </c>
      <c r="L20" s="640">
        <f t="shared" si="5"/>
        <v>401300</v>
      </c>
      <c r="M20" s="174"/>
      <c r="N20" s="516"/>
      <c r="O20" s="503"/>
      <c r="P20" s="640">
        <f t="shared" si="1"/>
        <v>0</v>
      </c>
      <c r="Q20" s="640"/>
      <c r="R20" s="640">
        <f t="shared" si="6"/>
        <v>0</v>
      </c>
      <c r="S20" s="175"/>
      <c r="T20" s="518">
        <f t="shared" si="7"/>
        <v>375000</v>
      </c>
      <c r="U20" s="518">
        <f t="shared" si="2"/>
        <v>26300</v>
      </c>
      <c r="V20" s="518">
        <f t="shared" si="3"/>
        <v>401300</v>
      </c>
    </row>
    <row r="21" spans="2:22" s="45" customFormat="1" ht="14.25">
      <c r="B21" s="31">
        <f t="shared" si="4"/>
        <v>13</v>
      </c>
      <c r="C21" s="33"/>
      <c r="D21" s="2"/>
      <c r="E21" s="604" t="s">
        <v>336</v>
      </c>
      <c r="F21" s="605"/>
      <c r="G21" s="605"/>
      <c r="H21" s="605">
        <v>10000</v>
      </c>
      <c r="I21" s="605"/>
      <c r="J21" s="640">
        <f>SUM(F21:I21)</f>
        <v>10000</v>
      </c>
      <c r="K21" s="640"/>
      <c r="L21" s="640">
        <f t="shared" si="5"/>
        <v>10000</v>
      </c>
      <c r="M21" s="174"/>
      <c r="N21" s="561"/>
      <c r="O21" s="507"/>
      <c r="P21" s="657"/>
      <c r="Q21" s="657"/>
      <c r="R21" s="852">
        <f t="shared" si="6"/>
        <v>0</v>
      </c>
      <c r="S21" s="175"/>
      <c r="T21" s="517">
        <f t="shared" si="7"/>
        <v>10000</v>
      </c>
      <c r="U21" s="517">
        <f t="shared" si="2"/>
        <v>0</v>
      </c>
      <c r="V21" s="517">
        <f t="shared" si="3"/>
        <v>10000</v>
      </c>
    </row>
    <row r="22" spans="2:22" ht="15">
      <c r="B22" s="31">
        <f t="shared" si="4"/>
        <v>14</v>
      </c>
      <c r="C22" s="148"/>
      <c r="D22" s="2"/>
      <c r="E22" s="599" t="s">
        <v>353</v>
      </c>
      <c r="F22" s="605"/>
      <c r="G22" s="606"/>
      <c r="H22" s="607">
        <v>9300</v>
      </c>
      <c r="I22" s="606"/>
      <c r="J22" s="640">
        <f>SUM(F22:I22)</f>
        <v>9300</v>
      </c>
      <c r="K22" s="640"/>
      <c r="L22" s="640">
        <f t="shared" si="5"/>
        <v>9300</v>
      </c>
      <c r="M22" s="174"/>
      <c r="N22" s="560"/>
      <c r="O22" s="548"/>
      <c r="P22" s="656"/>
      <c r="Q22" s="656"/>
      <c r="R22" s="850">
        <f t="shared" si="6"/>
        <v>0</v>
      </c>
      <c r="S22" s="175"/>
      <c r="T22" s="518">
        <f t="shared" si="7"/>
        <v>9300</v>
      </c>
      <c r="U22" s="518">
        <f t="shared" si="2"/>
        <v>0</v>
      </c>
      <c r="V22" s="518">
        <f t="shared" si="3"/>
        <v>9300</v>
      </c>
    </row>
    <row r="23" spans="2:22" ht="15.75">
      <c r="B23" s="31">
        <f t="shared" si="4"/>
        <v>15</v>
      </c>
      <c r="C23" s="37">
        <v>5</v>
      </c>
      <c r="D23" s="601" t="s">
        <v>238</v>
      </c>
      <c r="E23" s="39"/>
      <c r="F23" s="439">
        <f>F24</f>
        <v>1254399</v>
      </c>
      <c r="G23" s="439">
        <f>G25</f>
        <v>416214</v>
      </c>
      <c r="H23" s="439">
        <f>SUM(H24:H29)</f>
        <v>430200</v>
      </c>
      <c r="I23" s="439">
        <f>I26</f>
        <v>440000</v>
      </c>
      <c r="J23" s="645">
        <f>SUM(F23:I23)</f>
        <v>2540813</v>
      </c>
      <c r="K23" s="934">
        <f>SUM(K24:K28)</f>
        <v>326988</v>
      </c>
      <c r="L23" s="763">
        <f t="shared" si="5"/>
        <v>2867801</v>
      </c>
      <c r="M23" s="191"/>
      <c r="N23" s="263"/>
      <c r="O23" s="164"/>
      <c r="P23" s="655">
        <f>SUM(N23:O23)</f>
        <v>0</v>
      </c>
      <c r="Q23" s="939"/>
      <c r="R23" s="851">
        <f t="shared" si="6"/>
        <v>0</v>
      </c>
      <c r="S23" s="175"/>
      <c r="T23" s="754">
        <f t="shared" si="7"/>
        <v>2540813</v>
      </c>
      <c r="U23" s="942">
        <f t="shared" si="2"/>
        <v>326988</v>
      </c>
      <c r="V23" s="771">
        <f t="shared" si="3"/>
        <v>2867801</v>
      </c>
    </row>
    <row r="24" spans="2:22" ht="15">
      <c r="B24" s="31">
        <f t="shared" si="4"/>
        <v>16</v>
      </c>
      <c r="C24" s="148"/>
      <c r="D24" s="2"/>
      <c r="E24" s="598" t="s">
        <v>351</v>
      </c>
      <c r="F24" s="611">
        <f>1250925+3474</f>
        <v>1254399</v>
      </c>
      <c r="G24" s="612"/>
      <c r="H24" s="613"/>
      <c r="I24" s="612"/>
      <c r="J24" s="647">
        <f aca="true" t="shared" si="8" ref="J24:J31">SUM(F24:I24)</f>
        <v>1254399</v>
      </c>
      <c r="K24" s="647">
        <f>3242+28950</f>
        <v>32192</v>
      </c>
      <c r="L24" s="647">
        <f t="shared" si="5"/>
        <v>1286591</v>
      </c>
      <c r="M24" s="174"/>
      <c r="N24" s="561"/>
      <c r="O24" s="507"/>
      <c r="P24" s="657"/>
      <c r="Q24" s="657"/>
      <c r="R24" s="852">
        <f t="shared" si="6"/>
        <v>0</v>
      </c>
      <c r="S24" s="175"/>
      <c r="T24" s="517">
        <f t="shared" si="7"/>
        <v>1254399</v>
      </c>
      <c r="U24" s="517">
        <f t="shared" si="2"/>
        <v>32192</v>
      </c>
      <c r="V24" s="517">
        <f t="shared" si="3"/>
        <v>1286591</v>
      </c>
    </row>
    <row r="25" spans="2:22" ht="15">
      <c r="B25" s="31">
        <f t="shared" si="4"/>
        <v>17</v>
      </c>
      <c r="C25" s="148"/>
      <c r="D25" s="2"/>
      <c r="E25" s="598" t="s">
        <v>352</v>
      </c>
      <c r="F25" s="611"/>
      <c r="G25" s="612">
        <f>415000+1214</f>
        <v>416214</v>
      </c>
      <c r="H25" s="613"/>
      <c r="I25" s="612"/>
      <c r="J25" s="647">
        <f t="shared" si="8"/>
        <v>416214</v>
      </c>
      <c r="K25" s="647">
        <f>85000+10696</f>
        <v>95696</v>
      </c>
      <c r="L25" s="647">
        <f t="shared" si="5"/>
        <v>511910</v>
      </c>
      <c r="M25" s="174"/>
      <c r="N25" s="561"/>
      <c r="O25" s="507"/>
      <c r="P25" s="657"/>
      <c r="Q25" s="657"/>
      <c r="R25" s="852">
        <f t="shared" si="6"/>
        <v>0</v>
      </c>
      <c r="S25" s="175"/>
      <c r="T25" s="517">
        <f t="shared" si="7"/>
        <v>416214</v>
      </c>
      <c r="U25" s="517">
        <f t="shared" si="2"/>
        <v>95696</v>
      </c>
      <c r="V25" s="517">
        <f t="shared" si="3"/>
        <v>511910</v>
      </c>
    </row>
    <row r="26" spans="2:22" ht="15">
      <c r="B26" s="31">
        <f t="shared" si="4"/>
        <v>18</v>
      </c>
      <c r="C26" s="148"/>
      <c r="D26" s="2"/>
      <c r="E26" s="598" t="s">
        <v>338</v>
      </c>
      <c r="F26" s="611"/>
      <c r="G26" s="612"/>
      <c r="H26" s="613"/>
      <c r="I26" s="612">
        <v>440000</v>
      </c>
      <c r="J26" s="647">
        <f t="shared" si="8"/>
        <v>440000</v>
      </c>
      <c r="K26" s="647">
        <v>4100</v>
      </c>
      <c r="L26" s="647">
        <f t="shared" si="5"/>
        <v>444100</v>
      </c>
      <c r="M26" s="174"/>
      <c r="N26" s="561"/>
      <c r="O26" s="507"/>
      <c r="P26" s="657"/>
      <c r="Q26" s="657"/>
      <c r="R26" s="852">
        <f t="shared" si="6"/>
        <v>0</v>
      </c>
      <c r="S26" s="175"/>
      <c r="T26" s="517">
        <f t="shared" si="7"/>
        <v>440000</v>
      </c>
      <c r="U26" s="517">
        <f t="shared" si="2"/>
        <v>4100</v>
      </c>
      <c r="V26" s="517">
        <f t="shared" si="3"/>
        <v>444100</v>
      </c>
    </row>
    <row r="27" spans="2:22" ht="15">
      <c r="B27" s="31">
        <f t="shared" si="4"/>
        <v>19</v>
      </c>
      <c r="C27" s="148"/>
      <c r="D27" s="2"/>
      <c r="E27" s="598" t="s">
        <v>404</v>
      </c>
      <c r="F27" s="611"/>
      <c r="G27" s="612"/>
      <c r="H27" s="613">
        <v>393200</v>
      </c>
      <c r="I27" s="612"/>
      <c r="J27" s="647">
        <f t="shared" si="8"/>
        <v>393200</v>
      </c>
      <c r="K27" s="647">
        <v>60000</v>
      </c>
      <c r="L27" s="647">
        <f t="shared" si="5"/>
        <v>453200</v>
      </c>
      <c r="M27" s="174"/>
      <c r="N27" s="561"/>
      <c r="O27" s="507"/>
      <c r="P27" s="657"/>
      <c r="Q27" s="657"/>
      <c r="R27" s="852">
        <f t="shared" si="6"/>
        <v>0</v>
      </c>
      <c r="S27" s="175"/>
      <c r="T27" s="517">
        <f t="shared" si="7"/>
        <v>393200</v>
      </c>
      <c r="U27" s="517">
        <f t="shared" si="2"/>
        <v>60000</v>
      </c>
      <c r="V27" s="517">
        <f t="shared" si="3"/>
        <v>453200</v>
      </c>
    </row>
    <row r="28" spans="2:22" ht="15">
      <c r="B28" s="31">
        <f t="shared" si="4"/>
        <v>20</v>
      </c>
      <c r="C28" s="148"/>
      <c r="D28" s="2"/>
      <c r="E28" s="598" t="s">
        <v>463</v>
      </c>
      <c r="F28" s="611"/>
      <c r="G28" s="612"/>
      <c r="H28" s="613"/>
      <c r="I28" s="612"/>
      <c r="J28" s="647"/>
      <c r="K28" s="647">
        <v>135000</v>
      </c>
      <c r="L28" s="647">
        <f t="shared" si="5"/>
        <v>135000</v>
      </c>
      <c r="M28" s="174"/>
      <c r="N28" s="561"/>
      <c r="O28" s="507"/>
      <c r="P28" s="858"/>
      <c r="Q28" s="858"/>
      <c r="R28" s="852">
        <f t="shared" si="6"/>
        <v>0</v>
      </c>
      <c r="S28" s="175"/>
      <c r="T28" s="517">
        <f t="shared" si="7"/>
        <v>0</v>
      </c>
      <c r="U28" s="517">
        <f t="shared" si="2"/>
        <v>135000</v>
      </c>
      <c r="V28" s="517">
        <f t="shared" si="3"/>
        <v>135000</v>
      </c>
    </row>
    <row r="29" spans="2:22" ht="15">
      <c r="B29" s="31">
        <f t="shared" si="4"/>
        <v>21</v>
      </c>
      <c r="C29" s="148"/>
      <c r="D29" s="2"/>
      <c r="E29" s="599" t="s">
        <v>367</v>
      </c>
      <c r="F29" s="605"/>
      <c r="G29" s="606"/>
      <c r="H29" s="607">
        <f>170265+235-30-133470</f>
        <v>37000</v>
      </c>
      <c r="I29" s="606"/>
      <c r="J29" s="640">
        <f t="shared" si="8"/>
        <v>37000</v>
      </c>
      <c r="K29" s="640"/>
      <c r="L29" s="640">
        <f t="shared" si="5"/>
        <v>37000</v>
      </c>
      <c r="M29" s="174"/>
      <c r="N29" s="560"/>
      <c r="O29" s="548"/>
      <c r="P29" s="656"/>
      <c r="Q29" s="656"/>
      <c r="R29" s="850">
        <f t="shared" si="6"/>
        <v>0</v>
      </c>
      <c r="S29" s="175"/>
      <c r="T29" s="518">
        <f t="shared" si="7"/>
        <v>37000</v>
      </c>
      <c r="U29" s="518">
        <f t="shared" si="2"/>
        <v>0</v>
      </c>
      <c r="V29" s="518">
        <f aca="true" t="shared" si="9" ref="V29:V40">T29+U29</f>
        <v>37000</v>
      </c>
    </row>
    <row r="30" spans="2:22" ht="15.75">
      <c r="B30" s="31">
        <f t="shared" si="4"/>
        <v>22</v>
      </c>
      <c r="C30" s="37">
        <v>6</v>
      </c>
      <c r="D30" s="601" t="s">
        <v>161</v>
      </c>
      <c r="E30" s="39"/>
      <c r="F30" s="439"/>
      <c r="G30" s="440"/>
      <c r="H30" s="440">
        <v>5000</v>
      </c>
      <c r="I30" s="440"/>
      <c r="J30" s="645">
        <f t="shared" si="8"/>
        <v>5000</v>
      </c>
      <c r="K30" s="934"/>
      <c r="L30" s="763">
        <f t="shared" si="5"/>
        <v>5000</v>
      </c>
      <c r="M30" s="191"/>
      <c r="N30" s="263"/>
      <c r="O30" s="164"/>
      <c r="P30" s="655">
        <f>SUM(N30:O30)</f>
        <v>0</v>
      </c>
      <c r="Q30" s="939"/>
      <c r="R30" s="851">
        <f t="shared" si="6"/>
        <v>0</v>
      </c>
      <c r="S30" s="176"/>
      <c r="T30" s="754">
        <f t="shared" si="7"/>
        <v>5000</v>
      </c>
      <c r="U30" s="942">
        <f t="shared" si="2"/>
        <v>0</v>
      </c>
      <c r="V30" s="771">
        <f t="shared" si="9"/>
        <v>5000</v>
      </c>
    </row>
    <row r="31" spans="2:22" ht="15.75">
      <c r="B31" s="31">
        <f t="shared" si="4"/>
        <v>23</v>
      </c>
      <c r="C31" s="37">
        <v>7</v>
      </c>
      <c r="D31" s="601" t="s">
        <v>162</v>
      </c>
      <c r="E31" s="39"/>
      <c r="F31" s="439"/>
      <c r="G31" s="440"/>
      <c r="H31" s="440">
        <f>SUM(H32:H34)</f>
        <v>103285</v>
      </c>
      <c r="I31" s="440"/>
      <c r="J31" s="645">
        <f t="shared" si="8"/>
        <v>103285</v>
      </c>
      <c r="K31" s="934"/>
      <c r="L31" s="763">
        <f t="shared" si="5"/>
        <v>103285</v>
      </c>
      <c r="M31" s="191"/>
      <c r="N31" s="263">
        <f>N33+N34</f>
        <v>19015</v>
      </c>
      <c r="O31" s="164"/>
      <c r="P31" s="655">
        <f>SUM(N31:O31)</f>
        <v>19015</v>
      </c>
      <c r="Q31" s="939"/>
      <c r="R31" s="851">
        <f t="shared" si="6"/>
        <v>19015</v>
      </c>
      <c r="S31" s="176"/>
      <c r="T31" s="754">
        <f t="shared" si="7"/>
        <v>122300</v>
      </c>
      <c r="U31" s="942">
        <f t="shared" si="2"/>
        <v>0</v>
      </c>
      <c r="V31" s="771">
        <f t="shared" si="9"/>
        <v>122300</v>
      </c>
    </row>
    <row r="32" spans="2:22" ht="15">
      <c r="B32" s="31">
        <f t="shared" si="4"/>
        <v>24</v>
      </c>
      <c r="C32" s="147"/>
      <c r="D32" s="2"/>
      <c r="E32" s="599" t="s">
        <v>367</v>
      </c>
      <c r="F32" s="605"/>
      <c r="G32" s="606"/>
      <c r="H32" s="607">
        <v>6787</v>
      </c>
      <c r="I32" s="606"/>
      <c r="J32" s="641">
        <f>H32</f>
        <v>6787</v>
      </c>
      <c r="K32" s="641"/>
      <c r="L32" s="641">
        <f t="shared" si="5"/>
        <v>6787</v>
      </c>
      <c r="M32" s="174"/>
      <c r="N32" s="555"/>
      <c r="O32" s="543"/>
      <c r="P32" s="656"/>
      <c r="Q32" s="656"/>
      <c r="R32" s="850">
        <f t="shared" si="6"/>
        <v>0</v>
      </c>
      <c r="S32" s="175"/>
      <c r="T32" s="518">
        <f t="shared" si="7"/>
        <v>6787</v>
      </c>
      <c r="U32" s="518">
        <f t="shared" si="2"/>
        <v>0</v>
      </c>
      <c r="V32" s="518">
        <f t="shared" si="9"/>
        <v>6787</v>
      </c>
    </row>
    <row r="33" spans="2:22" ht="15">
      <c r="B33" s="31">
        <f t="shared" si="4"/>
        <v>25</v>
      </c>
      <c r="C33" s="147"/>
      <c r="D33" s="2"/>
      <c r="E33" s="599" t="s">
        <v>395</v>
      </c>
      <c r="F33" s="605"/>
      <c r="G33" s="606"/>
      <c r="H33" s="607">
        <v>96498</v>
      </c>
      <c r="I33" s="606"/>
      <c r="J33" s="641">
        <f>H33</f>
        <v>96498</v>
      </c>
      <c r="K33" s="641"/>
      <c r="L33" s="641">
        <f t="shared" si="5"/>
        <v>96498</v>
      </c>
      <c r="M33" s="174"/>
      <c r="N33" s="607">
        <v>2015</v>
      </c>
      <c r="O33" s="543"/>
      <c r="P33" s="658">
        <f>SUM(N33:O33)</f>
        <v>2015</v>
      </c>
      <c r="Q33" s="658"/>
      <c r="R33" s="853">
        <f t="shared" si="6"/>
        <v>2015</v>
      </c>
      <c r="S33" s="175"/>
      <c r="T33" s="518">
        <f t="shared" si="7"/>
        <v>98513</v>
      </c>
      <c r="U33" s="518">
        <f t="shared" si="2"/>
        <v>0</v>
      </c>
      <c r="V33" s="518">
        <f t="shared" si="9"/>
        <v>98513</v>
      </c>
    </row>
    <row r="34" spans="2:22" ht="15">
      <c r="B34" s="31">
        <f t="shared" si="4"/>
        <v>26</v>
      </c>
      <c r="C34" s="148"/>
      <c r="D34" s="2"/>
      <c r="E34" s="598" t="s">
        <v>366</v>
      </c>
      <c r="F34" s="611"/>
      <c r="G34" s="612"/>
      <c r="H34" s="613">
        <v>0</v>
      </c>
      <c r="I34" s="612"/>
      <c r="J34" s="647">
        <f>SUM(F34:I34)</f>
        <v>0</v>
      </c>
      <c r="K34" s="647"/>
      <c r="L34" s="647">
        <f t="shared" si="5"/>
        <v>0</v>
      </c>
      <c r="M34" s="174"/>
      <c r="N34" s="689">
        <v>17000</v>
      </c>
      <c r="O34" s="507"/>
      <c r="P34" s="690">
        <f>SUM(N34:O34)</f>
        <v>17000</v>
      </c>
      <c r="Q34" s="690"/>
      <c r="R34" s="690">
        <f t="shared" si="6"/>
        <v>17000</v>
      </c>
      <c r="S34" s="175"/>
      <c r="T34" s="517">
        <f t="shared" si="7"/>
        <v>17000</v>
      </c>
      <c r="U34" s="517">
        <f t="shared" si="2"/>
        <v>0</v>
      </c>
      <c r="V34" s="517">
        <f t="shared" si="9"/>
        <v>17000</v>
      </c>
    </row>
    <row r="35" spans="2:22" ht="15.75">
      <c r="B35" s="31">
        <f t="shared" si="4"/>
        <v>27</v>
      </c>
      <c r="C35" s="37">
        <v>8</v>
      </c>
      <c r="D35" s="601" t="s">
        <v>163</v>
      </c>
      <c r="E35" s="39"/>
      <c r="F35" s="439"/>
      <c r="G35" s="440"/>
      <c r="H35" s="440">
        <v>25000</v>
      </c>
      <c r="I35" s="440"/>
      <c r="J35" s="645">
        <f>SUM(F35:I35)</f>
        <v>25000</v>
      </c>
      <c r="K35" s="934"/>
      <c r="L35" s="763">
        <f t="shared" si="5"/>
        <v>25000</v>
      </c>
      <c r="M35" s="191"/>
      <c r="N35" s="263"/>
      <c r="O35" s="164"/>
      <c r="P35" s="655">
        <f>SUM(N35:O35)</f>
        <v>0</v>
      </c>
      <c r="Q35" s="939"/>
      <c r="R35" s="851">
        <f t="shared" si="6"/>
        <v>0</v>
      </c>
      <c r="S35" s="176"/>
      <c r="T35" s="754">
        <f t="shared" si="7"/>
        <v>25000</v>
      </c>
      <c r="U35" s="942">
        <f t="shared" si="2"/>
        <v>0</v>
      </c>
      <c r="V35" s="771">
        <f t="shared" si="9"/>
        <v>25000</v>
      </c>
    </row>
    <row r="36" spans="2:22" ht="15">
      <c r="B36" s="31">
        <f t="shared" si="4"/>
        <v>28</v>
      </c>
      <c r="C36" s="147"/>
      <c r="D36" s="2"/>
      <c r="E36" s="599" t="s">
        <v>367</v>
      </c>
      <c r="F36" s="605"/>
      <c r="G36" s="606"/>
      <c r="H36" s="607">
        <v>1743</v>
      </c>
      <c r="I36" s="606"/>
      <c r="J36" s="641">
        <f>H36</f>
        <v>1743</v>
      </c>
      <c r="K36" s="641"/>
      <c r="L36" s="641">
        <f t="shared" si="5"/>
        <v>1743</v>
      </c>
      <c r="M36" s="174"/>
      <c r="N36" s="555"/>
      <c r="O36" s="543"/>
      <c r="P36" s="656"/>
      <c r="Q36" s="656"/>
      <c r="R36" s="854">
        <f t="shared" si="6"/>
        <v>0</v>
      </c>
      <c r="S36" s="175"/>
      <c r="T36" s="518">
        <f t="shared" si="7"/>
        <v>1743</v>
      </c>
      <c r="U36" s="518">
        <f t="shared" si="2"/>
        <v>0</v>
      </c>
      <c r="V36" s="518">
        <f t="shared" si="9"/>
        <v>1743</v>
      </c>
    </row>
    <row r="37" spans="2:22" ht="15">
      <c r="B37" s="31">
        <f t="shared" si="4"/>
        <v>29</v>
      </c>
      <c r="C37" s="147"/>
      <c r="D37" s="2"/>
      <c r="E37" s="599" t="s">
        <v>395</v>
      </c>
      <c r="F37" s="605"/>
      <c r="G37" s="606"/>
      <c r="H37" s="607">
        <f>H35-H36</f>
        <v>23257</v>
      </c>
      <c r="I37" s="606"/>
      <c r="J37" s="641">
        <f>H37</f>
        <v>23257</v>
      </c>
      <c r="K37" s="641"/>
      <c r="L37" s="641">
        <f t="shared" si="5"/>
        <v>23257</v>
      </c>
      <c r="M37" s="174"/>
      <c r="N37" s="555"/>
      <c r="O37" s="543"/>
      <c r="P37" s="656"/>
      <c r="Q37" s="656"/>
      <c r="R37" s="850">
        <f t="shared" si="6"/>
        <v>0</v>
      </c>
      <c r="S37" s="175"/>
      <c r="T37" s="518"/>
      <c r="U37" s="518">
        <f t="shared" si="2"/>
        <v>0</v>
      </c>
      <c r="V37" s="518">
        <f t="shared" si="9"/>
        <v>0</v>
      </c>
    </row>
    <row r="38" spans="2:22" ht="15.75">
      <c r="B38" s="31">
        <f>B36+1</f>
        <v>29</v>
      </c>
      <c r="C38" s="37">
        <v>9</v>
      </c>
      <c r="D38" s="601" t="s">
        <v>164</v>
      </c>
      <c r="E38" s="39"/>
      <c r="F38" s="439"/>
      <c r="G38" s="440"/>
      <c r="H38" s="440">
        <f>SUM(H39:H40)</f>
        <v>8000</v>
      </c>
      <c r="I38" s="440"/>
      <c r="J38" s="645">
        <f>SUM(F38:I38)</f>
        <v>8000</v>
      </c>
      <c r="K38" s="934">
        <f>K39</f>
        <v>900</v>
      </c>
      <c r="L38" s="763">
        <f t="shared" si="5"/>
        <v>8900</v>
      </c>
      <c r="M38" s="191"/>
      <c r="N38" s="263"/>
      <c r="O38" s="164"/>
      <c r="P38" s="659">
        <f>SUM(N38:O38)</f>
        <v>0</v>
      </c>
      <c r="Q38" s="938"/>
      <c r="R38" s="855">
        <f t="shared" si="6"/>
        <v>0</v>
      </c>
      <c r="S38" s="176"/>
      <c r="T38" s="754">
        <f>J38+P38</f>
        <v>8000</v>
      </c>
      <c r="U38" s="942">
        <f t="shared" si="2"/>
        <v>900</v>
      </c>
      <c r="V38" s="771">
        <f t="shared" si="9"/>
        <v>8900</v>
      </c>
    </row>
    <row r="39" spans="2:22" ht="15">
      <c r="B39" s="31">
        <f t="shared" si="4"/>
        <v>30</v>
      </c>
      <c r="C39" s="147"/>
      <c r="D39" s="2"/>
      <c r="E39" s="599" t="s">
        <v>395</v>
      </c>
      <c r="F39" s="605"/>
      <c r="G39" s="606"/>
      <c r="H39" s="607">
        <v>6105</v>
      </c>
      <c r="I39" s="606"/>
      <c r="J39" s="641">
        <f>H39</f>
        <v>6105</v>
      </c>
      <c r="K39" s="641">
        <v>900</v>
      </c>
      <c r="L39" s="641">
        <f t="shared" si="5"/>
        <v>7005</v>
      </c>
      <c r="M39" s="174"/>
      <c r="N39" s="555"/>
      <c r="O39" s="543"/>
      <c r="P39" s="656"/>
      <c r="Q39" s="656"/>
      <c r="R39" s="850">
        <f t="shared" si="6"/>
        <v>0</v>
      </c>
      <c r="S39" s="175"/>
      <c r="T39" s="518"/>
      <c r="U39" s="518">
        <f t="shared" si="2"/>
        <v>900</v>
      </c>
      <c r="V39" s="518">
        <f t="shared" si="9"/>
        <v>900</v>
      </c>
    </row>
    <row r="40" spans="2:22" ht="15.75" thickBot="1">
      <c r="B40" s="32">
        <f>B38+1</f>
        <v>30</v>
      </c>
      <c r="C40" s="541"/>
      <c r="D40" s="55"/>
      <c r="E40" s="600" t="s">
        <v>367</v>
      </c>
      <c r="F40" s="614"/>
      <c r="G40" s="615"/>
      <c r="H40" s="616">
        <v>1895</v>
      </c>
      <c r="I40" s="615"/>
      <c r="J40" s="654">
        <f>H40</f>
        <v>1895</v>
      </c>
      <c r="K40" s="654"/>
      <c r="L40" s="654">
        <f t="shared" si="5"/>
        <v>1895</v>
      </c>
      <c r="M40" s="174"/>
      <c r="N40" s="556"/>
      <c r="O40" s="545"/>
      <c r="P40" s="660"/>
      <c r="Q40" s="660"/>
      <c r="R40" s="856">
        <f t="shared" si="6"/>
        <v>0</v>
      </c>
      <c r="S40" s="175"/>
      <c r="T40" s="498">
        <f>J40+P40</f>
        <v>1895</v>
      </c>
      <c r="U40" s="498">
        <f t="shared" si="2"/>
        <v>0</v>
      </c>
      <c r="V40" s="498">
        <f t="shared" si="9"/>
        <v>1895</v>
      </c>
    </row>
    <row r="41" spans="8:21" ht="12.75">
      <c r="H41" s="19"/>
      <c r="I41" s="157"/>
      <c r="J41" s="19"/>
      <c r="K41" s="19"/>
      <c r="L41" s="19"/>
      <c r="T41" s="519"/>
      <c r="U41" s="176"/>
    </row>
    <row r="42" spans="5:12" ht="12.75">
      <c r="E42" s="499"/>
      <c r="J42" s="19"/>
      <c r="K42" s="19"/>
      <c r="L42" s="19"/>
    </row>
    <row r="43" spans="10:12" ht="12.75">
      <c r="J43" s="19"/>
      <c r="K43" s="19"/>
      <c r="L43" s="19"/>
    </row>
    <row r="44" spans="5:12" ht="12.75">
      <c r="E44" s="176"/>
      <c r="F44" s="176"/>
      <c r="G44" s="176"/>
      <c r="H44" s="176"/>
      <c r="I44" s="305"/>
      <c r="J44" s="565"/>
      <c r="K44" s="565"/>
      <c r="L44" s="565"/>
    </row>
    <row r="45" spans="5:12" ht="12.75">
      <c r="E45" s="205"/>
      <c r="F45" s="176"/>
      <c r="G45" s="176"/>
      <c r="H45" s="176"/>
      <c r="I45" s="176"/>
      <c r="J45" s="176"/>
      <c r="K45" s="176"/>
      <c r="L45" s="176"/>
    </row>
    <row r="46" spans="5:12" ht="12.75">
      <c r="E46" s="536"/>
      <c r="F46" s="562"/>
      <c r="G46" s="563"/>
      <c r="H46" s="564"/>
      <c r="I46" s="176"/>
      <c r="J46" s="176"/>
      <c r="K46" s="176"/>
      <c r="L46" s="176"/>
    </row>
    <row r="47" spans="5:12" ht="12.75">
      <c r="E47" s="536"/>
      <c r="F47" s="562"/>
      <c r="G47" s="563"/>
      <c r="H47" s="564"/>
      <c r="I47" s="176"/>
      <c r="J47" s="176"/>
      <c r="K47" s="176"/>
      <c r="L47" s="176"/>
    </row>
    <row r="48" spans="5:12" ht="12.75">
      <c r="E48" s="536"/>
      <c r="F48" s="562"/>
      <c r="G48" s="563"/>
      <c r="H48" s="564"/>
      <c r="I48" s="176"/>
      <c r="J48" s="176"/>
      <c r="K48" s="176"/>
      <c r="L48" s="176"/>
    </row>
    <row r="49" spans="5:12" ht="12.75">
      <c r="E49" s="536"/>
      <c r="F49" s="562"/>
      <c r="G49" s="563"/>
      <c r="H49" s="564"/>
      <c r="I49" s="176"/>
      <c r="J49" s="176"/>
      <c r="K49" s="176"/>
      <c r="L49" s="176"/>
    </row>
    <row r="50" spans="5:12" ht="12.75">
      <c r="E50" s="536"/>
      <c r="F50" s="562"/>
      <c r="G50" s="563"/>
      <c r="H50" s="564"/>
      <c r="I50" s="176"/>
      <c r="J50" s="176"/>
      <c r="K50" s="176"/>
      <c r="L50" s="176"/>
    </row>
    <row r="51" spans="5:12" ht="12.75">
      <c r="E51" s="536"/>
      <c r="F51" s="562"/>
      <c r="G51" s="563"/>
      <c r="H51" s="564"/>
      <c r="I51" s="176"/>
      <c r="J51" s="176"/>
      <c r="K51" s="176"/>
      <c r="L51" s="176"/>
    </row>
    <row r="52" spans="5:12" ht="12.75">
      <c r="E52" s="536"/>
      <c r="F52" s="562"/>
      <c r="G52" s="563"/>
      <c r="H52" s="564"/>
      <c r="I52" s="176"/>
      <c r="J52" s="176"/>
      <c r="K52" s="176"/>
      <c r="L52" s="176"/>
    </row>
    <row r="53" spans="5:12" ht="12.75">
      <c r="E53" s="536"/>
      <c r="F53" s="562"/>
      <c r="G53" s="563"/>
      <c r="H53" s="564"/>
      <c r="I53" s="176"/>
      <c r="J53" s="176"/>
      <c r="K53" s="176"/>
      <c r="L53" s="176"/>
    </row>
    <row r="54" spans="5:12" ht="12.75">
      <c r="E54" s="536"/>
      <c r="F54" s="562"/>
      <c r="G54" s="563"/>
      <c r="H54" s="564"/>
      <c r="I54" s="176"/>
      <c r="J54" s="176"/>
      <c r="K54" s="176"/>
      <c r="L54" s="176"/>
    </row>
    <row r="55" spans="5:12" ht="12.75">
      <c r="E55" s="536"/>
      <c r="F55" s="562"/>
      <c r="G55" s="563"/>
      <c r="H55" s="564"/>
      <c r="I55" s="176"/>
      <c r="J55" s="176"/>
      <c r="K55" s="176"/>
      <c r="L55" s="176"/>
    </row>
    <row r="56" spans="5:12" ht="12.75">
      <c r="E56" s="536"/>
      <c r="F56" s="562"/>
      <c r="G56" s="563"/>
      <c r="H56" s="564"/>
      <c r="I56" s="176"/>
      <c r="J56" s="176"/>
      <c r="K56" s="176"/>
      <c r="L56" s="176"/>
    </row>
    <row r="57" spans="5:12" ht="12.75">
      <c r="E57" s="536"/>
      <c r="F57" s="562"/>
      <c r="G57" s="563"/>
      <c r="H57" s="564"/>
      <c r="I57" s="176"/>
      <c r="J57" s="176"/>
      <c r="K57" s="176"/>
      <c r="L57" s="176"/>
    </row>
    <row r="58" spans="5:12" ht="12.75">
      <c r="E58" s="536"/>
      <c r="F58" s="562"/>
      <c r="G58" s="563"/>
      <c r="H58" s="564"/>
      <c r="I58" s="176"/>
      <c r="J58" s="176"/>
      <c r="K58" s="176"/>
      <c r="L58" s="176"/>
    </row>
    <row r="59" spans="5:12" ht="12.75">
      <c r="E59" s="536"/>
      <c r="F59" s="562"/>
      <c r="G59" s="563"/>
      <c r="H59" s="564"/>
      <c r="I59" s="176"/>
      <c r="J59" s="176"/>
      <c r="K59" s="176"/>
      <c r="L59" s="176"/>
    </row>
    <row r="60" spans="5:12" ht="12.75">
      <c r="E60" s="536"/>
      <c r="F60" s="562"/>
      <c r="G60" s="563"/>
      <c r="H60" s="564"/>
      <c r="I60" s="176"/>
      <c r="J60" s="176"/>
      <c r="K60" s="176"/>
      <c r="L60" s="176"/>
    </row>
    <row r="61" spans="5:12" ht="12.75">
      <c r="E61" s="536"/>
      <c r="F61" s="562"/>
      <c r="G61" s="563"/>
      <c r="H61" s="564"/>
      <c r="I61" s="176"/>
      <c r="J61" s="176"/>
      <c r="K61" s="176"/>
      <c r="L61" s="176"/>
    </row>
    <row r="62" spans="5:12" ht="12.75">
      <c r="E62" s="536"/>
      <c r="F62" s="562"/>
      <c r="G62" s="563"/>
      <c r="H62" s="564"/>
      <c r="I62" s="176"/>
      <c r="J62" s="176"/>
      <c r="K62" s="176"/>
      <c r="L62" s="176"/>
    </row>
    <row r="63" spans="5:12" ht="12.75">
      <c r="E63" s="536"/>
      <c r="F63" s="562"/>
      <c r="G63" s="563"/>
      <c r="H63" s="564"/>
      <c r="I63" s="176"/>
      <c r="J63" s="176"/>
      <c r="K63" s="176"/>
      <c r="L63" s="176"/>
    </row>
    <row r="64" spans="5:12" ht="12.75">
      <c r="E64" s="536"/>
      <c r="F64" s="562"/>
      <c r="G64" s="563"/>
      <c r="H64" s="564"/>
      <c r="I64" s="176"/>
      <c r="J64" s="176"/>
      <c r="K64" s="176"/>
      <c r="L64" s="176"/>
    </row>
    <row r="65" spans="5:12" ht="12.75">
      <c r="E65" s="536"/>
      <c r="F65" s="562"/>
      <c r="G65" s="563"/>
      <c r="H65" s="564"/>
      <c r="I65" s="176"/>
      <c r="J65" s="176"/>
      <c r="K65" s="176"/>
      <c r="L65" s="176"/>
    </row>
    <row r="66" spans="5:12" ht="12.75">
      <c r="E66" s="536"/>
      <c r="F66" s="562"/>
      <c r="G66" s="563"/>
      <c r="H66" s="564"/>
      <c r="I66" s="176"/>
      <c r="J66" s="176"/>
      <c r="K66" s="176"/>
      <c r="L66" s="176"/>
    </row>
    <row r="67" spans="5:12" ht="12.75">
      <c r="E67" s="536"/>
      <c r="F67" s="562"/>
      <c r="G67" s="563"/>
      <c r="H67" s="564"/>
      <c r="I67" s="176"/>
      <c r="J67" s="176"/>
      <c r="K67" s="176"/>
      <c r="L67" s="176"/>
    </row>
    <row r="68" spans="5:12" ht="12.75">
      <c r="E68" s="536"/>
      <c r="F68" s="562"/>
      <c r="G68" s="563"/>
      <c r="H68" s="564"/>
      <c r="I68" s="176"/>
      <c r="J68" s="176"/>
      <c r="K68" s="176"/>
      <c r="L68" s="176"/>
    </row>
    <row r="69" spans="5:12" ht="12.75">
      <c r="E69" s="536"/>
      <c r="F69" s="562"/>
      <c r="G69" s="563"/>
      <c r="H69" s="564"/>
      <c r="I69" s="176"/>
      <c r="J69" s="176"/>
      <c r="K69" s="176"/>
      <c r="L69" s="176"/>
    </row>
    <row r="70" spans="5:12" ht="12.75">
      <c r="E70" s="536"/>
      <c r="F70" s="562"/>
      <c r="G70" s="563"/>
      <c r="H70" s="564"/>
      <c r="I70" s="176"/>
      <c r="J70" s="176"/>
      <c r="K70" s="176"/>
      <c r="L70" s="176"/>
    </row>
    <row r="71" spans="5:12" ht="12.75">
      <c r="E71" s="536"/>
      <c r="F71" s="562"/>
      <c r="G71" s="563"/>
      <c r="H71" s="564"/>
      <c r="I71" s="176"/>
      <c r="J71" s="176"/>
      <c r="K71" s="176"/>
      <c r="L71" s="176"/>
    </row>
    <row r="72" spans="5:12" ht="12.75">
      <c r="E72" s="536"/>
      <c r="F72" s="562"/>
      <c r="G72" s="563"/>
      <c r="H72" s="564"/>
      <c r="I72" s="176"/>
      <c r="J72" s="176"/>
      <c r="K72" s="176"/>
      <c r="L72" s="176"/>
    </row>
    <row r="73" spans="5:12" ht="12.75">
      <c r="E73" s="536"/>
      <c r="F73" s="562"/>
      <c r="G73" s="563"/>
      <c r="H73" s="564"/>
      <c r="I73" s="176"/>
      <c r="J73" s="176"/>
      <c r="K73" s="176"/>
      <c r="L73" s="176"/>
    </row>
    <row r="74" spans="5:12" ht="12.75">
      <c r="E74" s="536"/>
      <c r="F74" s="562"/>
      <c r="G74" s="563"/>
      <c r="H74" s="564"/>
      <c r="I74" s="176"/>
      <c r="J74" s="176"/>
      <c r="K74" s="176"/>
      <c r="L74" s="176"/>
    </row>
    <row r="75" spans="5:12" ht="12.75">
      <c r="E75" s="536"/>
      <c r="F75" s="562"/>
      <c r="G75" s="563"/>
      <c r="H75" s="564"/>
      <c r="I75" s="176"/>
      <c r="J75" s="176"/>
      <c r="K75" s="176"/>
      <c r="L75" s="176"/>
    </row>
    <row r="76" spans="5:12" ht="12.75">
      <c r="E76" s="536"/>
      <c r="F76" s="562"/>
      <c r="G76" s="563"/>
      <c r="H76" s="564"/>
      <c r="I76" s="176"/>
      <c r="J76" s="176"/>
      <c r="K76" s="176"/>
      <c r="L76" s="176"/>
    </row>
    <row r="77" spans="5:12" ht="12.75">
      <c r="E77" s="536"/>
      <c r="F77" s="562"/>
      <c r="G77" s="563"/>
      <c r="H77" s="564"/>
      <c r="I77" s="176"/>
      <c r="J77" s="176"/>
      <c r="K77" s="176"/>
      <c r="L77" s="176"/>
    </row>
    <row r="78" spans="5:12" ht="12.75">
      <c r="E78" s="536"/>
      <c r="F78" s="562"/>
      <c r="G78" s="563"/>
      <c r="H78" s="564"/>
      <c r="I78" s="176"/>
      <c r="J78" s="176"/>
      <c r="K78" s="176"/>
      <c r="L78" s="176"/>
    </row>
    <row r="79" spans="5:12" ht="12.75">
      <c r="E79" s="536"/>
      <c r="F79" s="562"/>
      <c r="G79" s="563"/>
      <c r="H79" s="564"/>
      <c r="I79" s="176"/>
      <c r="J79" s="176"/>
      <c r="K79" s="176"/>
      <c r="L79" s="176"/>
    </row>
    <row r="80" spans="5:12" ht="12.75">
      <c r="E80" s="536"/>
      <c r="F80" s="562"/>
      <c r="G80" s="563"/>
      <c r="H80" s="564"/>
      <c r="I80" s="176"/>
      <c r="J80" s="176"/>
      <c r="K80" s="176"/>
      <c r="L80" s="176"/>
    </row>
    <row r="81" spans="5:12" ht="12.75">
      <c r="E81" s="536"/>
      <c r="F81" s="562"/>
      <c r="G81" s="563"/>
      <c r="H81" s="564"/>
      <c r="I81" s="176"/>
      <c r="J81" s="176"/>
      <c r="K81" s="176"/>
      <c r="L81" s="176"/>
    </row>
    <row r="82" spans="5:12" ht="12.75">
      <c r="E82" s="536"/>
      <c r="F82" s="562"/>
      <c r="G82" s="563"/>
      <c r="H82" s="564"/>
      <c r="I82" s="176"/>
      <c r="J82" s="176"/>
      <c r="K82" s="176"/>
      <c r="L82" s="176"/>
    </row>
    <row r="83" spans="5:12" ht="12.75">
      <c r="E83" s="536"/>
      <c r="F83" s="562"/>
      <c r="G83" s="563"/>
      <c r="H83" s="564"/>
      <c r="I83" s="176"/>
      <c r="J83" s="176"/>
      <c r="K83" s="176"/>
      <c r="L83" s="176"/>
    </row>
    <row r="84" spans="5:12" ht="12.75">
      <c r="E84" s="536"/>
      <c r="F84" s="562"/>
      <c r="G84" s="563"/>
      <c r="H84" s="564"/>
      <c r="I84" s="176"/>
      <c r="J84" s="176"/>
      <c r="K84" s="176"/>
      <c r="L84" s="176"/>
    </row>
    <row r="85" spans="5:12" ht="12.75">
      <c r="E85" s="536"/>
      <c r="F85" s="562"/>
      <c r="G85" s="563"/>
      <c r="H85" s="564"/>
      <c r="I85" s="176"/>
      <c r="J85" s="176"/>
      <c r="K85" s="176"/>
      <c r="L85" s="176"/>
    </row>
    <row r="86" spans="5:12" ht="12.75">
      <c r="E86" s="536"/>
      <c r="F86" s="562"/>
      <c r="G86" s="563"/>
      <c r="H86" s="564"/>
      <c r="I86" s="176"/>
      <c r="J86" s="176"/>
      <c r="K86" s="176"/>
      <c r="L86" s="176"/>
    </row>
    <row r="87" spans="5:12" ht="12.75">
      <c r="E87" s="536"/>
      <c r="F87" s="562"/>
      <c r="G87" s="563"/>
      <c r="H87" s="564"/>
      <c r="I87" s="176"/>
      <c r="J87" s="176"/>
      <c r="K87" s="176"/>
      <c r="L87" s="176"/>
    </row>
    <row r="88" spans="5:12" ht="12.75">
      <c r="E88" s="536"/>
      <c r="F88" s="562"/>
      <c r="G88" s="563"/>
      <c r="H88" s="564"/>
      <c r="I88" s="176"/>
      <c r="J88" s="176"/>
      <c r="K88" s="176"/>
      <c r="L88" s="176"/>
    </row>
    <row r="89" spans="5:12" ht="12.75">
      <c r="E89" s="536"/>
      <c r="F89" s="562"/>
      <c r="G89" s="563"/>
      <c r="H89" s="564"/>
      <c r="I89" s="176"/>
      <c r="J89" s="176"/>
      <c r="K89" s="176"/>
      <c r="L89" s="176"/>
    </row>
    <row r="90" spans="5:12" ht="12.75">
      <c r="E90" s="536"/>
      <c r="F90" s="562"/>
      <c r="G90" s="563"/>
      <c r="H90" s="564"/>
      <c r="I90" s="176"/>
      <c r="J90" s="176"/>
      <c r="K90" s="176"/>
      <c r="L90" s="176"/>
    </row>
    <row r="91" spans="5:12" ht="12.75">
      <c r="E91" s="536"/>
      <c r="F91" s="562"/>
      <c r="G91" s="563"/>
      <c r="H91" s="564"/>
      <c r="I91" s="176"/>
      <c r="J91" s="176"/>
      <c r="K91" s="176"/>
      <c r="L91" s="176"/>
    </row>
    <row r="92" spans="5:12" ht="12.75">
      <c r="E92" s="536"/>
      <c r="F92" s="562"/>
      <c r="G92" s="563"/>
      <c r="H92" s="564"/>
      <c r="I92" s="176"/>
      <c r="J92" s="176"/>
      <c r="K92" s="176"/>
      <c r="L92" s="176"/>
    </row>
    <row r="93" spans="5:12" ht="12.75">
      <c r="E93" s="536"/>
      <c r="F93" s="562"/>
      <c r="G93" s="563"/>
      <c r="H93" s="564"/>
      <c r="I93" s="176"/>
      <c r="J93" s="176"/>
      <c r="K93" s="176"/>
      <c r="L93" s="176"/>
    </row>
    <row r="94" spans="5:12" ht="12.75">
      <c r="E94" s="536"/>
      <c r="F94" s="562"/>
      <c r="G94" s="563"/>
      <c r="H94" s="564"/>
      <c r="I94" s="176"/>
      <c r="J94" s="176"/>
      <c r="K94" s="176"/>
      <c r="L94" s="176"/>
    </row>
    <row r="95" spans="5:12" ht="12.75">
      <c r="E95" s="536"/>
      <c r="F95" s="562"/>
      <c r="G95" s="563"/>
      <c r="H95" s="564"/>
      <c r="I95" s="176"/>
      <c r="J95" s="176"/>
      <c r="K95" s="176"/>
      <c r="L95" s="176"/>
    </row>
    <row r="96" spans="5:12" ht="12.75">
      <c r="E96" s="536"/>
      <c r="F96" s="562"/>
      <c r="G96" s="563"/>
      <c r="H96" s="564"/>
      <c r="I96" s="176"/>
      <c r="J96" s="176"/>
      <c r="K96" s="176"/>
      <c r="L96" s="176"/>
    </row>
    <row r="97" spans="5:12" ht="12.75">
      <c r="E97" s="536"/>
      <c r="F97" s="562"/>
      <c r="G97" s="563"/>
      <c r="H97" s="564"/>
      <c r="I97" s="176"/>
      <c r="J97" s="176"/>
      <c r="K97" s="176"/>
      <c r="L97" s="176"/>
    </row>
    <row r="98" spans="5:12" ht="12.75">
      <c r="E98" s="536"/>
      <c r="F98" s="562"/>
      <c r="G98" s="563"/>
      <c r="H98" s="564"/>
      <c r="I98" s="176"/>
      <c r="J98" s="176"/>
      <c r="K98" s="176"/>
      <c r="L98" s="176"/>
    </row>
    <row r="99" spans="5:12" ht="12.75">
      <c r="E99" s="536"/>
      <c r="F99" s="562"/>
      <c r="G99" s="563"/>
      <c r="H99" s="564"/>
      <c r="I99" s="176"/>
      <c r="J99" s="176"/>
      <c r="K99" s="176"/>
      <c r="L99" s="176"/>
    </row>
    <row r="100" spans="5:12" ht="12.75">
      <c r="E100" s="536"/>
      <c r="F100" s="562"/>
      <c r="G100" s="563"/>
      <c r="H100" s="564"/>
      <c r="I100" s="176"/>
      <c r="J100" s="176"/>
      <c r="K100" s="176"/>
      <c r="L100" s="176"/>
    </row>
    <row r="101" spans="5:12" ht="12.75">
      <c r="E101" s="536"/>
      <c r="F101" s="562"/>
      <c r="G101" s="563"/>
      <c r="H101" s="564"/>
      <c r="I101" s="176"/>
      <c r="J101" s="176"/>
      <c r="K101" s="176"/>
      <c r="L101" s="176"/>
    </row>
    <row r="102" spans="5:12" ht="12.75">
      <c r="E102" s="536"/>
      <c r="F102" s="562"/>
      <c r="G102" s="563"/>
      <c r="H102" s="564"/>
      <c r="I102" s="176"/>
      <c r="J102" s="176"/>
      <c r="K102" s="176"/>
      <c r="L102" s="176"/>
    </row>
    <row r="103" spans="5:12" ht="12.75">
      <c r="E103" s="536"/>
      <c r="F103" s="562"/>
      <c r="G103" s="563"/>
      <c r="H103" s="564"/>
      <c r="I103" s="176"/>
      <c r="J103" s="566"/>
      <c r="K103" s="566"/>
      <c r="L103" s="566"/>
    </row>
    <row r="104" spans="5:12" ht="12.75">
      <c r="E104" s="536"/>
      <c r="F104" s="562"/>
      <c r="G104" s="563"/>
      <c r="H104" s="564"/>
      <c r="I104" s="176"/>
      <c r="J104" s="176"/>
      <c r="K104" s="176"/>
      <c r="L104" s="176"/>
    </row>
    <row r="105" spans="5:12" ht="12.75">
      <c r="E105" s="536"/>
      <c r="F105" s="562"/>
      <c r="G105" s="563"/>
      <c r="H105" s="564"/>
      <c r="I105" s="176"/>
      <c r="J105" s="176"/>
      <c r="K105" s="176"/>
      <c r="L105" s="176"/>
    </row>
    <row r="106" spans="5:12" ht="12.75">
      <c r="E106" s="536"/>
      <c r="F106" s="562"/>
      <c r="G106" s="563"/>
      <c r="H106" s="564"/>
      <c r="I106" s="176"/>
      <c r="J106" s="176"/>
      <c r="K106" s="176"/>
      <c r="L106" s="176"/>
    </row>
    <row r="107" spans="5:12" ht="12.75">
      <c r="E107" s="536"/>
      <c r="F107" s="562"/>
      <c r="G107" s="563"/>
      <c r="H107" s="564"/>
      <c r="I107" s="176"/>
      <c r="J107" s="176"/>
      <c r="K107" s="176"/>
      <c r="L107" s="176"/>
    </row>
    <row r="108" spans="5:12" ht="12.75">
      <c r="E108" s="536"/>
      <c r="F108" s="562"/>
      <c r="G108" s="563"/>
      <c r="H108" s="564"/>
      <c r="I108" s="176"/>
      <c r="J108" s="176"/>
      <c r="K108" s="176"/>
      <c r="L108" s="176"/>
    </row>
    <row r="109" spans="5:12" ht="12.75">
      <c r="E109" s="536"/>
      <c r="F109" s="562"/>
      <c r="G109" s="563"/>
      <c r="H109" s="564"/>
      <c r="I109" s="176"/>
      <c r="J109" s="176"/>
      <c r="K109" s="176"/>
      <c r="L109" s="176"/>
    </row>
    <row r="110" spans="5:12" ht="12.75">
      <c r="E110" s="536"/>
      <c r="F110" s="562"/>
      <c r="G110" s="563"/>
      <c r="H110" s="564"/>
      <c r="I110" s="176"/>
      <c r="J110" s="176"/>
      <c r="K110" s="176"/>
      <c r="L110" s="176"/>
    </row>
    <row r="111" spans="5:12" ht="12.75">
      <c r="E111" s="536"/>
      <c r="F111" s="562"/>
      <c r="G111" s="563"/>
      <c r="H111" s="564"/>
      <c r="I111" s="176"/>
      <c r="J111" s="176"/>
      <c r="K111" s="176"/>
      <c r="L111" s="176"/>
    </row>
    <row r="112" spans="5:12" ht="12.75">
      <c r="E112" s="536"/>
      <c r="F112" s="562"/>
      <c r="G112" s="563"/>
      <c r="H112" s="564"/>
      <c r="I112" s="176"/>
      <c r="J112" s="176"/>
      <c r="K112" s="176"/>
      <c r="L112" s="176"/>
    </row>
    <row r="113" spans="5:12" ht="12.75">
      <c r="E113" s="536"/>
      <c r="F113" s="562"/>
      <c r="G113" s="563"/>
      <c r="H113" s="564"/>
      <c r="I113" s="176"/>
      <c r="J113" s="176"/>
      <c r="K113" s="176"/>
      <c r="L113" s="176"/>
    </row>
    <row r="114" spans="5:12" ht="12.75">
      <c r="E114" s="536"/>
      <c r="F114" s="562"/>
      <c r="G114" s="563"/>
      <c r="H114" s="564"/>
      <c r="I114" s="176"/>
      <c r="J114" s="176"/>
      <c r="K114" s="176"/>
      <c r="L114" s="176"/>
    </row>
    <row r="115" spans="2:12" ht="12.75">
      <c r="B115" s="496"/>
      <c r="C115" s="410"/>
      <c r="D115" s="176"/>
      <c r="E115" s="536"/>
      <c r="F115" s="562"/>
      <c r="G115" s="563"/>
      <c r="H115" s="564"/>
      <c r="I115" s="176"/>
      <c r="J115" s="176"/>
      <c r="K115" s="176"/>
      <c r="L115" s="176"/>
    </row>
    <row r="116" spans="2:12" ht="12.75">
      <c r="B116" s="496"/>
      <c r="C116" s="410"/>
      <c r="D116" s="176"/>
      <c r="E116" s="536"/>
      <c r="F116" s="562"/>
      <c r="G116" s="563"/>
      <c r="H116" s="564"/>
      <c r="I116" s="176"/>
      <c r="J116" s="176"/>
      <c r="K116" s="176"/>
      <c r="L116" s="176"/>
    </row>
    <row r="117" spans="2:12" ht="12.75">
      <c r="B117" s="496"/>
      <c r="C117" s="410"/>
      <c r="D117" s="176"/>
      <c r="E117" s="536"/>
      <c r="F117" s="562"/>
      <c r="G117" s="563"/>
      <c r="H117" s="564"/>
      <c r="I117" s="176"/>
      <c r="J117" s="176"/>
      <c r="K117" s="176"/>
      <c r="L117" s="176"/>
    </row>
    <row r="118" spans="2:12" ht="12.75">
      <c r="B118" s="496"/>
      <c r="C118" s="410"/>
      <c r="D118" s="496"/>
      <c r="E118" s="536"/>
      <c r="F118" s="562"/>
      <c r="G118" s="563"/>
      <c r="H118" s="567"/>
      <c r="I118" s="176"/>
      <c r="J118" s="176"/>
      <c r="K118" s="176"/>
      <c r="L118" s="176"/>
    </row>
    <row r="119" spans="2:12" ht="12.75">
      <c r="B119" s="496"/>
      <c r="C119" s="410"/>
      <c r="D119" s="176"/>
      <c r="E119" s="176"/>
      <c r="F119" s="176"/>
      <c r="G119" s="176"/>
      <c r="H119" s="176"/>
      <c r="I119" s="176"/>
      <c r="J119" s="176"/>
      <c r="K119" s="176"/>
      <c r="L119" s="176"/>
    </row>
    <row r="120" spans="2:12" ht="12.75">
      <c r="B120" s="496"/>
      <c r="C120" s="410"/>
      <c r="D120" s="176"/>
      <c r="E120" s="176"/>
      <c r="F120" s="176"/>
      <c r="G120" s="176"/>
      <c r="H120" s="176"/>
      <c r="I120" s="176"/>
      <c r="J120" s="176"/>
      <c r="K120" s="176"/>
      <c r="L120" s="176"/>
    </row>
    <row r="121" spans="2:12" ht="12.75">
      <c r="B121" s="496"/>
      <c r="C121" s="410"/>
      <c r="D121" s="176"/>
      <c r="E121" s="176"/>
      <c r="F121" s="176"/>
      <c r="G121" s="176"/>
      <c r="H121" s="176"/>
      <c r="I121" s="176"/>
      <c r="J121" s="176"/>
      <c r="K121" s="176"/>
      <c r="L121" s="176"/>
    </row>
    <row r="122" spans="2:12" ht="12.75">
      <c r="B122" s="496"/>
      <c r="C122" s="410"/>
      <c r="D122" s="176"/>
      <c r="E122" s="176"/>
      <c r="F122" s="176"/>
      <c r="G122" s="176"/>
      <c r="H122" s="176"/>
      <c r="I122" s="176"/>
      <c r="J122" s="176"/>
      <c r="K122" s="176"/>
      <c r="L122" s="176"/>
    </row>
    <row r="123" spans="2:12" ht="12.75">
      <c r="B123" s="496"/>
      <c r="C123" s="410"/>
      <c r="D123" s="176"/>
      <c r="E123" s="176"/>
      <c r="F123" s="176"/>
      <c r="G123" s="176"/>
      <c r="H123" s="176"/>
      <c r="I123" s="176"/>
      <c r="J123" s="176"/>
      <c r="K123" s="176"/>
      <c r="L123" s="176"/>
    </row>
    <row r="124" spans="2:12" ht="12.75">
      <c r="B124" s="496"/>
      <c r="C124" s="410"/>
      <c r="D124" s="176"/>
      <c r="E124" s="176"/>
      <c r="F124" s="176"/>
      <c r="G124" s="176"/>
      <c r="H124" s="176"/>
      <c r="I124" s="176"/>
      <c r="J124" s="176"/>
      <c r="K124" s="176"/>
      <c r="L124" s="176"/>
    </row>
    <row r="125" spans="2:12" ht="12.75">
      <c r="B125" s="496"/>
      <c r="C125" s="410"/>
      <c r="D125" s="176"/>
      <c r="E125" s="176"/>
      <c r="F125" s="176"/>
      <c r="G125" s="176"/>
      <c r="H125" s="176"/>
      <c r="I125" s="176"/>
      <c r="J125" s="176"/>
      <c r="K125" s="176"/>
      <c r="L125" s="176"/>
    </row>
    <row r="126" spans="2:12" ht="12.75">
      <c r="B126" s="496"/>
      <c r="C126" s="410"/>
      <c r="D126" s="176"/>
      <c r="E126" s="176"/>
      <c r="F126" s="176"/>
      <c r="G126" s="176"/>
      <c r="H126" s="176"/>
      <c r="I126" s="176"/>
      <c r="J126" s="176"/>
      <c r="K126" s="176"/>
      <c r="L126" s="176"/>
    </row>
    <row r="127" spans="2:12" ht="12.75">
      <c r="B127" s="496"/>
      <c r="C127" s="410"/>
      <c r="D127" s="176"/>
      <c r="E127" s="176"/>
      <c r="F127" s="176"/>
      <c r="G127" s="176"/>
      <c r="H127" s="176"/>
      <c r="I127" s="176"/>
      <c r="J127" s="176"/>
      <c r="K127" s="176"/>
      <c r="L127" s="176"/>
    </row>
    <row r="128" spans="2:12" ht="12.75">
      <c r="B128" s="496"/>
      <c r="C128" s="410"/>
      <c r="D128" s="176"/>
      <c r="E128" s="176"/>
      <c r="F128" s="176"/>
      <c r="G128" s="176"/>
      <c r="H128" s="176"/>
      <c r="I128" s="176"/>
      <c r="J128" s="176"/>
      <c r="K128" s="176"/>
      <c r="L128" s="176"/>
    </row>
    <row r="129" spans="2:12" ht="12.75">
      <c r="B129" s="496"/>
      <c r="C129" s="410"/>
      <c r="D129" s="176"/>
      <c r="E129" s="176"/>
      <c r="F129" s="176"/>
      <c r="G129" s="176"/>
      <c r="H129" s="176"/>
      <c r="I129" s="176"/>
      <c r="J129" s="176"/>
      <c r="K129" s="176"/>
      <c r="L129" s="176"/>
    </row>
    <row r="130" spans="2:12" ht="12.75">
      <c r="B130" s="496"/>
      <c r="C130" s="410"/>
      <c r="D130" s="176"/>
      <c r="E130" s="176"/>
      <c r="F130" s="176"/>
      <c r="G130" s="176"/>
      <c r="H130" s="176"/>
      <c r="I130" s="176"/>
      <c r="J130" s="176"/>
      <c r="K130" s="176"/>
      <c r="L130" s="176"/>
    </row>
    <row r="131" spans="5:12" ht="12.75">
      <c r="E131" s="176"/>
      <c r="F131" s="176"/>
      <c r="G131" s="176"/>
      <c r="H131" s="176"/>
      <c r="I131" s="176"/>
      <c r="J131" s="176"/>
      <c r="K131" s="176"/>
      <c r="L131" s="176"/>
    </row>
    <row r="132" spans="5:12" ht="12.75">
      <c r="E132" s="176"/>
      <c r="F132" s="176"/>
      <c r="G132" s="176"/>
      <c r="H132" s="176"/>
      <c r="I132" s="176"/>
      <c r="J132" s="176"/>
      <c r="K132" s="176"/>
      <c r="L132" s="176"/>
    </row>
    <row r="133" spans="5:12" ht="12.75">
      <c r="E133" s="176"/>
      <c r="F133" s="176"/>
      <c r="G133" s="176"/>
      <c r="H133" s="176"/>
      <c r="I133" s="176"/>
      <c r="J133" s="176"/>
      <c r="K133" s="176"/>
      <c r="L133" s="176"/>
    </row>
    <row r="134" spans="5:12" ht="12.75">
      <c r="E134" s="176"/>
      <c r="F134" s="176"/>
      <c r="G134" s="176"/>
      <c r="H134" s="176"/>
      <c r="I134" s="176"/>
      <c r="J134" s="176"/>
      <c r="K134" s="176"/>
      <c r="L134" s="176"/>
    </row>
    <row r="135" spans="5:12" ht="12.75">
      <c r="E135" s="176"/>
      <c r="F135" s="176"/>
      <c r="G135" s="176"/>
      <c r="H135" s="176"/>
      <c r="I135" s="176"/>
      <c r="J135" s="176"/>
      <c r="K135" s="176"/>
      <c r="L135" s="176"/>
    </row>
    <row r="136" spans="5:12" ht="12.75">
      <c r="E136" s="176"/>
      <c r="F136" s="176"/>
      <c r="G136" s="176"/>
      <c r="H136" s="176"/>
      <c r="I136" s="176"/>
      <c r="J136" s="176"/>
      <c r="K136" s="176"/>
      <c r="L136" s="176"/>
    </row>
    <row r="137" spans="5:12" ht="12.75">
      <c r="E137" s="176"/>
      <c r="F137" s="176"/>
      <c r="G137" s="176"/>
      <c r="H137" s="176"/>
      <c r="I137" s="176"/>
      <c r="J137" s="176"/>
      <c r="K137" s="176"/>
      <c r="L137" s="176"/>
    </row>
    <row r="138" spans="5:12" ht="12.75">
      <c r="E138" s="176"/>
      <c r="F138" s="176"/>
      <c r="G138" s="176"/>
      <c r="H138" s="176"/>
      <c r="I138" s="176"/>
      <c r="J138" s="176"/>
      <c r="K138" s="176"/>
      <c r="L138" s="176"/>
    </row>
    <row r="139" spans="5:12" ht="12.75">
      <c r="E139" s="176"/>
      <c r="F139" s="176"/>
      <c r="G139" s="176"/>
      <c r="H139" s="176"/>
      <c r="I139" s="176"/>
      <c r="J139" s="176"/>
      <c r="K139" s="176"/>
      <c r="L139" s="176"/>
    </row>
    <row r="140" spans="5:12" ht="12.75">
      <c r="E140" s="176"/>
      <c r="F140" s="176"/>
      <c r="G140" s="176"/>
      <c r="H140" s="176"/>
      <c r="I140" s="176"/>
      <c r="J140" s="176"/>
      <c r="K140" s="176"/>
      <c r="L140" s="176"/>
    </row>
    <row r="141" spans="5:12" ht="12.75">
      <c r="E141" s="176"/>
      <c r="F141" s="176"/>
      <c r="G141" s="176"/>
      <c r="H141" s="176"/>
      <c r="I141" s="176"/>
      <c r="J141" s="176"/>
      <c r="K141" s="176"/>
      <c r="L141" s="176"/>
    </row>
    <row r="142" spans="5:12" ht="12.75">
      <c r="E142" s="176"/>
      <c r="F142" s="176"/>
      <c r="G142" s="176"/>
      <c r="H142" s="176"/>
      <c r="I142" s="176"/>
      <c r="J142" s="176"/>
      <c r="K142" s="176"/>
      <c r="L142" s="176"/>
    </row>
    <row r="143" spans="5:12" ht="12.75">
      <c r="E143" s="176"/>
      <c r="F143" s="176"/>
      <c r="G143" s="176"/>
      <c r="H143" s="176"/>
      <c r="I143" s="176"/>
      <c r="J143" s="176"/>
      <c r="K143" s="176"/>
      <c r="L143" s="176"/>
    </row>
    <row r="144" spans="5:12" ht="12.75">
      <c r="E144" s="176"/>
      <c r="F144" s="176"/>
      <c r="G144" s="176"/>
      <c r="H144" s="176"/>
      <c r="I144" s="176"/>
      <c r="J144" s="176"/>
      <c r="K144" s="176"/>
      <c r="L144" s="176"/>
    </row>
    <row r="145" spans="5:12" ht="12.75">
      <c r="E145" s="176"/>
      <c r="F145" s="176"/>
      <c r="G145" s="176"/>
      <c r="H145" s="176"/>
      <c r="I145" s="176"/>
      <c r="J145" s="176"/>
      <c r="K145" s="176"/>
      <c r="L145" s="176"/>
    </row>
    <row r="146" spans="5:12" ht="12.75">
      <c r="E146" s="176"/>
      <c r="F146" s="176"/>
      <c r="G146" s="176"/>
      <c r="H146" s="176"/>
      <c r="I146" s="176"/>
      <c r="J146" s="176"/>
      <c r="K146" s="176"/>
      <c r="L146" s="176"/>
    </row>
    <row r="147" spans="5:12" ht="12.75">
      <c r="E147" s="176"/>
      <c r="F147" s="176"/>
      <c r="G147" s="176"/>
      <c r="H147" s="176"/>
      <c r="I147" s="176"/>
      <c r="J147" s="176"/>
      <c r="K147" s="176"/>
      <c r="L147" s="176"/>
    </row>
    <row r="148" spans="5:12" ht="12.75">
      <c r="E148" s="176"/>
      <c r="F148" s="176"/>
      <c r="G148" s="176"/>
      <c r="H148" s="176"/>
      <c r="I148" s="176"/>
      <c r="J148" s="176"/>
      <c r="K148" s="176"/>
      <c r="L148" s="176"/>
    </row>
    <row r="149" spans="5:12" ht="12.75">
      <c r="E149" s="176"/>
      <c r="F149" s="176"/>
      <c r="G149" s="176"/>
      <c r="H149" s="176"/>
      <c r="I149" s="176"/>
      <c r="J149" s="176"/>
      <c r="K149" s="176"/>
      <c r="L149" s="176"/>
    </row>
    <row r="150" spans="5:12" ht="12.75">
      <c r="E150" s="176"/>
      <c r="F150" s="176"/>
      <c r="G150" s="176"/>
      <c r="H150" s="176"/>
      <c r="I150" s="176"/>
      <c r="J150" s="176"/>
      <c r="K150" s="176"/>
      <c r="L150" s="176"/>
    </row>
    <row r="151" spans="5:12" ht="12.75">
      <c r="E151" s="176"/>
      <c r="F151" s="176"/>
      <c r="G151" s="176"/>
      <c r="H151" s="176"/>
      <c r="I151" s="176"/>
      <c r="J151" s="176"/>
      <c r="K151" s="176"/>
      <c r="L151" s="176"/>
    </row>
    <row r="152" spans="5:12" ht="12.75">
      <c r="E152" s="176"/>
      <c r="F152" s="176"/>
      <c r="G152" s="176"/>
      <c r="H152" s="176"/>
      <c r="I152" s="176"/>
      <c r="J152" s="176"/>
      <c r="K152" s="176"/>
      <c r="L152" s="176"/>
    </row>
    <row r="153" spans="5:12" ht="12.75">
      <c r="E153" s="176"/>
      <c r="F153" s="176"/>
      <c r="G153" s="176"/>
      <c r="H153" s="176"/>
      <c r="I153" s="176"/>
      <c r="J153" s="176"/>
      <c r="K153" s="176"/>
      <c r="L153" s="176"/>
    </row>
    <row r="154" spans="5:12" ht="12.75">
      <c r="E154" s="176"/>
      <c r="F154" s="176"/>
      <c r="G154" s="176"/>
      <c r="H154" s="176"/>
      <c r="I154" s="176"/>
      <c r="J154" s="176"/>
      <c r="K154" s="176"/>
      <c r="L154" s="176"/>
    </row>
    <row r="155" spans="5:12" ht="12.75">
      <c r="E155" s="176"/>
      <c r="F155" s="176"/>
      <c r="G155" s="176"/>
      <c r="H155" s="176"/>
      <c r="I155" s="176"/>
      <c r="J155" s="176"/>
      <c r="K155" s="176"/>
      <c r="L155" s="176"/>
    </row>
    <row r="156" spans="5:12" ht="12.75">
      <c r="E156" s="176"/>
      <c r="F156" s="176"/>
      <c r="G156" s="176"/>
      <c r="H156" s="176"/>
      <c r="I156" s="176"/>
      <c r="J156" s="176"/>
      <c r="K156" s="176"/>
      <c r="L156" s="176"/>
    </row>
    <row r="157" spans="5:12" ht="12.75">
      <c r="E157" s="176"/>
      <c r="F157" s="176"/>
      <c r="G157" s="176"/>
      <c r="H157" s="176"/>
      <c r="I157" s="176"/>
      <c r="J157" s="176"/>
      <c r="K157" s="176"/>
      <c r="L157" s="176"/>
    </row>
    <row r="158" spans="5:12" ht="12.75">
      <c r="E158" s="176"/>
      <c r="F158" s="176"/>
      <c r="G158" s="176"/>
      <c r="H158" s="176"/>
      <c r="I158" s="176"/>
      <c r="J158" s="176"/>
      <c r="K158" s="176"/>
      <c r="L158" s="176"/>
    </row>
    <row r="159" spans="5:12" ht="12.75">
      <c r="E159" s="176"/>
      <c r="F159" s="176"/>
      <c r="G159" s="176"/>
      <c r="H159" s="176"/>
      <c r="I159" s="176"/>
      <c r="J159" s="176"/>
      <c r="K159" s="176"/>
      <c r="L159" s="176"/>
    </row>
    <row r="160" spans="5:12" ht="12.75">
      <c r="E160" s="176"/>
      <c r="F160" s="176"/>
      <c r="G160" s="176"/>
      <c r="H160" s="176"/>
      <c r="I160" s="176"/>
      <c r="J160" s="176"/>
      <c r="K160" s="176"/>
      <c r="L160" s="176"/>
    </row>
    <row r="161" spans="5:12" ht="12.75">
      <c r="E161" s="176"/>
      <c r="F161" s="176"/>
      <c r="G161" s="176"/>
      <c r="H161" s="176"/>
      <c r="I161" s="176"/>
      <c r="J161" s="176"/>
      <c r="K161" s="176"/>
      <c r="L161" s="176"/>
    </row>
    <row r="162" spans="5:12" ht="12.75">
      <c r="E162" s="176"/>
      <c r="F162" s="176"/>
      <c r="G162" s="176"/>
      <c r="H162" s="176"/>
      <c r="I162" s="176"/>
      <c r="J162" s="176"/>
      <c r="K162" s="176"/>
      <c r="L162" s="176"/>
    </row>
    <row r="163" spans="5:12" ht="12.75">
      <c r="E163" s="176"/>
      <c r="F163" s="176"/>
      <c r="G163" s="176"/>
      <c r="H163" s="176"/>
      <c r="I163" s="176"/>
      <c r="J163" s="176"/>
      <c r="K163" s="176"/>
      <c r="L163" s="176"/>
    </row>
    <row r="164" spans="5:12" ht="12.75">
      <c r="E164" s="176"/>
      <c r="F164" s="176"/>
      <c r="G164" s="176"/>
      <c r="H164" s="176"/>
      <c r="I164" s="176"/>
      <c r="J164" s="176"/>
      <c r="K164" s="176"/>
      <c r="L164" s="176"/>
    </row>
    <row r="165" spans="5:12" ht="12.75">
      <c r="E165" s="176"/>
      <c r="F165" s="176"/>
      <c r="G165" s="176"/>
      <c r="H165" s="176"/>
      <c r="I165" s="176"/>
      <c r="J165" s="176"/>
      <c r="K165" s="176"/>
      <c r="L165" s="176"/>
    </row>
    <row r="166" spans="5:12" ht="12.75">
      <c r="E166" s="176"/>
      <c r="F166" s="176"/>
      <c r="G166" s="176"/>
      <c r="H166" s="176"/>
      <c r="I166" s="176"/>
      <c r="J166" s="176"/>
      <c r="K166" s="176"/>
      <c r="L166" s="176"/>
    </row>
    <row r="167" spans="5:12" ht="12.75">
      <c r="E167" s="176"/>
      <c r="F167" s="176"/>
      <c r="G167" s="176"/>
      <c r="H167" s="176"/>
      <c r="I167" s="176"/>
      <c r="J167" s="176"/>
      <c r="K167" s="176"/>
      <c r="L167" s="176"/>
    </row>
    <row r="168" spans="5:12" ht="12.75">
      <c r="E168" s="176"/>
      <c r="F168" s="176"/>
      <c r="G168" s="176"/>
      <c r="H168" s="176"/>
      <c r="I168" s="176"/>
      <c r="J168" s="176"/>
      <c r="K168" s="176"/>
      <c r="L168" s="176"/>
    </row>
    <row r="169" spans="5:12" ht="12.75">
      <c r="E169" s="176"/>
      <c r="F169" s="176"/>
      <c r="G169" s="176"/>
      <c r="H169" s="176"/>
      <c r="I169" s="176"/>
      <c r="J169" s="176"/>
      <c r="K169" s="176"/>
      <c r="L169" s="176"/>
    </row>
    <row r="170" spans="5:12" ht="12.75">
      <c r="E170" s="176"/>
      <c r="F170" s="176"/>
      <c r="G170" s="176"/>
      <c r="H170" s="176"/>
      <c r="I170" s="176"/>
      <c r="J170" s="176"/>
      <c r="K170" s="176"/>
      <c r="L170" s="176"/>
    </row>
    <row r="171" spans="5:12" ht="12.75">
      <c r="E171" s="176"/>
      <c r="F171" s="176"/>
      <c r="G171" s="176"/>
      <c r="H171" s="176"/>
      <c r="I171" s="176"/>
      <c r="J171" s="176"/>
      <c r="K171" s="176"/>
      <c r="L171" s="176"/>
    </row>
    <row r="172" spans="5:12" ht="12.75">
      <c r="E172" s="176"/>
      <c r="F172" s="176"/>
      <c r="G172" s="176"/>
      <c r="H172" s="176"/>
      <c r="I172" s="176"/>
      <c r="J172" s="176"/>
      <c r="K172" s="176"/>
      <c r="L172" s="176"/>
    </row>
    <row r="173" spans="5:12" ht="12.75">
      <c r="E173" s="176"/>
      <c r="F173" s="176"/>
      <c r="G173" s="176"/>
      <c r="H173" s="176"/>
      <c r="I173" s="176"/>
      <c r="J173" s="176"/>
      <c r="K173" s="176"/>
      <c r="L173" s="176"/>
    </row>
    <row r="174" spans="5:12" ht="12.75">
      <c r="E174" s="176"/>
      <c r="F174" s="176"/>
      <c r="G174" s="176"/>
      <c r="H174" s="176"/>
      <c r="I174" s="176"/>
      <c r="J174" s="176"/>
      <c r="K174" s="176"/>
      <c r="L174" s="176"/>
    </row>
    <row r="175" spans="5:12" ht="12.75">
      <c r="E175" s="176"/>
      <c r="F175" s="176"/>
      <c r="G175" s="176"/>
      <c r="H175" s="176"/>
      <c r="I175" s="176"/>
      <c r="J175" s="176"/>
      <c r="K175" s="176"/>
      <c r="L175" s="176"/>
    </row>
    <row r="176" spans="5:12" ht="12.75">
      <c r="E176" s="176"/>
      <c r="F176" s="176"/>
      <c r="G176" s="176"/>
      <c r="H176" s="176"/>
      <c r="I176" s="176"/>
      <c r="J176" s="176"/>
      <c r="K176" s="176"/>
      <c r="L176" s="176"/>
    </row>
    <row r="177" spans="5:12" ht="12.75">
      <c r="E177" s="176"/>
      <c r="F177" s="176"/>
      <c r="G177" s="176"/>
      <c r="H177" s="176"/>
      <c r="I177" s="176"/>
      <c r="J177" s="176"/>
      <c r="K177" s="176"/>
      <c r="L177" s="176"/>
    </row>
    <row r="178" spans="5:12" ht="12.75">
      <c r="E178" s="176"/>
      <c r="F178" s="176"/>
      <c r="G178" s="176"/>
      <c r="H178" s="176"/>
      <c r="I178" s="176"/>
      <c r="J178" s="176"/>
      <c r="K178" s="176"/>
      <c r="L178" s="176"/>
    </row>
    <row r="179" spans="5:12" ht="12.75">
      <c r="E179" s="176"/>
      <c r="F179" s="176"/>
      <c r="G179" s="176"/>
      <c r="H179" s="176"/>
      <c r="I179" s="176"/>
      <c r="J179" s="176"/>
      <c r="K179" s="176"/>
      <c r="L179" s="176"/>
    </row>
    <row r="180" spans="5:12" ht="12.75">
      <c r="E180" s="176"/>
      <c r="F180" s="176"/>
      <c r="G180" s="176"/>
      <c r="H180" s="176"/>
      <c r="I180" s="176"/>
      <c r="J180" s="176"/>
      <c r="K180" s="176"/>
      <c r="L180" s="176"/>
    </row>
    <row r="181" spans="5:12" ht="12.75">
      <c r="E181" s="176"/>
      <c r="F181" s="176"/>
      <c r="G181" s="176"/>
      <c r="H181" s="176"/>
      <c r="I181" s="176"/>
      <c r="J181" s="176"/>
      <c r="K181" s="176"/>
      <c r="L181" s="176"/>
    </row>
    <row r="182" spans="5:12" ht="12.75">
      <c r="E182" s="176"/>
      <c r="F182" s="176"/>
      <c r="G182" s="176"/>
      <c r="H182" s="176"/>
      <c r="I182" s="176"/>
      <c r="J182" s="176"/>
      <c r="K182" s="176"/>
      <c r="L182" s="176"/>
    </row>
    <row r="183" spans="5:12" ht="12.75">
      <c r="E183" s="176"/>
      <c r="F183" s="176"/>
      <c r="G183" s="176"/>
      <c r="H183" s="176"/>
      <c r="I183" s="176"/>
      <c r="J183" s="176"/>
      <c r="K183" s="176"/>
      <c r="L183" s="176"/>
    </row>
  </sheetData>
  <sheetProtection/>
  <mergeCells count="22">
    <mergeCell ref="V4:V8"/>
    <mergeCell ref="R7:R8"/>
    <mergeCell ref="J7:J8"/>
    <mergeCell ref="N6:R6"/>
    <mergeCell ref="U4:U8"/>
    <mergeCell ref="P7:P8"/>
    <mergeCell ref="L7:L8"/>
    <mergeCell ref="Q7:Q8"/>
    <mergeCell ref="T4:T8"/>
    <mergeCell ref="N7:N8"/>
    <mergeCell ref="E6:L6"/>
    <mergeCell ref="D6:D8"/>
    <mergeCell ref="F7:F8"/>
    <mergeCell ref="K7:K8"/>
    <mergeCell ref="B5:L5"/>
    <mergeCell ref="I7:I8"/>
    <mergeCell ref="G7:G8"/>
    <mergeCell ref="B4:R4"/>
    <mergeCell ref="N5:R5"/>
    <mergeCell ref="C6:C8"/>
    <mergeCell ref="O7:O8"/>
    <mergeCell ref="H7:H8"/>
  </mergeCells>
  <printOptions/>
  <pageMargins left="0.17" right="0.1968503937007874" top="0.5118110236220472" bottom="0.1968503937007874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421875" style="6" customWidth="1"/>
    <col min="3" max="3" width="2.8515625" style="5" customWidth="1"/>
    <col min="4" max="4" width="2.57421875" style="5" customWidth="1"/>
    <col min="5" max="5" width="36.28125" style="0" customWidth="1"/>
    <col min="6" max="6" width="8.8515625" style="0" customWidth="1"/>
    <col min="7" max="7" width="9.00390625" style="0" customWidth="1"/>
    <col min="8" max="8" width="10.140625" style="0" customWidth="1"/>
    <col min="9" max="9" width="10.00390625" style="0" customWidth="1"/>
    <col min="10" max="10" width="10.57421875" style="0" customWidth="1"/>
    <col min="11" max="11" width="10.00390625" style="0" customWidth="1"/>
    <col min="12" max="12" width="12.140625" style="0" customWidth="1"/>
    <col min="13" max="13" width="0.9921875" style="124" customWidth="1"/>
    <col min="14" max="14" width="7.8515625" style="0" customWidth="1"/>
    <col min="15" max="15" width="4.57421875" style="0" customWidth="1"/>
    <col min="16" max="16" width="9.57421875" style="0" customWidth="1"/>
    <col min="17" max="17" width="9.00390625" style="0" customWidth="1"/>
    <col min="18" max="18" width="10.57421875" style="0" customWidth="1"/>
    <col min="19" max="19" width="2.00390625" style="176" customWidth="1"/>
    <col min="20" max="20" width="10.421875" style="0" customWidth="1"/>
    <col min="21" max="21" width="8.8515625" style="0" customWidth="1"/>
    <col min="22" max="22" width="11.28125" style="0" customWidth="1"/>
    <col min="23" max="23" width="9.57421875" style="157" customWidth="1"/>
  </cols>
  <sheetData>
    <row r="1" spans="10:20" ht="15.75" customHeight="1">
      <c r="J1" s="194"/>
      <c r="K1" s="194"/>
      <c r="L1" s="194"/>
      <c r="M1" s="292"/>
      <c r="N1" s="124"/>
      <c r="O1" s="124"/>
      <c r="P1" s="194"/>
      <c r="Q1" s="194"/>
      <c r="R1" s="194"/>
      <c r="S1" s="190"/>
      <c r="T1" s="196"/>
    </row>
    <row r="2" spans="2:22" ht="27">
      <c r="B2" s="981"/>
      <c r="C2" s="982" t="s">
        <v>168</v>
      </c>
      <c r="D2" s="986"/>
      <c r="E2" s="970"/>
      <c r="F2" s="970"/>
      <c r="G2" s="970"/>
      <c r="H2" s="970"/>
      <c r="I2" s="970"/>
      <c r="J2" s="987"/>
      <c r="K2" s="987"/>
      <c r="L2" s="987"/>
      <c r="M2" s="987"/>
      <c r="N2" s="979"/>
      <c r="O2" s="970"/>
      <c r="P2" s="988"/>
      <c r="Q2" s="988"/>
      <c r="R2" s="988"/>
      <c r="S2" s="979"/>
      <c r="T2" s="988"/>
      <c r="U2" s="970"/>
      <c r="V2" s="970"/>
    </row>
    <row r="3" spans="2:22" ht="13.5" thickBot="1">
      <c r="B3" s="981"/>
      <c r="C3" s="983"/>
      <c r="D3" s="983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9"/>
      <c r="T3" s="970"/>
      <c r="U3" s="970"/>
      <c r="V3" s="970"/>
    </row>
    <row r="4" spans="2:22" ht="12.75" customHeight="1">
      <c r="B4" s="1045" t="s">
        <v>316</v>
      </c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9"/>
      <c r="O4" s="1079"/>
      <c r="P4" s="1079"/>
      <c r="Q4" s="774"/>
      <c r="R4" s="775"/>
      <c r="S4" s="268"/>
      <c r="T4" s="1029" t="s">
        <v>450</v>
      </c>
      <c r="U4" s="1051" t="s">
        <v>451</v>
      </c>
      <c r="V4" s="1073" t="s">
        <v>452</v>
      </c>
    </row>
    <row r="5" spans="2:22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3"/>
      <c r="M5" s="410"/>
      <c r="N5" s="1048" t="s">
        <v>300</v>
      </c>
      <c r="O5" s="1049"/>
      <c r="P5" s="1049"/>
      <c r="Q5" s="1049"/>
      <c r="R5" s="1050"/>
      <c r="S5" s="294"/>
      <c r="T5" s="1030"/>
      <c r="U5" s="1052"/>
      <c r="V5" s="1074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393"/>
      <c r="N6" s="1039" t="s">
        <v>11</v>
      </c>
      <c r="O6" s="1025"/>
      <c r="P6" s="1025"/>
      <c r="Q6" s="1025"/>
      <c r="R6" s="1026"/>
      <c r="S6" s="295"/>
      <c r="T6" s="1030"/>
      <c r="U6" s="1052"/>
      <c r="V6" s="1074"/>
    </row>
    <row r="7" spans="2:22" ht="29.25" customHeight="1">
      <c r="B7" s="41"/>
      <c r="C7" s="1055"/>
      <c r="D7" s="1055"/>
      <c r="E7" s="436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M7" s="173"/>
      <c r="N7" s="1077">
        <v>716</v>
      </c>
      <c r="O7" s="1032">
        <v>717</v>
      </c>
      <c r="P7" s="1027" t="s">
        <v>450</v>
      </c>
      <c r="Q7" s="1034" t="s">
        <v>451</v>
      </c>
      <c r="R7" s="1040" t="s">
        <v>452</v>
      </c>
      <c r="S7" s="173"/>
      <c r="T7" s="1030"/>
      <c r="U7" s="1052"/>
      <c r="V7" s="1074"/>
    </row>
    <row r="8" spans="2:22" ht="32.25" customHeight="1" thickBot="1">
      <c r="B8" s="46"/>
      <c r="C8" s="1056"/>
      <c r="D8" s="1056"/>
      <c r="E8" s="437"/>
      <c r="F8" s="1037"/>
      <c r="G8" s="1033"/>
      <c r="H8" s="1033"/>
      <c r="I8" s="1033"/>
      <c r="J8" s="1028"/>
      <c r="K8" s="1035"/>
      <c r="L8" s="1041"/>
      <c r="M8" s="415"/>
      <c r="N8" s="1058"/>
      <c r="O8" s="1033"/>
      <c r="P8" s="1028"/>
      <c r="Q8" s="1035"/>
      <c r="R8" s="1041"/>
      <c r="S8" s="270"/>
      <c r="T8" s="1031"/>
      <c r="U8" s="1053"/>
      <c r="V8" s="1075"/>
    </row>
    <row r="9" spans="2:22" ht="24.75" customHeight="1" thickBot="1" thickTop="1">
      <c r="B9" s="31">
        <v>1</v>
      </c>
      <c r="C9" s="203" t="s">
        <v>169</v>
      </c>
      <c r="D9" s="204"/>
      <c r="E9" s="535"/>
      <c r="F9" s="591">
        <f>F10+F13+F16+F17+F19+F21+F27+F32</f>
        <v>86577</v>
      </c>
      <c r="G9" s="591">
        <f>G10+G13+G16+G17+G19+G21+G27+G32</f>
        <v>30954</v>
      </c>
      <c r="H9" s="591">
        <f>H10+H13+H16+H17+H19+H21+H27+H32</f>
        <v>222534</v>
      </c>
      <c r="I9" s="592">
        <f>I10+I13+I16+I17+I19+I21+I27+I32</f>
        <v>175050</v>
      </c>
      <c r="J9" s="649">
        <f>SUM(F9:I9)</f>
        <v>515115</v>
      </c>
      <c r="K9" s="936">
        <f>K10+K13+K16+K17+K19+K21+K27+K32</f>
        <v>2220</v>
      </c>
      <c r="L9" s="772">
        <f>J9+K9</f>
        <v>517335</v>
      </c>
      <c r="M9" s="411"/>
      <c r="N9" s="593">
        <f>N10+N13+N16+N17+N19+N21+N27+N32</f>
        <v>9891</v>
      </c>
      <c r="O9" s="591">
        <f>O10+O13+O16+O17+O19+O21+O27+O32</f>
        <v>0</v>
      </c>
      <c r="P9" s="649">
        <f>SUM(N9:O9)</f>
        <v>9891</v>
      </c>
      <c r="Q9" s="936">
        <f>Q10+Q13+Q16+Q17+Q19+Q21+Q27+Q32</f>
        <v>0</v>
      </c>
      <c r="R9" s="772">
        <f>P9+Q9</f>
        <v>9891</v>
      </c>
      <c r="S9" s="285"/>
      <c r="T9" s="962">
        <f aca="true" t="shared" si="0" ref="T9:T22">J9+P9</f>
        <v>525006</v>
      </c>
      <c r="U9" s="963">
        <f aca="true" t="shared" si="1" ref="U9:U34">Q9+K9</f>
        <v>2220</v>
      </c>
      <c r="V9" s="964">
        <f aca="true" t="shared" si="2" ref="V9:V34">T9+U9</f>
        <v>527226</v>
      </c>
    </row>
    <row r="10" spans="2:22" ht="15.75" thickTop="1">
      <c r="B10" s="31">
        <f>B9+1</f>
        <v>2</v>
      </c>
      <c r="C10" s="42">
        <v>1</v>
      </c>
      <c r="D10" s="128" t="s">
        <v>117</v>
      </c>
      <c r="E10" s="128"/>
      <c r="F10" s="402"/>
      <c r="G10" s="403"/>
      <c r="H10" s="403">
        <f>H11+H12</f>
        <v>35000</v>
      </c>
      <c r="I10" s="403"/>
      <c r="J10" s="653">
        <f>SUM(F10:I10)</f>
        <v>35000</v>
      </c>
      <c r="K10" s="937">
        <f>K11</f>
        <v>0</v>
      </c>
      <c r="L10" s="773">
        <f aca="true" t="shared" si="3" ref="L10:L34">J10+K10</f>
        <v>35000</v>
      </c>
      <c r="M10" s="191"/>
      <c r="N10" s="258"/>
      <c r="O10" s="162"/>
      <c r="P10" s="661">
        <f aca="true" t="shared" si="4" ref="P10:P32">SUM(N10:O10)</f>
        <v>0</v>
      </c>
      <c r="Q10" s="943"/>
      <c r="R10" s="776">
        <f aca="true" t="shared" si="5" ref="R10:R34">P10+Q10</f>
        <v>0</v>
      </c>
      <c r="S10" s="191"/>
      <c r="T10" s="778">
        <f t="shared" si="0"/>
        <v>35000</v>
      </c>
      <c r="U10" s="945">
        <f t="shared" si="1"/>
        <v>0</v>
      </c>
      <c r="V10" s="780">
        <f t="shared" si="2"/>
        <v>35000</v>
      </c>
    </row>
    <row r="11" spans="2:22" ht="12.75">
      <c r="B11" s="31">
        <f aca="true" t="shared" si="6" ref="B11:B33">B10+1</f>
        <v>3</v>
      </c>
      <c r="C11" s="147"/>
      <c r="D11" s="147"/>
      <c r="E11" s="542" t="s">
        <v>395</v>
      </c>
      <c r="F11" s="605"/>
      <c r="G11" s="606"/>
      <c r="H11" s="607">
        <f>14445+20000</f>
        <v>34445</v>
      </c>
      <c r="I11" s="606"/>
      <c r="J11" s="641">
        <f aca="true" t="shared" si="7" ref="J11:J34">SUM(F11:I11)</f>
        <v>34445</v>
      </c>
      <c r="K11" s="641"/>
      <c r="L11" s="641">
        <f t="shared" si="3"/>
        <v>34445</v>
      </c>
      <c r="M11" s="174"/>
      <c r="N11" s="555"/>
      <c r="O11" s="543"/>
      <c r="P11" s="640">
        <f>SUM(N11:O11)</f>
        <v>0</v>
      </c>
      <c r="Q11" s="640"/>
      <c r="R11" s="640">
        <f t="shared" si="5"/>
        <v>0</v>
      </c>
      <c r="S11" s="175"/>
      <c r="T11" s="518">
        <f t="shared" si="0"/>
        <v>34445</v>
      </c>
      <c r="U11" s="518">
        <f t="shared" si="1"/>
        <v>0</v>
      </c>
      <c r="V11" s="518">
        <f t="shared" si="2"/>
        <v>34445</v>
      </c>
    </row>
    <row r="12" spans="2:22" ht="12.75">
      <c r="B12" s="31">
        <f t="shared" si="6"/>
        <v>4</v>
      </c>
      <c r="C12" s="147"/>
      <c r="D12" s="147"/>
      <c r="E12" s="542" t="s">
        <v>367</v>
      </c>
      <c r="F12" s="605"/>
      <c r="G12" s="606"/>
      <c r="H12" s="607">
        <v>555</v>
      </c>
      <c r="I12" s="606"/>
      <c r="J12" s="641">
        <f t="shared" si="7"/>
        <v>555</v>
      </c>
      <c r="K12" s="641"/>
      <c r="L12" s="641">
        <f t="shared" si="3"/>
        <v>555</v>
      </c>
      <c r="M12" s="174"/>
      <c r="N12" s="555"/>
      <c r="O12" s="543"/>
      <c r="P12" s="640">
        <f t="shared" si="4"/>
        <v>0</v>
      </c>
      <c r="Q12" s="640"/>
      <c r="R12" s="640">
        <f t="shared" si="5"/>
        <v>0</v>
      </c>
      <c r="S12" s="175"/>
      <c r="T12" s="518">
        <f t="shared" si="0"/>
        <v>555</v>
      </c>
      <c r="U12" s="518">
        <f t="shared" si="1"/>
        <v>0</v>
      </c>
      <c r="V12" s="518">
        <f t="shared" si="2"/>
        <v>555</v>
      </c>
    </row>
    <row r="13" spans="1:22" ht="15">
      <c r="A13">
        <v>1</v>
      </c>
      <c r="B13" s="31">
        <f t="shared" si="6"/>
        <v>5</v>
      </c>
      <c r="C13" s="42">
        <v>2</v>
      </c>
      <c r="D13" s="128" t="s">
        <v>118</v>
      </c>
      <c r="E13" s="128"/>
      <c r="F13" s="402">
        <v>45657</v>
      </c>
      <c r="G13" s="403">
        <f>G14</f>
        <v>15955</v>
      </c>
      <c r="H13" s="403">
        <f>SUM(H14:H15)</f>
        <v>5019</v>
      </c>
      <c r="I13" s="403"/>
      <c r="J13" s="645">
        <f t="shared" si="7"/>
        <v>66631</v>
      </c>
      <c r="K13" s="934"/>
      <c r="L13" s="758">
        <f t="shared" si="3"/>
        <v>66631</v>
      </c>
      <c r="M13" s="191"/>
      <c r="N13" s="258"/>
      <c r="O13" s="162"/>
      <c r="P13" s="659">
        <f t="shared" si="4"/>
        <v>0</v>
      </c>
      <c r="Q13" s="938"/>
      <c r="R13" s="765">
        <f t="shared" si="5"/>
        <v>0</v>
      </c>
      <c r="S13" s="191"/>
      <c r="T13" s="754">
        <f t="shared" si="0"/>
        <v>66631</v>
      </c>
      <c r="U13" s="942">
        <f t="shared" si="1"/>
        <v>0</v>
      </c>
      <c r="V13" s="771">
        <f t="shared" si="2"/>
        <v>66631</v>
      </c>
    </row>
    <row r="14" spans="2:22" ht="12.75">
      <c r="B14" s="31">
        <f t="shared" si="6"/>
        <v>6</v>
      </c>
      <c r="C14" s="147"/>
      <c r="D14" s="147"/>
      <c r="E14" s="542" t="s">
        <v>395</v>
      </c>
      <c r="F14" s="605">
        <v>45657</v>
      </c>
      <c r="G14" s="606">
        <v>15955</v>
      </c>
      <c r="H14" s="607">
        <v>4027</v>
      </c>
      <c r="I14" s="606"/>
      <c r="J14" s="641">
        <f t="shared" si="7"/>
        <v>65639</v>
      </c>
      <c r="K14" s="641"/>
      <c r="L14" s="641">
        <f t="shared" si="3"/>
        <v>65639</v>
      </c>
      <c r="M14" s="174"/>
      <c r="N14" s="555"/>
      <c r="O14" s="543"/>
      <c r="P14" s="640">
        <f>SUM(N14:O14)</f>
        <v>0</v>
      </c>
      <c r="Q14" s="640"/>
      <c r="R14" s="640">
        <f t="shared" si="5"/>
        <v>0</v>
      </c>
      <c r="S14" s="175"/>
      <c r="T14" s="518">
        <f t="shared" si="0"/>
        <v>65639</v>
      </c>
      <c r="U14" s="518">
        <f t="shared" si="1"/>
        <v>0</v>
      </c>
      <c r="V14" s="518">
        <f t="shared" si="2"/>
        <v>65639</v>
      </c>
    </row>
    <row r="15" spans="2:22" ht="12.75">
      <c r="B15" s="31">
        <f t="shared" si="6"/>
        <v>7</v>
      </c>
      <c r="C15" s="147"/>
      <c r="D15" s="147"/>
      <c r="E15" s="542" t="s">
        <v>367</v>
      </c>
      <c r="F15" s="605"/>
      <c r="G15" s="606"/>
      <c r="H15" s="607">
        <v>992</v>
      </c>
      <c r="I15" s="606"/>
      <c r="J15" s="641">
        <f t="shared" si="7"/>
        <v>992</v>
      </c>
      <c r="K15" s="641"/>
      <c r="L15" s="641">
        <f t="shared" si="3"/>
        <v>992</v>
      </c>
      <c r="M15" s="174"/>
      <c r="N15" s="555"/>
      <c r="O15" s="543"/>
      <c r="P15" s="640">
        <f t="shared" si="4"/>
        <v>0</v>
      </c>
      <c r="Q15" s="640"/>
      <c r="R15" s="640">
        <f t="shared" si="5"/>
        <v>0</v>
      </c>
      <c r="S15" s="175"/>
      <c r="T15" s="518">
        <f t="shared" si="0"/>
        <v>992</v>
      </c>
      <c r="U15" s="518">
        <f t="shared" si="1"/>
        <v>0</v>
      </c>
      <c r="V15" s="518">
        <f t="shared" si="2"/>
        <v>992</v>
      </c>
    </row>
    <row r="16" spans="2:22" ht="15">
      <c r="B16" s="31">
        <f t="shared" si="6"/>
        <v>8</v>
      </c>
      <c r="C16" s="42">
        <v>3</v>
      </c>
      <c r="D16" s="128" t="s">
        <v>165</v>
      </c>
      <c r="E16" s="128"/>
      <c r="F16" s="439">
        <v>15500</v>
      </c>
      <c r="G16" s="439">
        <v>6000</v>
      </c>
      <c r="H16" s="439">
        <v>2500</v>
      </c>
      <c r="I16" s="403"/>
      <c r="J16" s="645">
        <f t="shared" si="7"/>
        <v>24000</v>
      </c>
      <c r="K16" s="934"/>
      <c r="L16" s="758">
        <f t="shared" si="3"/>
        <v>24000</v>
      </c>
      <c r="M16" s="191"/>
      <c r="N16" s="263"/>
      <c r="O16" s="162"/>
      <c r="P16" s="659">
        <f t="shared" si="4"/>
        <v>0</v>
      </c>
      <c r="Q16" s="938"/>
      <c r="R16" s="765">
        <f t="shared" si="5"/>
        <v>0</v>
      </c>
      <c r="S16" s="191"/>
      <c r="T16" s="754">
        <f t="shared" si="0"/>
        <v>24000</v>
      </c>
      <c r="U16" s="942">
        <f t="shared" si="1"/>
        <v>0</v>
      </c>
      <c r="V16" s="771">
        <f t="shared" si="2"/>
        <v>24000</v>
      </c>
    </row>
    <row r="17" spans="2:22" ht="15">
      <c r="B17" s="31">
        <f t="shared" si="6"/>
        <v>9</v>
      </c>
      <c r="C17" s="37">
        <v>4</v>
      </c>
      <c r="D17" s="129" t="s">
        <v>119</v>
      </c>
      <c r="E17" s="129"/>
      <c r="F17" s="439">
        <f>F18</f>
        <v>18100</v>
      </c>
      <c r="G17" s="440">
        <f>G18</f>
        <v>6400</v>
      </c>
      <c r="H17" s="440">
        <f>H18</f>
        <v>17950</v>
      </c>
      <c r="I17" s="440">
        <f>I18</f>
        <v>1050</v>
      </c>
      <c r="J17" s="645">
        <f t="shared" si="7"/>
        <v>43500</v>
      </c>
      <c r="K17" s="934">
        <f>K18</f>
        <v>2220</v>
      </c>
      <c r="L17" s="758">
        <f t="shared" si="3"/>
        <v>45720</v>
      </c>
      <c r="M17" s="191"/>
      <c r="N17" s="263"/>
      <c r="O17" s="164"/>
      <c r="P17" s="659">
        <f t="shared" si="4"/>
        <v>0</v>
      </c>
      <c r="Q17" s="938"/>
      <c r="R17" s="765">
        <f t="shared" si="5"/>
        <v>0</v>
      </c>
      <c r="S17" s="191"/>
      <c r="T17" s="754">
        <f t="shared" si="0"/>
        <v>43500</v>
      </c>
      <c r="U17" s="942">
        <f t="shared" si="1"/>
        <v>2220</v>
      </c>
      <c r="V17" s="771">
        <f t="shared" si="2"/>
        <v>45720</v>
      </c>
    </row>
    <row r="18" spans="2:23" s="45" customFormat="1" ht="12.75">
      <c r="B18" s="31">
        <f t="shared" si="6"/>
        <v>10</v>
      </c>
      <c r="C18" s="33"/>
      <c r="D18" s="33"/>
      <c r="E18" s="443" t="s">
        <v>327</v>
      </c>
      <c r="F18" s="617">
        <v>18100</v>
      </c>
      <c r="G18" s="617">
        <v>6400</v>
      </c>
      <c r="H18" s="617">
        <v>17950</v>
      </c>
      <c r="I18" s="617">
        <v>1050</v>
      </c>
      <c r="J18" s="640">
        <f t="shared" si="7"/>
        <v>43500</v>
      </c>
      <c r="K18" s="640">
        <v>2220</v>
      </c>
      <c r="L18" s="640">
        <f t="shared" si="3"/>
        <v>45720</v>
      </c>
      <c r="M18" s="417"/>
      <c r="N18" s="260"/>
      <c r="O18" s="165"/>
      <c r="P18" s="640">
        <f t="shared" si="4"/>
        <v>0</v>
      </c>
      <c r="Q18" s="640"/>
      <c r="R18" s="640">
        <f t="shared" si="5"/>
        <v>0</v>
      </c>
      <c r="S18" s="262"/>
      <c r="T18" s="518">
        <f t="shared" si="0"/>
        <v>43500</v>
      </c>
      <c r="U18" s="518">
        <f t="shared" si="1"/>
        <v>2220</v>
      </c>
      <c r="V18" s="518">
        <f t="shared" si="2"/>
        <v>45720</v>
      </c>
      <c r="W18" s="157"/>
    </row>
    <row r="19" spans="2:22" ht="15">
      <c r="B19" s="31">
        <f t="shared" si="6"/>
        <v>11</v>
      </c>
      <c r="C19" s="37">
        <v>5</v>
      </c>
      <c r="D19" s="129" t="s">
        <v>170</v>
      </c>
      <c r="E19" s="129"/>
      <c r="F19" s="439">
        <f>F20</f>
        <v>6340</v>
      </c>
      <c r="G19" s="440">
        <f>G20</f>
        <v>2251</v>
      </c>
      <c r="H19" s="440">
        <f>H20</f>
        <v>4409</v>
      </c>
      <c r="I19" s="440"/>
      <c r="J19" s="645">
        <f t="shared" si="7"/>
        <v>13000</v>
      </c>
      <c r="K19" s="934">
        <f>K20</f>
        <v>1200</v>
      </c>
      <c r="L19" s="758">
        <f t="shared" si="3"/>
        <v>14200</v>
      </c>
      <c r="M19" s="191"/>
      <c r="N19" s="263"/>
      <c r="O19" s="164"/>
      <c r="P19" s="659">
        <f t="shared" si="4"/>
        <v>0</v>
      </c>
      <c r="Q19" s="938"/>
      <c r="R19" s="765">
        <f t="shared" si="5"/>
        <v>0</v>
      </c>
      <c r="S19" s="191"/>
      <c r="T19" s="754">
        <f t="shared" si="0"/>
        <v>13000</v>
      </c>
      <c r="U19" s="942">
        <f t="shared" si="1"/>
        <v>1200</v>
      </c>
      <c r="V19" s="771">
        <f t="shared" si="2"/>
        <v>14200</v>
      </c>
    </row>
    <row r="20" spans="2:22" ht="12.75">
      <c r="B20" s="31">
        <f t="shared" si="6"/>
        <v>12</v>
      </c>
      <c r="C20" s="29"/>
      <c r="D20" s="54"/>
      <c r="E20" s="150" t="s">
        <v>302</v>
      </c>
      <c r="F20" s="617">
        <v>6340</v>
      </c>
      <c r="G20" s="617">
        <v>2251</v>
      </c>
      <c r="H20" s="617">
        <f>1409+3000</f>
        <v>4409</v>
      </c>
      <c r="I20" s="617"/>
      <c r="J20" s="640">
        <f t="shared" si="7"/>
        <v>13000</v>
      </c>
      <c r="K20" s="640">
        <v>1200</v>
      </c>
      <c r="L20" s="640">
        <f t="shared" si="3"/>
        <v>14200</v>
      </c>
      <c r="M20" s="412"/>
      <c r="N20" s="277"/>
      <c r="O20" s="160"/>
      <c r="P20" s="640">
        <f t="shared" si="4"/>
        <v>0</v>
      </c>
      <c r="Q20" s="640"/>
      <c r="R20" s="640">
        <f t="shared" si="5"/>
        <v>0</v>
      </c>
      <c r="S20" s="174"/>
      <c r="T20" s="518">
        <f t="shared" si="0"/>
        <v>13000</v>
      </c>
      <c r="U20" s="518">
        <f t="shared" si="1"/>
        <v>1200</v>
      </c>
      <c r="V20" s="518">
        <f t="shared" si="2"/>
        <v>14200</v>
      </c>
    </row>
    <row r="21" spans="2:22" ht="15">
      <c r="B21" s="31">
        <f t="shared" si="6"/>
        <v>13</v>
      </c>
      <c r="C21" s="37">
        <v>6</v>
      </c>
      <c r="D21" s="129" t="s">
        <v>236</v>
      </c>
      <c r="E21" s="129"/>
      <c r="F21" s="439"/>
      <c r="G21" s="439"/>
      <c r="H21" s="439">
        <f>SUM(H22:H26)</f>
        <v>145584</v>
      </c>
      <c r="I21" s="440"/>
      <c r="J21" s="645">
        <f t="shared" si="7"/>
        <v>145584</v>
      </c>
      <c r="K21" s="934"/>
      <c r="L21" s="758">
        <f t="shared" si="3"/>
        <v>145584</v>
      </c>
      <c r="M21" s="191"/>
      <c r="N21" s="263">
        <f>N24+N25</f>
        <v>9891</v>
      </c>
      <c r="O21" s="164"/>
      <c r="P21" s="659">
        <f t="shared" si="4"/>
        <v>9891</v>
      </c>
      <c r="Q21" s="938"/>
      <c r="R21" s="765">
        <f t="shared" si="5"/>
        <v>9891</v>
      </c>
      <c r="S21" s="191"/>
      <c r="T21" s="754">
        <f t="shared" si="0"/>
        <v>155475</v>
      </c>
      <c r="U21" s="942">
        <f t="shared" si="1"/>
        <v>0</v>
      </c>
      <c r="V21" s="771">
        <f t="shared" si="2"/>
        <v>155475</v>
      </c>
    </row>
    <row r="22" spans="2:22" ht="12.75">
      <c r="B22" s="31">
        <f t="shared" si="6"/>
        <v>14</v>
      </c>
      <c r="C22" s="147"/>
      <c r="D22" s="147"/>
      <c r="E22" s="542" t="s">
        <v>395</v>
      </c>
      <c r="F22" s="605"/>
      <c r="G22" s="606"/>
      <c r="H22" s="607">
        <v>130181</v>
      </c>
      <c r="I22" s="606"/>
      <c r="J22" s="641">
        <f t="shared" si="7"/>
        <v>130181</v>
      </c>
      <c r="K22" s="641"/>
      <c r="L22" s="641">
        <f t="shared" si="3"/>
        <v>130181</v>
      </c>
      <c r="M22" s="174"/>
      <c r="N22" s="555"/>
      <c r="O22" s="543"/>
      <c r="P22" s="640">
        <f>SUM(N22:O22)</f>
        <v>0</v>
      </c>
      <c r="Q22" s="640"/>
      <c r="R22" s="640">
        <f t="shared" si="5"/>
        <v>0</v>
      </c>
      <c r="S22" s="175"/>
      <c r="T22" s="518">
        <f t="shared" si="0"/>
        <v>130181</v>
      </c>
      <c r="U22" s="518">
        <f t="shared" si="1"/>
        <v>0</v>
      </c>
      <c r="V22" s="518">
        <f t="shared" si="2"/>
        <v>130181</v>
      </c>
    </row>
    <row r="23" spans="2:22" ht="12.75">
      <c r="B23" s="31">
        <f t="shared" si="6"/>
        <v>15</v>
      </c>
      <c r="C23" s="147"/>
      <c r="D23" s="147"/>
      <c r="E23" s="542" t="s">
        <v>431</v>
      </c>
      <c r="F23" s="605"/>
      <c r="G23" s="605"/>
      <c r="H23" s="691">
        <v>5584</v>
      </c>
      <c r="I23" s="605"/>
      <c r="J23" s="641">
        <f t="shared" si="7"/>
        <v>5584</v>
      </c>
      <c r="K23" s="641"/>
      <c r="L23" s="641">
        <f t="shared" si="3"/>
        <v>5584</v>
      </c>
      <c r="M23" s="174"/>
      <c r="N23" s="555"/>
      <c r="O23" s="543"/>
      <c r="P23" s="640"/>
      <c r="Q23" s="640"/>
      <c r="R23" s="640">
        <f t="shared" si="5"/>
        <v>0</v>
      </c>
      <c r="S23" s="175"/>
      <c r="T23" s="518"/>
      <c r="U23" s="518">
        <f t="shared" si="1"/>
        <v>0</v>
      </c>
      <c r="V23" s="518">
        <f t="shared" si="2"/>
        <v>0</v>
      </c>
    </row>
    <row r="24" spans="2:22" ht="12.75">
      <c r="B24" s="31">
        <f t="shared" si="6"/>
        <v>16</v>
      </c>
      <c r="C24" s="29"/>
      <c r="D24" s="54"/>
      <c r="E24" s="551" t="s">
        <v>368</v>
      </c>
      <c r="F24" s="617"/>
      <c r="G24" s="617"/>
      <c r="H24" s="617"/>
      <c r="I24" s="617"/>
      <c r="J24" s="640">
        <f t="shared" si="7"/>
        <v>0</v>
      </c>
      <c r="K24" s="640"/>
      <c r="L24" s="640">
        <f t="shared" si="3"/>
        <v>0</v>
      </c>
      <c r="M24" s="412"/>
      <c r="N24" s="352">
        <v>9500</v>
      </c>
      <c r="O24" s="332"/>
      <c r="P24" s="640">
        <f t="shared" si="4"/>
        <v>9500</v>
      </c>
      <c r="Q24" s="640"/>
      <c r="R24" s="640">
        <f t="shared" si="5"/>
        <v>9500</v>
      </c>
      <c r="S24" s="174"/>
      <c r="T24" s="518">
        <f aca="true" t="shared" si="8" ref="T24:T34">J24+P24</f>
        <v>9500</v>
      </c>
      <c r="U24" s="518">
        <f t="shared" si="1"/>
        <v>0</v>
      </c>
      <c r="V24" s="518">
        <f t="shared" si="2"/>
        <v>9500</v>
      </c>
    </row>
    <row r="25" spans="2:22" ht="12.75">
      <c r="B25" s="31">
        <f t="shared" si="6"/>
        <v>17</v>
      </c>
      <c r="C25" s="29"/>
      <c r="D25" s="520"/>
      <c r="E25" s="551" t="s">
        <v>369</v>
      </c>
      <c r="F25" s="617"/>
      <c r="G25" s="617"/>
      <c r="H25" s="617"/>
      <c r="I25" s="617"/>
      <c r="J25" s="640">
        <f t="shared" si="7"/>
        <v>0</v>
      </c>
      <c r="K25" s="640"/>
      <c r="L25" s="640">
        <f t="shared" si="3"/>
        <v>0</v>
      </c>
      <c r="M25" s="412"/>
      <c r="N25" s="352">
        <v>391</v>
      </c>
      <c r="O25" s="332"/>
      <c r="P25" s="640">
        <f t="shared" si="4"/>
        <v>391</v>
      </c>
      <c r="Q25" s="640"/>
      <c r="R25" s="640">
        <f t="shared" si="5"/>
        <v>391</v>
      </c>
      <c r="S25" s="174"/>
      <c r="T25" s="518">
        <f t="shared" si="8"/>
        <v>391</v>
      </c>
      <c r="U25" s="518">
        <f t="shared" si="1"/>
        <v>0</v>
      </c>
      <c r="V25" s="518">
        <f t="shared" si="2"/>
        <v>391</v>
      </c>
    </row>
    <row r="26" spans="2:22" ht="12.75">
      <c r="B26" s="31">
        <f t="shared" si="6"/>
        <v>18</v>
      </c>
      <c r="C26" s="147"/>
      <c r="D26" s="147"/>
      <c r="E26" s="542" t="s">
        <v>367</v>
      </c>
      <c r="F26" s="605"/>
      <c r="G26" s="606"/>
      <c r="H26" s="607">
        <f>9618+201</f>
        <v>9819</v>
      </c>
      <c r="I26" s="606"/>
      <c r="J26" s="641">
        <f t="shared" si="7"/>
        <v>9819</v>
      </c>
      <c r="K26" s="641"/>
      <c r="L26" s="641">
        <f t="shared" si="3"/>
        <v>9819</v>
      </c>
      <c r="M26" s="174"/>
      <c r="N26" s="555"/>
      <c r="O26" s="543"/>
      <c r="P26" s="640">
        <f t="shared" si="4"/>
        <v>0</v>
      </c>
      <c r="Q26" s="640"/>
      <c r="R26" s="640">
        <f t="shared" si="5"/>
        <v>0</v>
      </c>
      <c r="S26" s="175"/>
      <c r="T26" s="518">
        <f t="shared" si="8"/>
        <v>9819</v>
      </c>
      <c r="U26" s="518">
        <f t="shared" si="1"/>
        <v>0</v>
      </c>
      <c r="V26" s="518">
        <f t="shared" si="2"/>
        <v>9819</v>
      </c>
    </row>
    <row r="27" spans="2:22" ht="15">
      <c r="B27" s="31">
        <f t="shared" si="6"/>
        <v>19</v>
      </c>
      <c r="C27" s="37">
        <v>7</v>
      </c>
      <c r="D27" s="129" t="s">
        <v>237</v>
      </c>
      <c r="E27" s="129"/>
      <c r="F27" s="439">
        <f>F28</f>
        <v>980</v>
      </c>
      <c r="G27" s="439">
        <f>G28</f>
        <v>348</v>
      </c>
      <c r="H27" s="439">
        <f>SUM(H28:H31)</f>
        <v>12072</v>
      </c>
      <c r="I27" s="439"/>
      <c r="J27" s="645">
        <f t="shared" si="7"/>
        <v>13400</v>
      </c>
      <c r="K27" s="934">
        <f>SUM(K28:K31)</f>
        <v>-1200</v>
      </c>
      <c r="L27" s="758">
        <f t="shared" si="3"/>
        <v>12200</v>
      </c>
      <c r="M27" s="191"/>
      <c r="N27" s="263"/>
      <c r="O27" s="164"/>
      <c r="P27" s="659">
        <f t="shared" si="4"/>
        <v>0</v>
      </c>
      <c r="Q27" s="938"/>
      <c r="R27" s="765">
        <f t="shared" si="5"/>
        <v>0</v>
      </c>
      <c r="S27" s="191"/>
      <c r="T27" s="754">
        <f t="shared" si="8"/>
        <v>13400</v>
      </c>
      <c r="U27" s="942">
        <f t="shared" si="1"/>
        <v>-1200</v>
      </c>
      <c r="V27" s="771">
        <f t="shared" si="2"/>
        <v>12200</v>
      </c>
    </row>
    <row r="28" spans="2:23" s="45" customFormat="1" ht="12.75">
      <c r="B28" s="31">
        <f t="shared" si="6"/>
        <v>20</v>
      </c>
      <c r="C28" s="40"/>
      <c r="D28" s="296"/>
      <c r="E28" s="443" t="s">
        <v>327</v>
      </c>
      <c r="F28" s="617">
        <v>980</v>
      </c>
      <c r="G28" s="617">
        <v>348</v>
      </c>
      <c r="H28" s="617">
        <v>2172</v>
      </c>
      <c r="I28" s="618"/>
      <c r="J28" s="640">
        <f t="shared" si="7"/>
        <v>3500</v>
      </c>
      <c r="K28" s="640">
        <v>-1200</v>
      </c>
      <c r="L28" s="640">
        <f t="shared" si="3"/>
        <v>2300</v>
      </c>
      <c r="M28" s="417"/>
      <c r="N28" s="260"/>
      <c r="O28" s="165"/>
      <c r="P28" s="640">
        <f t="shared" si="4"/>
        <v>0</v>
      </c>
      <c r="Q28" s="640"/>
      <c r="R28" s="640">
        <f t="shared" si="5"/>
        <v>0</v>
      </c>
      <c r="S28" s="262"/>
      <c r="T28" s="518">
        <f t="shared" si="8"/>
        <v>3500</v>
      </c>
      <c r="U28" s="518">
        <f t="shared" si="1"/>
        <v>-1200</v>
      </c>
      <c r="V28" s="518">
        <f t="shared" si="2"/>
        <v>2300</v>
      </c>
      <c r="W28" s="157"/>
    </row>
    <row r="29" spans="2:23" s="45" customFormat="1" ht="12.75">
      <c r="B29" s="31">
        <f t="shared" si="6"/>
        <v>21</v>
      </c>
      <c r="C29" s="40"/>
      <c r="D29" s="296"/>
      <c r="E29" s="443" t="s">
        <v>354</v>
      </c>
      <c r="F29" s="617"/>
      <c r="G29" s="617"/>
      <c r="H29" s="617">
        <v>8000</v>
      </c>
      <c r="I29" s="618"/>
      <c r="J29" s="640">
        <f t="shared" si="7"/>
        <v>8000</v>
      </c>
      <c r="K29" s="640"/>
      <c r="L29" s="640">
        <f t="shared" si="3"/>
        <v>8000</v>
      </c>
      <c r="M29" s="417"/>
      <c r="N29" s="533"/>
      <c r="O29" s="534"/>
      <c r="P29" s="640">
        <f t="shared" si="4"/>
        <v>0</v>
      </c>
      <c r="Q29" s="640"/>
      <c r="R29" s="640">
        <f t="shared" si="5"/>
        <v>0</v>
      </c>
      <c r="S29" s="262"/>
      <c r="T29" s="518">
        <f t="shared" si="8"/>
        <v>8000</v>
      </c>
      <c r="U29" s="518">
        <f t="shared" si="1"/>
        <v>0</v>
      </c>
      <c r="V29" s="518">
        <f t="shared" si="2"/>
        <v>8000</v>
      </c>
      <c r="W29" s="157"/>
    </row>
    <row r="30" spans="2:23" s="45" customFormat="1" ht="12.75">
      <c r="B30" s="31">
        <f t="shared" si="6"/>
        <v>22</v>
      </c>
      <c r="C30" s="40"/>
      <c r="D30" s="296"/>
      <c r="E30" s="443" t="s">
        <v>355</v>
      </c>
      <c r="F30" s="617"/>
      <c r="G30" s="617"/>
      <c r="H30" s="617">
        <v>0</v>
      </c>
      <c r="I30" s="618"/>
      <c r="J30" s="640">
        <f t="shared" si="7"/>
        <v>0</v>
      </c>
      <c r="K30" s="640"/>
      <c r="L30" s="640">
        <f t="shared" si="3"/>
        <v>0</v>
      </c>
      <c r="M30" s="417"/>
      <c r="N30" s="533"/>
      <c r="O30" s="534"/>
      <c r="P30" s="640">
        <f t="shared" si="4"/>
        <v>0</v>
      </c>
      <c r="Q30" s="640"/>
      <c r="R30" s="640">
        <f t="shared" si="5"/>
        <v>0</v>
      </c>
      <c r="S30" s="262"/>
      <c r="T30" s="518">
        <f t="shared" si="8"/>
        <v>0</v>
      </c>
      <c r="U30" s="453">
        <f t="shared" si="1"/>
        <v>0</v>
      </c>
      <c r="V30" s="453">
        <f t="shared" si="2"/>
        <v>0</v>
      </c>
      <c r="W30" s="157"/>
    </row>
    <row r="31" spans="2:22" ht="12.75">
      <c r="B31" s="31">
        <f t="shared" si="6"/>
        <v>23</v>
      </c>
      <c r="C31" s="147"/>
      <c r="D31" s="147"/>
      <c r="E31" s="542" t="s">
        <v>367</v>
      </c>
      <c r="F31" s="605"/>
      <c r="G31" s="606"/>
      <c r="H31" s="607">
        <v>1900</v>
      </c>
      <c r="I31" s="606"/>
      <c r="J31" s="641">
        <f t="shared" si="7"/>
        <v>1900</v>
      </c>
      <c r="K31" s="641"/>
      <c r="L31" s="641">
        <f t="shared" si="3"/>
        <v>1900</v>
      </c>
      <c r="M31" s="174"/>
      <c r="N31" s="555"/>
      <c r="O31" s="543"/>
      <c r="P31" s="640">
        <f t="shared" si="4"/>
        <v>0</v>
      </c>
      <c r="Q31" s="640"/>
      <c r="R31" s="640">
        <f t="shared" si="5"/>
        <v>0</v>
      </c>
      <c r="S31" s="175"/>
      <c r="T31" s="518">
        <f t="shared" si="8"/>
        <v>1900</v>
      </c>
      <c r="U31" s="453">
        <f t="shared" si="1"/>
        <v>0</v>
      </c>
      <c r="V31" s="453">
        <f t="shared" si="2"/>
        <v>1900</v>
      </c>
    </row>
    <row r="32" spans="2:22" ht="15">
      <c r="B32" s="31">
        <f t="shared" si="6"/>
        <v>24</v>
      </c>
      <c r="C32" s="37">
        <v>8</v>
      </c>
      <c r="D32" s="38" t="s">
        <v>81</v>
      </c>
      <c r="E32" s="129"/>
      <c r="F32" s="439"/>
      <c r="G32" s="440"/>
      <c r="H32" s="440"/>
      <c r="I32" s="440">
        <v>174000</v>
      </c>
      <c r="J32" s="645">
        <f t="shared" si="7"/>
        <v>174000</v>
      </c>
      <c r="K32" s="934"/>
      <c r="L32" s="758">
        <f t="shared" si="3"/>
        <v>174000</v>
      </c>
      <c r="M32" s="191"/>
      <c r="N32" s="263"/>
      <c r="O32" s="164"/>
      <c r="P32" s="659">
        <f t="shared" si="4"/>
        <v>0</v>
      </c>
      <c r="Q32" s="938"/>
      <c r="R32" s="765">
        <f t="shared" si="5"/>
        <v>0</v>
      </c>
      <c r="S32" s="191"/>
      <c r="T32" s="768">
        <f t="shared" si="8"/>
        <v>174000</v>
      </c>
      <c r="U32" s="942">
        <f t="shared" si="1"/>
        <v>0</v>
      </c>
      <c r="V32" s="771">
        <f t="shared" si="2"/>
        <v>174000</v>
      </c>
    </row>
    <row r="33" spans="2:22" ht="12.75">
      <c r="B33" s="31">
        <f t="shared" si="6"/>
        <v>25</v>
      </c>
      <c r="C33" s="147"/>
      <c r="D33" s="147"/>
      <c r="E33" s="542" t="s">
        <v>395</v>
      </c>
      <c r="F33" s="605"/>
      <c r="G33" s="606"/>
      <c r="H33" s="607"/>
      <c r="I33" s="606">
        <f>I32-I34</f>
        <v>137167</v>
      </c>
      <c r="J33" s="641">
        <f>SUM(F33:I33)</f>
        <v>137167</v>
      </c>
      <c r="K33" s="641"/>
      <c r="L33" s="641">
        <f t="shared" si="3"/>
        <v>137167</v>
      </c>
      <c r="M33" s="174"/>
      <c r="N33" s="555"/>
      <c r="O33" s="543"/>
      <c r="P33" s="640">
        <f>SUM(N33:O33)</f>
        <v>0</v>
      </c>
      <c r="Q33" s="640"/>
      <c r="R33" s="640">
        <f t="shared" si="5"/>
        <v>0</v>
      </c>
      <c r="S33" s="175"/>
      <c r="T33" s="453">
        <f t="shared" si="8"/>
        <v>137167</v>
      </c>
      <c r="U33" s="453">
        <f t="shared" si="1"/>
        <v>0</v>
      </c>
      <c r="V33" s="453">
        <f t="shared" si="2"/>
        <v>137167</v>
      </c>
    </row>
    <row r="34" spans="2:22" ht="13.5" thickBot="1">
      <c r="B34" s="32">
        <f>B33+1</f>
        <v>26</v>
      </c>
      <c r="C34" s="541"/>
      <c r="D34" s="541"/>
      <c r="E34" s="544" t="s">
        <v>367</v>
      </c>
      <c r="F34" s="614"/>
      <c r="G34" s="615"/>
      <c r="H34" s="616"/>
      <c r="I34" s="615">
        <v>36833</v>
      </c>
      <c r="J34" s="654">
        <f t="shared" si="7"/>
        <v>36833</v>
      </c>
      <c r="K34" s="654"/>
      <c r="L34" s="654">
        <f t="shared" si="3"/>
        <v>36833</v>
      </c>
      <c r="M34" s="174"/>
      <c r="N34" s="556"/>
      <c r="O34" s="545"/>
      <c r="P34" s="654">
        <f>SUM(N34:O34)</f>
        <v>0</v>
      </c>
      <c r="Q34" s="654"/>
      <c r="R34" s="654">
        <f t="shared" si="5"/>
        <v>0</v>
      </c>
      <c r="S34" s="175"/>
      <c r="T34" s="557">
        <f t="shared" si="8"/>
        <v>36833</v>
      </c>
      <c r="U34" s="557">
        <f t="shared" si="1"/>
        <v>0</v>
      </c>
      <c r="V34" s="557">
        <f t="shared" si="2"/>
        <v>36833</v>
      </c>
    </row>
    <row r="35" spans="8:22" ht="12.75">
      <c r="H35" s="19"/>
      <c r="J35" s="36"/>
      <c r="K35" s="36"/>
      <c r="L35" s="36"/>
      <c r="M35" s="174"/>
      <c r="T35" s="259"/>
      <c r="U35" s="176"/>
      <c r="V35" s="176"/>
    </row>
    <row r="36" spans="3:19" ht="12.75">
      <c r="C36"/>
      <c r="D36"/>
      <c r="J36" s="19"/>
      <c r="K36" s="19"/>
      <c r="L36" s="19"/>
      <c r="M36"/>
      <c r="S36"/>
    </row>
    <row r="37" spans="3:19" ht="12.75">
      <c r="C37"/>
      <c r="D37"/>
      <c r="K37" s="19"/>
      <c r="M37"/>
      <c r="S37"/>
    </row>
    <row r="38" spans="3:19" ht="12.75">
      <c r="C38"/>
      <c r="D38"/>
      <c r="K38" s="19"/>
      <c r="M38"/>
      <c r="S38"/>
    </row>
    <row r="39" spans="3:19" ht="12.75">
      <c r="C39"/>
      <c r="D39"/>
      <c r="M39"/>
      <c r="S39"/>
    </row>
    <row r="40" spans="3:19" ht="12.75">
      <c r="C40"/>
      <c r="D40"/>
      <c r="M40"/>
      <c r="S40"/>
    </row>
    <row r="41" spans="3:19" ht="12.75">
      <c r="C41"/>
      <c r="D41"/>
      <c r="M41"/>
      <c r="S41"/>
    </row>
    <row r="42" spans="3:19" ht="12.75">
      <c r="C42"/>
      <c r="D42"/>
      <c r="M42"/>
      <c r="S42"/>
    </row>
    <row r="43" spans="3:19" ht="12.75">
      <c r="C43"/>
      <c r="D43"/>
      <c r="M43"/>
      <c r="S43"/>
    </row>
    <row r="44" spans="3:19" ht="12.75">
      <c r="C44"/>
      <c r="D44"/>
      <c r="M44"/>
      <c r="S44"/>
    </row>
    <row r="45" spans="3:19" ht="12.75">
      <c r="C45"/>
      <c r="D45"/>
      <c r="M45"/>
      <c r="S45"/>
    </row>
    <row r="46" spans="3:19" ht="12.75">
      <c r="C46"/>
      <c r="D46"/>
      <c r="M46"/>
      <c r="S46"/>
    </row>
    <row r="47" spans="3:19" ht="12.75">
      <c r="C47"/>
      <c r="D47"/>
      <c r="M47"/>
      <c r="S47"/>
    </row>
    <row r="48" spans="3:19" ht="12.75">
      <c r="C48"/>
      <c r="D48"/>
      <c r="M48"/>
      <c r="S48"/>
    </row>
    <row r="49" spans="3:19" ht="12.75">
      <c r="C49"/>
      <c r="D49"/>
      <c r="M49"/>
      <c r="S49"/>
    </row>
    <row r="50" spans="3:19" ht="12.75">
      <c r="C50"/>
      <c r="D50"/>
      <c r="M50"/>
      <c r="S50"/>
    </row>
    <row r="51" spans="3:19" ht="12.75">
      <c r="C51"/>
      <c r="D51"/>
      <c r="M51"/>
      <c r="S51"/>
    </row>
    <row r="52" spans="3:19" ht="12.75">
      <c r="C52"/>
      <c r="D52"/>
      <c r="M52"/>
      <c r="S52"/>
    </row>
    <row r="53" spans="3:19" ht="12.75">
      <c r="C53"/>
      <c r="D53"/>
      <c r="M53"/>
      <c r="S53"/>
    </row>
    <row r="54" spans="3:19" ht="12.75">
      <c r="C54"/>
      <c r="D54"/>
      <c r="M54"/>
      <c r="S54"/>
    </row>
    <row r="55" spans="3:19" ht="12.75">
      <c r="C55"/>
      <c r="D55"/>
      <c r="M55"/>
      <c r="S55"/>
    </row>
    <row r="56" spans="3:19" ht="12.75">
      <c r="C56"/>
      <c r="D56"/>
      <c r="M56"/>
      <c r="S56"/>
    </row>
    <row r="57" spans="3:19" ht="12.75">
      <c r="C57"/>
      <c r="D57"/>
      <c r="M57"/>
      <c r="S57"/>
    </row>
    <row r="58" spans="3:19" ht="12.75">
      <c r="C58"/>
      <c r="D58"/>
      <c r="M58"/>
      <c r="S58"/>
    </row>
    <row r="59" spans="3:19" ht="12.75">
      <c r="C59"/>
      <c r="D59"/>
      <c r="M59"/>
      <c r="S59"/>
    </row>
    <row r="60" spans="3:19" ht="12.75">
      <c r="C60"/>
      <c r="D60"/>
      <c r="M60"/>
      <c r="S60"/>
    </row>
    <row r="61" spans="3:19" ht="12.75">
      <c r="C61"/>
      <c r="D61"/>
      <c r="M61"/>
      <c r="S61"/>
    </row>
    <row r="62" spans="3:19" ht="12.75">
      <c r="C62"/>
      <c r="D62"/>
      <c r="M62"/>
      <c r="S62"/>
    </row>
    <row r="63" spans="3:19" ht="12.75">
      <c r="C63"/>
      <c r="D63"/>
      <c r="M63"/>
      <c r="S63"/>
    </row>
    <row r="64" spans="3:19" ht="12.75">
      <c r="C64"/>
      <c r="D64"/>
      <c r="M64"/>
      <c r="S64"/>
    </row>
    <row r="65" spans="3:19" ht="12.75">
      <c r="C65"/>
      <c r="D65"/>
      <c r="M65"/>
      <c r="S65"/>
    </row>
    <row r="66" spans="3:19" ht="12.75">
      <c r="C66"/>
      <c r="D66"/>
      <c r="M66"/>
      <c r="S66"/>
    </row>
    <row r="67" spans="3:19" ht="12.75">
      <c r="C67"/>
      <c r="D67"/>
      <c r="M67"/>
      <c r="S67"/>
    </row>
    <row r="68" spans="3:19" ht="12.75">
      <c r="C68"/>
      <c r="D68"/>
      <c r="M68"/>
      <c r="S68"/>
    </row>
    <row r="69" spans="3:19" ht="12.75">
      <c r="C69"/>
      <c r="D69"/>
      <c r="M69"/>
      <c r="S69"/>
    </row>
    <row r="70" spans="3:19" ht="12.75">
      <c r="C70"/>
      <c r="D70"/>
      <c r="M70"/>
      <c r="S70"/>
    </row>
    <row r="71" spans="3:19" ht="12.75">
      <c r="C71"/>
      <c r="D71"/>
      <c r="M71"/>
      <c r="S71"/>
    </row>
    <row r="72" spans="3:19" ht="12.75">
      <c r="C72"/>
      <c r="D72"/>
      <c r="M72"/>
      <c r="S72"/>
    </row>
    <row r="73" spans="3:19" ht="12.75">
      <c r="C73"/>
      <c r="D73"/>
      <c r="M73"/>
      <c r="S73"/>
    </row>
    <row r="74" spans="3:19" ht="12.75">
      <c r="C74"/>
      <c r="D74"/>
      <c r="M74"/>
      <c r="S74"/>
    </row>
    <row r="75" spans="3:19" ht="12.75">
      <c r="C75"/>
      <c r="D75"/>
      <c r="M75"/>
      <c r="S75"/>
    </row>
    <row r="76" spans="3:19" ht="12.75">
      <c r="C76"/>
      <c r="D76"/>
      <c r="M76"/>
      <c r="S76"/>
    </row>
    <row r="77" spans="3:19" ht="12.75">
      <c r="C77"/>
      <c r="D77"/>
      <c r="M77"/>
      <c r="S77"/>
    </row>
    <row r="78" spans="3:19" ht="12.75">
      <c r="C78"/>
      <c r="D78"/>
      <c r="M78"/>
      <c r="S78"/>
    </row>
    <row r="79" spans="3:19" ht="12.75">
      <c r="C79"/>
      <c r="D79"/>
      <c r="M79"/>
      <c r="S79"/>
    </row>
    <row r="80" spans="3:19" ht="12.75">
      <c r="C80"/>
      <c r="D80"/>
      <c r="M80"/>
      <c r="S80"/>
    </row>
    <row r="81" spans="3:19" ht="12.75">
      <c r="C81"/>
      <c r="D81"/>
      <c r="M81"/>
      <c r="S81"/>
    </row>
    <row r="82" spans="3:19" ht="12.75">
      <c r="C82"/>
      <c r="D82"/>
      <c r="M82"/>
      <c r="S82"/>
    </row>
    <row r="83" spans="3:19" ht="12.75">
      <c r="C83"/>
      <c r="D83"/>
      <c r="M83"/>
      <c r="S83"/>
    </row>
    <row r="84" spans="3:19" ht="12.75">
      <c r="C84"/>
      <c r="D84"/>
      <c r="M84"/>
      <c r="S84"/>
    </row>
    <row r="85" spans="3:19" ht="12.75">
      <c r="C85"/>
      <c r="D85"/>
      <c r="M85"/>
      <c r="S85"/>
    </row>
    <row r="86" spans="3:19" ht="12.75">
      <c r="C86"/>
      <c r="D86"/>
      <c r="M86"/>
      <c r="S86"/>
    </row>
    <row r="87" spans="3:19" ht="12.75">
      <c r="C87"/>
      <c r="D87"/>
      <c r="M87"/>
      <c r="S87"/>
    </row>
    <row r="88" spans="3:19" ht="12.75">
      <c r="C88"/>
      <c r="D88"/>
      <c r="M88"/>
      <c r="S88"/>
    </row>
    <row r="89" spans="3:19" ht="12.75">
      <c r="C89"/>
      <c r="D89"/>
      <c r="M89"/>
      <c r="S89"/>
    </row>
    <row r="90" spans="3:19" ht="12.75">
      <c r="C90"/>
      <c r="D90"/>
      <c r="M90"/>
      <c r="S90"/>
    </row>
    <row r="91" spans="3:19" ht="12.75">
      <c r="C91"/>
      <c r="D91"/>
      <c r="M91"/>
      <c r="S91"/>
    </row>
    <row r="92" spans="3:19" ht="12.75">
      <c r="C92"/>
      <c r="D92"/>
      <c r="M92"/>
      <c r="S92"/>
    </row>
    <row r="93" spans="3:19" ht="12.75">
      <c r="C93"/>
      <c r="D93"/>
      <c r="M93"/>
      <c r="S93"/>
    </row>
    <row r="94" spans="3:19" ht="12.75">
      <c r="C94"/>
      <c r="D94"/>
      <c r="M94"/>
      <c r="S94"/>
    </row>
    <row r="95" spans="3:19" ht="12.75">
      <c r="C95"/>
      <c r="D95"/>
      <c r="M95"/>
      <c r="S95"/>
    </row>
    <row r="96" spans="3:19" ht="12.75">
      <c r="C96"/>
      <c r="D96"/>
      <c r="M96"/>
      <c r="S96"/>
    </row>
    <row r="97" spans="3:19" ht="12.75">
      <c r="C97"/>
      <c r="D97"/>
      <c r="M97"/>
      <c r="S97"/>
    </row>
    <row r="98" spans="3:19" ht="12.75">
      <c r="C98"/>
      <c r="D98"/>
      <c r="M98"/>
      <c r="S98"/>
    </row>
    <row r="99" spans="3:19" ht="12.75">
      <c r="C99"/>
      <c r="D99"/>
      <c r="M99"/>
      <c r="S99"/>
    </row>
    <row r="100" spans="3:19" ht="12.75">
      <c r="C100"/>
      <c r="D100"/>
      <c r="M100"/>
      <c r="S100"/>
    </row>
    <row r="101" spans="3:19" ht="12.75">
      <c r="C101"/>
      <c r="D101"/>
      <c r="M101"/>
      <c r="S101"/>
    </row>
    <row r="102" spans="3:19" ht="12.75">
      <c r="C102"/>
      <c r="D102"/>
      <c r="M102"/>
      <c r="S102"/>
    </row>
    <row r="103" spans="3:19" ht="12.75">
      <c r="C103"/>
      <c r="D103"/>
      <c r="M103"/>
      <c r="S103"/>
    </row>
    <row r="104" spans="3:19" ht="12.75">
      <c r="C104"/>
      <c r="D104"/>
      <c r="M104"/>
      <c r="S104"/>
    </row>
    <row r="105" spans="3:19" ht="12.75">
      <c r="C105"/>
      <c r="D105"/>
      <c r="M105"/>
      <c r="S105"/>
    </row>
    <row r="106" spans="3:19" ht="12.75">
      <c r="C106"/>
      <c r="D106"/>
      <c r="M106"/>
      <c r="S106"/>
    </row>
    <row r="107" spans="3:19" ht="12.75">
      <c r="C107"/>
      <c r="D107"/>
      <c r="M107"/>
      <c r="S107"/>
    </row>
    <row r="108" spans="3:19" ht="12.75">
      <c r="C108"/>
      <c r="D108"/>
      <c r="M108"/>
      <c r="S108"/>
    </row>
    <row r="109" spans="3:19" ht="12.75">
      <c r="C109"/>
      <c r="D109"/>
      <c r="M109"/>
      <c r="S109"/>
    </row>
    <row r="110" spans="3:19" ht="12.75">
      <c r="C110"/>
      <c r="D110"/>
      <c r="M110"/>
      <c r="S110"/>
    </row>
    <row r="111" spans="3:19" ht="12.75">
      <c r="C111"/>
      <c r="D111"/>
      <c r="M111"/>
      <c r="S111"/>
    </row>
    <row r="112" spans="3:19" ht="12.75">
      <c r="C112"/>
      <c r="D112"/>
      <c r="M112"/>
      <c r="S112"/>
    </row>
    <row r="113" spans="3:19" ht="12.75">
      <c r="C113"/>
      <c r="D113"/>
      <c r="M113"/>
      <c r="S113"/>
    </row>
    <row r="114" spans="3:19" ht="12.75">
      <c r="C114"/>
      <c r="D114"/>
      <c r="M114"/>
      <c r="S114"/>
    </row>
    <row r="115" spans="3:19" ht="12.75">
      <c r="C115"/>
      <c r="D115"/>
      <c r="M115"/>
      <c r="S115"/>
    </row>
    <row r="116" spans="3:19" ht="12.75">
      <c r="C116"/>
      <c r="D116"/>
      <c r="M116"/>
      <c r="S116"/>
    </row>
    <row r="117" spans="3:19" ht="12.75">
      <c r="C117"/>
      <c r="D117"/>
      <c r="M117"/>
      <c r="S117"/>
    </row>
    <row r="118" spans="3:19" ht="12.75">
      <c r="C118"/>
      <c r="D118"/>
      <c r="M118"/>
      <c r="S118"/>
    </row>
    <row r="119" spans="3:19" ht="12.75">
      <c r="C119"/>
      <c r="D119"/>
      <c r="M119"/>
      <c r="S119"/>
    </row>
    <row r="120" spans="3:19" ht="12.75">
      <c r="C120"/>
      <c r="D120"/>
      <c r="M120"/>
      <c r="S120"/>
    </row>
    <row r="121" spans="3:19" ht="12.75">
      <c r="C121"/>
      <c r="D121"/>
      <c r="M121"/>
      <c r="S121"/>
    </row>
    <row r="122" spans="3:19" ht="12.75">
      <c r="C122"/>
      <c r="D122"/>
      <c r="M122"/>
      <c r="S122"/>
    </row>
    <row r="123" spans="3:19" ht="12.75">
      <c r="C123"/>
      <c r="D123"/>
      <c r="M123"/>
      <c r="S123"/>
    </row>
    <row r="124" spans="3:19" ht="12.75">
      <c r="C124"/>
      <c r="D124"/>
      <c r="M124"/>
      <c r="S124"/>
    </row>
    <row r="125" spans="3:19" ht="12.75">
      <c r="C125"/>
      <c r="D125"/>
      <c r="M125"/>
      <c r="S125"/>
    </row>
    <row r="126" spans="3:19" ht="12.75">
      <c r="C126"/>
      <c r="D126"/>
      <c r="M126"/>
      <c r="S126"/>
    </row>
    <row r="127" spans="3:19" ht="12.75">
      <c r="C127"/>
      <c r="D127"/>
      <c r="M127"/>
      <c r="S127"/>
    </row>
    <row r="128" spans="3:19" ht="12.75">
      <c r="C128"/>
      <c r="D128"/>
      <c r="M128"/>
      <c r="S128"/>
    </row>
    <row r="129" spans="3:19" ht="12.75">
      <c r="C129"/>
      <c r="D129"/>
      <c r="M129"/>
      <c r="S129"/>
    </row>
    <row r="130" spans="3:19" ht="12.75">
      <c r="C130"/>
      <c r="D130"/>
      <c r="M130"/>
      <c r="S130"/>
    </row>
    <row r="131" spans="3:19" ht="12.75">
      <c r="C131"/>
      <c r="D131"/>
      <c r="M131"/>
      <c r="S131"/>
    </row>
    <row r="132" spans="3:19" ht="12.75">
      <c r="C132"/>
      <c r="D132"/>
      <c r="M132"/>
      <c r="S132"/>
    </row>
    <row r="133" spans="3:19" ht="12.75">
      <c r="C133"/>
      <c r="D133"/>
      <c r="M133"/>
      <c r="S133"/>
    </row>
    <row r="134" spans="3:19" ht="12.75">
      <c r="C134"/>
      <c r="D134"/>
      <c r="M134"/>
      <c r="S134"/>
    </row>
    <row r="135" spans="3:19" ht="12.75">
      <c r="C135"/>
      <c r="D135"/>
      <c r="M135"/>
      <c r="S135"/>
    </row>
    <row r="136" spans="3:19" ht="12.75">
      <c r="C136"/>
      <c r="D136"/>
      <c r="M136"/>
      <c r="S136"/>
    </row>
    <row r="137" spans="3:19" ht="12.75">
      <c r="C137"/>
      <c r="D137"/>
      <c r="M137"/>
      <c r="S137"/>
    </row>
    <row r="138" spans="3:19" ht="12.75">
      <c r="C138"/>
      <c r="D138"/>
      <c r="M138"/>
      <c r="S138"/>
    </row>
    <row r="139" spans="3:19" ht="12.75">
      <c r="C139"/>
      <c r="D139"/>
      <c r="M139"/>
      <c r="S139"/>
    </row>
    <row r="140" spans="3:19" ht="12.75">
      <c r="C140"/>
      <c r="D140"/>
      <c r="M140"/>
      <c r="S140"/>
    </row>
    <row r="141" spans="3:19" ht="12.75">
      <c r="C141"/>
      <c r="D141"/>
      <c r="M141"/>
      <c r="S141"/>
    </row>
    <row r="142" spans="3:19" ht="12.75">
      <c r="C142"/>
      <c r="D142"/>
      <c r="M142"/>
      <c r="S142"/>
    </row>
    <row r="143" spans="3:19" ht="12.75">
      <c r="C143"/>
      <c r="D143"/>
      <c r="M143"/>
      <c r="S143"/>
    </row>
    <row r="144" spans="3:19" ht="12.75">
      <c r="C144"/>
      <c r="D144"/>
      <c r="M144"/>
      <c r="S144"/>
    </row>
    <row r="145" spans="3:19" ht="12.75">
      <c r="C145"/>
      <c r="D145"/>
      <c r="M145"/>
      <c r="S145"/>
    </row>
    <row r="146" spans="3:19" ht="12.75">
      <c r="C146"/>
      <c r="D146"/>
      <c r="M146"/>
      <c r="S146"/>
    </row>
    <row r="147" spans="3:19" ht="12.75">
      <c r="C147"/>
      <c r="D147"/>
      <c r="M147"/>
      <c r="S147"/>
    </row>
    <row r="148" spans="3:19" ht="12.75">
      <c r="C148"/>
      <c r="D148"/>
      <c r="M148"/>
      <c r="S148"/>
    </row>
    <row r="149" spans="3:19" ht="12.75">
      <c r="C149"/>
      <c r="D149"/>
      <c r="M149"/>
      <c r="S149"/>
    </row>
    <row r="150" spans="3:19" ht="12.75">
      <c r="C150"/>
      <c r="D150"/>
      <c r="M150"/>
      <c r="S150"/>
    </row>
    <row r="151" spans="3:19" ht="12.75">
      <c r="C151"/>
      <c r="D151"/>
      <c r="M151"/>
      <c r="S151"/>
    </row>
    <row r="152" spans="3:19" ht="12.75">
      <c r="C152"/>
      <c r="D152"/>
      <c r="M152"/>
      <c r="S152"/>
    </row>
    <row r="153" spans="3:19" ht="12.75">
      <c r="C153"/>
      <c r="D153"/>
      <c r="M153"/>
      <c r="S153"/>
    </row>
    <row r="154" spans="3:19" ht="12.75">
      <c r="C154"/>
      <c r="D154"/>
      <c r="M154"/>
      <c r="S154"/>
    </row>
    <row r="155" spans="3:19" ht="12.75">
      <c r="C155"/>
      <c r="D155"/>
      <c r="M155"/>
      <c r="S155"/>
    </row>
    <row r="156" spans="3:19" ht="12.75">
      <c r="C156"/>
      <c r="D156"/>
      <c r="M156"/>
      <c r="S156"/>
    </row>
    <row r="157" spans="3:19" ht="12.75">
      <c r="C157"/>
      <c r="D157"/>
      <c r="M157"/>
      <c r="S157"/>
    </row>
    <row r="158" spans="3:19" ht="12.75">
      <c r="C158"/>
      <c r="D158"/>
      <c r="M158"/>
      <c r="S158"/>
    </row>
    <row r="159" spans="3:19" ht="12.75">
      <c r="C159"/>
      <c r="D159"/>
      <c r="M159"/>
      <c r="S159"/>
    </row>
    <row r="160" spans="3:19" ht="12.75">
      <c r="C160"/>
      <c r="D160"/>
      <c r="M160"/>
      <c r="S160"/>
    </row>
    <row r="161" spans="3:19" ht="12.75">
      <c r="C161"/>
      <c r="D161"/>
      <c r="M161"/>
      <c r="S161"/>
    </row>
    <row r="162" spans="3:19" ht="12.75">
      <c r="C162"/>
      <c r="D162"/>
      <c r="M162"/>
      <c r="S162"/>
    </row>
    <row r="163" spans="3:19" ht="12.75">
      <c r="C163"/>
      <c r="D163"/>
      <c r="M163"/>
      <c r="S163"/>
    </row>
    <row r="164" spans="3:19" ht="12.75">
      <c r="C164"/>
      <c r="D164"/>
      <c r="M164"/>
      <c r="S164"/>
    </row>
    <row r="165" spans="3:19" ht="12.75">
      <c r="C165"/>
      <c r="D165"/>
      <c r="M165"/>
      <c r="S165"/>
    </row>
    <row r="166" spans="3:19" ht="12.75">
      <c r="C166"/>
      <c r="D166"/>
      <c r="M166"/>
      <c r="S166"/>
    </row>
    <row r="167" spans="3:19" ht="12.75">
      <c r="C167"/>
      <c r="D167"/>
      <c r="M167"/>
      <c r="S167"/>
    </row>
    <row r="168" spans="3:19" ht="12.75">
      <c r="C168"/>
      <c r="D168"/>
      <c r="M168"/>
      <c r="S168"/>
    </row>
    <row r="169" spans="3:19" ht="12.75">
      <c r="C169"/>
      <c r="D169"/>
      <c r="M169"/>
      <c r="S169"/>
    </row>
    <row r="170" spans="3:19" ht="12.75">
      <c r="C170"/>
      <c r="D170"/>
      <c r="M170"/>
      <c r="S170"/>
    </row>
    <row r="171" spans="3:19" ht="12.75">
      <c r="C171"/>
      <c r="D171"/>
      <c r="M171"/>
      <c r="S171"/>
    </row>
    <row r="172" spans="3:19" ht="12.75">
      <c r="C172"/>
      <c r="D172"/>
      <c r="M172"/>
      <c r="S172"/>
    </row>
    <row r="173" spans="3:19" ht="12.75">
      <c r="C173"/>
      <c r="D173"/>
      <c r="M173"/>
      <c r="S173"/>
    </row>
    <row r="174" spans="3:19" ht="12.75">
      <c r="C174"/>
      <c r="D174"/>
      <c r="M174"/>
      <c r="S174"/>
    </row>
    <row r="175" spans="3:19" ht="12.75">
      <c r="C175"/>
      <c r="D175"/>
      <c r="M175"/>
      <c r="S175"/>
    </row>
    <row r="176" spans="3:19" ht="12.75">
      <c r="C176"/>
      <c r="D176"/>
      <c r="M176"/>
      <c r="S176"/>
    </row>
    <row r="177" spans="3:19" ht="12.75">
      <c r="C177"/>
      <c r="D177"/>
      <c r="M177"/>
      <c r="S177"/>
    </row>
    <row r="178" spans="3:19" ht="12.75">
      <c r="C178"/>
      <c r="D178"/>
      <c r="M178"/>
      <c r="S178"/>
    </row>
    <row r="179" spans="3:19" ht="12.75">
      <c r="C179"/>
      <c r="D179"/>
      <c r="M179"/>
      <c r="S179"/>
    </row>
    <row r="180" spans="3:19" ht="12.75">
      <c r="C180"/>
      <c r="D180"/>
      <c r="M180"/>
      <c r="S180"/>
    </row>
    <row r="181" spans="3:19" ht="12.75">
      <c r="C181"/>
      <c r="D181"/>
      <c r="M181"/>
      <c r="S181"/>
    </row>
    <row r="182" spans="3:19" ht="12.75">
      <c r="C182"/>
      <c r="D182"/>
      <c r="M182"/>
      <c r="S182"/>
    </row>
    <row r="183" spans="3:19" ht="12.75">
      <c r="C183"/>
      <c r="D183"/>
      <c r="M183"/>
      <c r="S183"/>
    </row>
    <row r="184" spans="3:19" ht="12.75">
      <c r="C184"/>
      <c r="D184"/>
      <c r="M184"/>
      <c r="S184"/>
    </row>
    <row r="185" spans="3:19" ht="12.75">
      <c r="C185"/>
      <c r="D185"/>
      <c r="M185"/>
      <c r="S185"/>
    </row>
    <row r="186" spans="3:19" ht="12.75">
      <c r="C186"/>
      <c r="D186"/>
      <c r="M186"/>
      <c r="S186"/>
    </row>
    <row r="187" spans="3:19" ht="12.75">
      <c r="C187"/>
      <c r="D187"/>
      <c r="M187"/>
      <c r="S187"/>
    </row>
    <row r="188" spans="3:19" ht="12.75">
      <c r="C188"/>
      <c r="D188"/>
      <c r="M188"/>
      <c r="S188"/>
    </row>
    <row r="189" spans="3:19" ht="12.75">
      <c r="C189"/>
      <c r="D189"/>
      <c r="M189"/>
      <c r="S189"/>
    </row>
    <row r="190" spans="3:19" ht="12.75">
      <c r="C190"/>
      <c r="D190"/>
      <c r="M190"/>
      <c r="S190"/>
    </row>
    <row r="191" spans="3:19" ht="12.75">
      <c r="C191"/>
      <c r="D191"/>
      <c r="M191"/>
      <c r="S191"/>
    </row>
    <row r="192" spans="3:19" ht="12.75">
      <c r="C192"/>
      <c r="D192"/>
      <c r="M192"/>
      <c r="S192"/>
    </row>
    <row r="193" spans="3:19" ht="12.75">
      <c r="C193"/>
      <c r="D193"/>
      <c r="M193"/>
      <c r="S193"/>
    </row>
    <row r="194" spans="3:19" ht="12.75">
      <c r="C194"/>
      <c r="D194"/>
      <c r="M194"/>
      <c r="S194"/>
    </row>
    <row r="195" spans="3:19" ht="12.75">
      <c r="C195"/>
      <c r="D195"/>
      <c r="M195"/>
      <c r="S195"/>
    </row>
    <row r="196" spans="3:19" ht="12.75">
      <c r="C196"/>
      <c r="D196"/>
      <c r="M196"/>
      <c r="S196"/>
    </row>
    <row r="197" spans="3:19" ht="12.75">
      <c r="C197"/>
      <c r="D197"/>
      <c r="M197"/>
      <c r="S197"/>
    </row>
    <row r="198" spans="3:19" ht="12.75">
      <c r="C198"/>
      <c r="D198"/>
      <c r="M198"/>
      <c r="S198"/>
    </row>
    <row r="199" spans="3:19" ht="12.75">
      <c r="C199"/>
      <c r="D199"/>
      <c r="M199"/>
      <c r="S199"/>
    </row>
    <row r="200" spans="3:19" ht="12.75">
      <c r="C200"/>
      <c r="D200"/>
      <c r="M200"/>
      <c r="S200"/>
    </row>
    <row r="201" spans="3:19" ht="12.75">
      <c r="C201"/>
      <c r="D201"/>
      <c r="M201"/>
      <c r="S201"/>
    </row>
    <row r="202" spans="3:19" ht="12.75">
      <c r="C202"/>
      <c r="D202"/>
      <c r="M202"/>
      <c r="S202"/>
    </row>
    <row r="203" spans="3:19" ht="12.75">
      <c r="C203"/>
      <c r="D203"/>
      <c r="M203"/>
      <c r="S203"/>
    </row>
    <row r="204" spans="3:19" ht="12.75">
      <c r="C204"/>
      <c r="D204"/>
      <c r="M204"/>
      <c r="S204"/>
    </row>
    <row r="205" spans="3:19" ht="12.75">
      <c r="C205"/>
      <c r="D205"/>
      <c r="M205"/>
      <c r="S205"/>
    </row>
    <row r="206" spans="3:19" ht="12.75">
      <c r="C206"/>
      <c r="D206"/>
      <c r="M206"/>
      <c r="S206"/>
    </row>
    <row r="207" spans="3:19" ht="12.75">
      <c r="C207"/>
      <c r="D207"/>
      <c r="M207"/>
      <c r="S207"/>
    </row>
    <row r="208" spans="3:19" ht="12.75">
      <c r="C208"/>
      <c r="D208"/>
      <c r="M208"/>
      <c r="S208"/>
    </row>
    <row r="209" spans="3:19" ht="12.75">
      <c r="C209"/>
      <c r="D209"/>
      <c r="M209"/>
      <c r="S209"/>
    </row>
    <row r="210" spans="3:19" ht="12.75">
      <c r="C210"/>
      <c r="D210"/>
      <c r="M210"/>
      <c r="S210"/>
    </row>
    <row r="211" spans="3:19" ht="12.75">
      <c r="C211"/>
      <c r="D211"/>
      <c r="M211"/>
      <c r="S211"/>
    </row>
    <row r="212" spans="3:19" ht="12.75">
      <c r="C212"/>
      <c r="D212"/>
      <c r="M212"/>
      <c r="S212"/>
    </row>
    <row r="213" spans="3:19" ht="12.75">
      <c r="C213"/>
      <c r="D213"/>
      <c r="M213"/>
      <c r="S213"/>
    </row>
    <row r="214" spans="3:19" ht="12.75">
      <c r="C214"/>
      <c r="D214"/>
      <c r="M214"/>
      <c r="S214"/>
    </row>
    <row r="215" spans="3:19" ht="12.75">
      <c r="C215"/>
      <c r="D215"/>
      <c r="M215"/>
      <c r="S215"/>
    </row>
    <row r="216" spans="3:19" ht="12.75">
      <c r="C216"/>
      <c r="D216"/>
      <c r="M216"/>
      <c r="S216"/>
    </row>
    <row r="217" spans="3:19" ht="12.75">
      <c r="C217"/>
      <c r="D217"/>
      <c r="M217"/>
      <c r="S217"/>
    </row>
    <row r="218" spans="3:19" ht="12.75">
      <c r="C218"/>
      <c r="D218"/>
      <c r="M218"/>
      <c r="S218"/>
    </row>
    <row r="219" spans="3:19" ht="12.75">
      <c r="C219"/>
      <c r="D219"/>
      <c r="M219"/>
      <c r="S219"/>
    </row>
    <row r="220" spans="3:19" ht="12.75">
      <c r="C220"/>
      <c r="D220"/>
      <c r="M220"/>
      <c r="S220"/>
    </row>
    <row r="221" spans="3:19" ht="12.75">
      <c r="C221"/>
      <c r="D221"/>
      <c r="M221"/>
      <c r="S221"/>
    </row>
    <row r="222" spans="3:19" ht="12.75">
      <c r="C222"/>
      <c r="D222"/>
      <c r="M222"/>
      <c r="S222"/>
    </row>
    <row r="223" spans="3:19" ht="12.75">
      <c r="C223"/>
      <c r="D223"/>
      <c r="M223"/>
      <c r="S223"/>
    </row>
    <row r="224" spans="3:19" ht="12.75">
      <c r="C224"/>
      <c r="D224"/>
      <c r="M224"/>
      <c r="S224"/>
    </row>
    <row r="225" spans="3:19" ht="12.75">
      <c r="C225"/>
      <c r="D225"/>
      <c r="M225"/>
      <c r="S225"/>
    </row>
    <row r="226" spans="3:19" ht="12.75">
      <c r="C226"/>
      <c r="D226"/>
      <c r="M226"/>
      <c r="S226"/>
    </row>
    <row r="227" spans="3:19" ht="12.75">
      <c r="C227"/>
      <c r="D227"/>
      <c r="M227"/>
      <c r="S227"/>
    </row>
    <row r="228" spans="3:19" ht="12.75">
      <c r="C228"/>
      <c r="D228"/>
      <c r="M228"/>
      <c r="S228"/>
    </row>
    <row r="229" spans="3:19" ht="12.75">
      <c r="C229"/>
      <c r="D229"/>
      <c r="M229"/>
      <c r="S229"/>
    </row>
    <row r="230" spans="3:19" ht="12.75">
      <c r="C230"/>
      <c r="D230"/>
      <c r="M230"/>
      <c r="S230"/>
    </row>
    <row r="231" spans="3:19" ht="12.75">
      <c r="C231"/>
      <c r="D231"/>
      <c r="M231"/>
      <c r="S231"/>
    </row>
    <row r="232" spans="3:19" ht="12.75">
      <c r="C232"/>
      <c r="D232"/>
      <c r="M232"/>
      <c r="S232"/>
    </row>
    <row r="233" spans="3:19" ht="12.75">
      <c r="C233"/>
      <c r="D233"/>
      <c r="M233"/>
      <c r="S233"/>
    </row>
    <row r="234" spans="3:19" ht="12.75">
      <c r="C234"/>
      <c r="D234"/>
      <c r="M234"/>
      <c r="S234"/>
    </row>
    <row r="235" spans="3:19" ht="12.75">
      <c r="C235"/>
      <c r="D235"/>
      <c r="M235"/>
      <c r="S235"/>
    </row>
    <row r="236" spans="3:19" ht="12.75">
      <c r="C236"/>
      <c r="D236"/>
      <c r="M236"/>
      <c r="S236"/>
    </row>
    <row r="237" spans="3:19" ht="12.75">
      <c r="C237"/>
      <c r="D237"/>
      <c r="M237"/>
      <c r="S237"/>
    </row>
    <row r="238" spans="3:19" ht="12.75">
      <c r="C238"/>
      <c r="D238"/>
      <c r="M238"/>
      <c r="S238"/>
    </row>
    <row r="239" spans="3:19" ht="12.75">
      <c r="C239"/>
      <c r="D239"/>
      <c r="M239"/>
      <c r="S239"/>
    </row>
    <row r="240" spans="3:19" ht="12.75">
      <c r="C240"/>
      <c r="D240"/>
      <c r="M240"/>
      <c r="S240"/>
    </row>
    <row r="241" spans="3:19" ht="12.75">
      <c r="C241"/>
      <c r="D241"/>
      <c r="M241"/>
      <c r="S241"/>
    </row>
    <row r="242" spans="3:19" ht="12.75">
      <c r="C242"/>
      <c r="D242"/>
      <c r="M242"/>
      <c r="S242"/>
    </row>
    <row r="243" spans="3:19" ht="12.75">
      <c r="C243"/>
      <c r="D243"/>
      <c r="M243"/>
      <c r="S243"/>
    </row>
    <row r="244" spans="3:19" ht="12.75">
      <c r="C244"/>
      <c r="D244"/>
      <c r="M244"/>
      <c r="S244"/>
    </row>
    <row r="245" spans="3:19" ht="12.75">
      <c r="C245"/>
      <c r="D245"/>
      <c r="M245"/>
      <c r="S245"/>
    </row>
    <row r="246" spans="3:19" ht="12.75">
      <c r="C246"/>
      <c r="D246"/>
      <c r="M246"/>
      <c r="S246"/>
    </row>
    <row r="247" spans="3:19" ht="12.75">
      <c r="C247"/>
      <c r="D247"/>
      <c r="M247"/>
      <c r="S247"/>
    </row>
    <row r="248" spans="3:19" ht="12.75">
      <c r="C248"/>
      <c r="D248"/>
      <c r="M248"/>
      <c r="S248"/>
    </row>
    <row r="249" spans="3:19" ht="12.75">
      <c r="C249"/>
      <c r="D249"/>
      <c r="M249"/>
      <c r="S249"/>
    </row>
    <row r="250" spans="3:19" ht="12.75">
      <c r="C250"/>
      <c r="D250"/>
      <c r="M250"/>
      <c r="S250"/>
    </row>
    <row r="251" spans="3:19" ht="12.75">
      <c r="C251"/>
      <c r="D251"/>
      <c r="M251"/>
      <c r="S251"/>
    </row>
    <row r="252" spans="3:19" ht="12.75">
      <c r="C252"/>
      <c r="D252"/>
      <c r="M252"/>
      <c r="S252"/>
    </row>
    <row r="253" spans="3:19" ht="12.75">
      <c r="C253"/>
      <c r="D253"/>
      <c r="M253"/>
      <c r="S253"/>
    </row>
    <row r="254" spans="3:19" ht="12.75">
      <c r="C254"/>
      <c r="D254"/>
      <c r="M254"/>
      <c r="S254"/>
    </row>
    <row r="255" spans="3:19" ht="12.75">
      <c r="C255"/>
      <c r="D255"/>
      <c r="M255"/>
      <c r="S255"/>
    </row>
    <row r="256" spans="3:19" ht="12.75">
      <c r="C256"/>
      <c r="D256"/>
      <c r="M256"/>
      <c r="S256"/>
    </row>
    <row r="257" spans="3:19" ht="12.75">
      <c r="C257"/>
      <c r="D257"/>
      <c r="M257"/>
      <c r="S257"/>
    </row>
    <row r="258" spans="3:19" ht="12.75">
      <c r="C258"/>
      <c r="D258"/>
      <c r="M258"/>
      <c r="S258"/>
    </row>
    <row r="259" spans="3:19" ht="12.75">
      <c r="C259"/>
      <c r="D259"/>
      <c r="M259"/>
      <c r="S259"/>
    </row>
    <row r="260" spans="3:19" ht="12.75">
      <c r="C260"/>
      <c r="D260"/>
      <c r="M260"/>
      <c r="S260"/>
    </row>
    <row r="261" spans="3:19" ht="12.75">
      <c r="C261"/>
      <c r="D261"/>
      <c r="M261"/>
      <c r="S261"/>
    </row>
    <row r="262" spans="3:19" ht="12.75">
      <c r="C262"/>
      <c r="D262"/>
      <c r="M262"/>
      <c r="S262"/>
    </row>
    <row r="263" spans="3:19" ht="12.75">
      <c r="C263"/>
      <c r="D263"/>
      <c r="M263"/>
      <c r="S263"/>
    </row>
    <row r="264" spans="3:19" ht="12.75">
      <c r="C264"/>
      <c r="D264"/>
      <c r="M264"/>
      <c r="S264"/>
    </row>
    <row r="265" spans="3:19" ht="12.75">
      <c r="C265"/>
      <c r="D265"/>
      <c r="M265"/>
      <c r="S265"/>
    </row>
    <row r="266" spans="3:19" ht="12.75">
      <c r="C266"/>
      <c r="D266"/>
      <c r="M266"/>
      <c r="S266"/>
    </row>
    <row r="267" spans="3:19" ht="12.75">
      <c r="C267"/>
      <c r="D267"/>
      <c r="M267"/>
      <c r="S267"/>
    </row>
    <row r="268" spans="3:19" ht="12.75">
      <c r="C268"/>
      <c r="D268"/>
      <c r="M268"/>
      <c r="S268"/>
    </row>
    <row r="269" spans="3:19" ht="12.75">
      <c r="C269"/>
      <c r="D269"/>
      <c r="M269"/>
      <c r="S269"/>
    </row>
    <row r="270" spans="3:19" ht="12.75">
      <c r="C270"/>
      <c r="D270"/>
      <c r="M270"/>
      <c r="S270"/>
    </row>
    <row r="271" spans="3:19" ht="12.75">
      <c r="C271"/>
      <c r="D271"/>
      <c r="M271"/>
      <c r="S271"/>
    </row>
    <row r="272" spans="3:19" ht="12.75">
      <c r="C272"/>
      <c r="D272"/>
      <c r="M272"/>
      <c r="S272"/>
    </row>
  </sheetData>
  <sheetProtection/>
  <mergeCells count="22">
    <mergeCell ref="V4:V8"/>
    <mergeCell ref="B5:L5"/>
    <mergeCell ref="E6:L6"/>
    <mergeCell ref="Q7:Q8"/>
    <mergeCell ref="R7:R8"/>
    <mergeCell ref="N5:R5"/>
    <mergeCell ref="L7:L8"/>
    <mergeCell ref="B4:P4"/>
    <mergeCell ref="C6:C8"/>
    <mergeCell ref="N6:R6"/>
    <mergeCell ref="D6:D8"/>
    <mergeCell ref="U4:U8"/>
    <mergeCell ref="P7:P8"/>
    <mergeCell ref="K7:K8"/>
    <mergeCell ref="T4:T8"/>
    <mergeCell ref="H7:H8"/>
    <mergeCell ref="N7:N8"/>
    <mergeCell ref="I7:I8"/>
    <mergeCell ref="G7:G8"/>
    <mergeCell ref="O7:O8"/>
    <mergeCell ref="F7:F8"/>
    <mergeCell ref="J7:J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0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7109375" style="6" customWidth="1"/>
    <col min="3" max="3" width="2.28125" style="5" customWidth="1"/>
    <col min="4" max="4" width="2.140625" style="0" customWidth="1"/>
    <col min="5" max="5" width="30.421875" style="0" customWidth="1"/>
    <col min="6" max="6" width="8.00390625" style="0" customWidth="1"/>
    <col min="7" max="7" width="7.57421875" style="0" customWidth="1"/>
    <col min="8" max="8" width="8.28125" style="0" customWidth="1"/>
    <col min="9" max="9" width="6.421875" style="0" customWidth="1"/>
    <col min="10" max="10" width="10.28125" style="0" customWidth="1"/>
    <col min="11" max="11" width="9.140625" style="0" customWidth="1"/>
    <col min="12" max="12" width="10.28125" style="0" customWidth="1"/>
    <col min="13" max="13" width="2.28125" style="272" customWidth="1"/>
    <col min="14" max="14" width="6.140625" style="0" customWidth="1"/>
    <col min="15" max="15" width="10.140625" style="0" customWidth="1"/>
    <col min="16" max="16" width="10.421875" style="0" customWidth="1"/>
    <col min="17" max="17" width="8.57421875" style="0" customWidth="1"/>
    <col min="18" max="18" width="10.421875" style="0" customWidth="1"/>
    <col min="19" max="19" width="2.57421875" style="536" customWidth="1"/>
    <col min="20" max="20" width="11.8515625" style="0" customWidth="1"/>
    <col min="21" max="21" width="10.140625" style="0" customWidth="1"/>
    <col min="22" max="22" width="11.57421875" style="0" customWidth="1"/>
    <col min="23" max="23" width="6.8515625" style="0" customWidth="1"/>
  </cols>
  <sheetData>
    <row r="1" spans="10:20" ht="15.75" customHeight="1">
      <c r="J1" s="193"/>
      <c r="K1" s="193"/>
      <c r="L1" s="193"/>
      <c r="M1" s="197"/>
      <c r="N1" s="45"/>
      <c r="O1" s="45"/>
      <c r="P1" s="193"/>
      <c r="Q1" s="193"/>
      <c r="R1" s="193"/>
      <c r="S1" s="305"/>
      <c r="T1" s="267"/>
    </row>
    <row r="2" spans="2:22" ht="27">
      <c r="B2" s="981"/>
      <c r="C2" s="982" t="s">
        <v>171</v>
      </c>
      <c r="D2" s="970"/>
      <c r="E2" s="970"/>
      <c r="F2" s="970"/>
      <c r="G2" s="970"/>
      <c r="H2" s="970"/>
      <c r="I2" s="989"/>
      <c r="J2" s="985"/>
      <c r="K2" s="985"/>
      <c r="L2" s="985"/>
      <c r="M2" s="990"/>
      <c r="N2" s="989"/>
      <c r="O2" s="970"/>
      <c r="P2" s="988"/>
      <c r="Q2" s="988"/>
      <c r="R2" s="988"/>
      <c r="S2" s="991"/>
      <c r="T2" s="988"/>
      <c r="U2" s="970"/>
      <c r="V2" s="970"/>
    </row>
    <row r="3" spans="2:22" ht="13.5" thickBot="1">
      <c r="B3" s="981"/>
      <c r="C3" s="983"/>
      <c r="D3" s="970"/>
      <c r="E3" s="970"/>
      <c r="F3" s="970"/>
      <c r="G3" s="970"/>
      <c r="H3" s="970"/>
      <c r="I3" s="970"/>
      <c r="J3" s="970"/>
      <c r="K3" s="970"/>
      <c r="L3" s="970"/>
      <c r="M3" s="991"/>
      <c r="N3" s="970"/>
      <c r="O3" s="970"/>
      <c r="P3" s="970"/>
      <c r="Q3" s="970"/>
      <c r="R3" s="970"/>
      <c r="S3" s="991"/>
      <c r="T3" s="970"/>
      <c r="U3" s="970"/>
      <c r="V3" s="970"/>
    </row>
    <row r="4" spans="2:22" ht="12.75" customHeight="1">
      <c r="B4" s="1045" t="s">
        <v>316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7"/>
      <c r="S4" s="537"/>
      <c r="T4" s="1029" t="s">
        <v>450</v>
      </c>
      <c r="U4" s="1051" t="s">
        <v>451</v>
      </c>
      <c r="V4" s="1073" t="s">
        <v>452</v>
      </c>
    </row>
    <row r="5" spans="2:22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3"/>
      <c r="M5" s="538"/>
      <c r="N5" s="1080" t="s">
        <v>300</v>
      </c>
      <c r="O5" s="1081"/>
      <c r="P5" s="1081"/>
      <c r="Q5" s="1081"/>
      <c r="R5" s="1082"/>
      <c r="S5" s="538"/>
      <c r="T5" s="1030"/>
      <c r="U5" s="1052"/>
      <c r="V5" s="1074"/>
    </row>
    <row r="6" spans="2:22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295"/>
      <c r="N6" s="1039" t="s">
        <v>11</v>
      </c>
      <c r="O6" s="1025"/>
      <c r="P6" s="1025"/>
      <c r="Q6" s="1025"/>
      <c r="R6" s="1026"/>
      <c r="S6" s="295"/>
      <c r="T6" s="1030"/>
      <c r="U6" s="1052"/>
      <c r="V6" s="1074"/>
    </row>
    <row r="7" spans="2:22" ht="34.5" customHeight="1">
      <c r="B7" s="41"/>
      <c r="C7" s="1055"/>
      <c r="D7" s="1055"/>
      <c r="E7" s="126" t="s">
        <v>5</v>
      </c>
      <c r="F7" s="1036">
        <v>610</v>
      </c>
      <c r="G7" s="1032">
        <v>620</v>
      </c>
      <c r="H7" s="1032">
        <v>630</v>
      </c>
      <c r="I7" s="1038">
        <v>640</v>
      </c>
      <c r="J7" s="1027" t="s">
        <v>450</v>
      </c>
      <c r="K7" s="1034" t="s">
        <v>451</v>
      </c>
      <c r="L7" s="1040" t="s">
        <v>452</v>
      </c>
      <c r="M7" s="568"/>
      <c r="N7" s="1077">
        <v>716</v>
      </c>
      <c r="O7" s="1032">
        <v>717</v>
      </c>
      <c r="P7" s="1027" t="s">
        <v>450</v>
      </c>
      <c r="Q7" s="1034" t="s">
        <v>451</v>
      </c>
      <c r="R7" s="1040" t="s">
        <v>452</v>
      </c>
      <c r="S7" s="539"/>
      <c r="T7" s="1030"/>
      <c r="U7" s="1052"/>
      <c r="V7" s="1074"/>
    </row>
    <row r="8" spans="2:22" ht="31.5" customHeight="1" thickBot="1">
      <c r="B8" s="46"/>
      <c r="C8" s="1056"/>
      <c r="D8" s="1056"/>
      <c r="E8" s="127"/>
      <c r="F8" s="1037"/>
      <c r="G8" s="1033"/>
      <c r="H8" s="1033"/>
      <c r="I8" s="1033"/>
      <c r="J8" s="1028"/>
      <c r="K8" s="1035"/>
      <c r="L8" s="1041"/>
      <c r="M8" s="310"/>
      <c r="N8" s="1058"/>
      <c r="O8" s="1033"/>
      <c r="P8" s="1028"/>
      <c r="Q8" s="1035"/>
      <c r="R8" s="1041"/>
      <c r="S8" s="310"/>
      <c r="T8" s="1031"/>
      <c r="U8" s="1053"/>
      <c r="V8" s="1075"/>
    </row>
    <row r="9" spans="2:23" s="245" customFormat="1" ht="26.25" customHeight="1" thickBot="1" thickTop="1">
      <c r="B9" s="300">
        <v>1</v>
      </c>
      <c r="C9" s="203" t="s">
        <v>172</v>
      </c>
      <c r="D9" s="302"/>
      <c r="E9" s="301"/>
      <c r="F9" s="279">
        <f>F10+F13+F19+F20+F23</f>
        <v>530000</v>
      </c>
      <c r="G9" s="279">
        <f>G10+G13+G19+G20+G23</f>
        <v>185000</v>
      </c>
      <c r="H9" s="279">
        <f>H10+H13+H19+H20+H23</f>
        <v>801596</v>
      </c>
      <c r="I9" s="279">
        <f>I10+I13+I19+I20+I23</f>
        <v>6160</v>
      </c>
      <c r="J9" s="664">
        <f>SUM(F9:I9)</f>
        <v>1522756</v>
      </c>
      <c r="K9" s="946">
        <f>K10+K13+K19+K20+K23</f>
        <v>59120</v>
      </c>
      <c r="L9" s="784">
        <f>J9+K9</f>
        <v>1581876</v>
      </c>
      <c r="M9" s="311"/>
      <c r="N9" s="282">
        <f>N10+N19</f>
        <v>0</v>
      </c>
      <c r="O9" s="280">
        <f>O10+O13+O19+O20+O23</f>
        <v>1205670</v>
      </c>
      <c r="P9" s="662">
        <f aca="true" t="shared" si="0" ref="P9:P25">SUM(N9:O9)</f>
        <v>1205670</v>
      </c>
      <c r="Q9" s="950">
        <f>Q10+Q13+Q19+Q20+Q23</f>
        <v>0</v>
      </c>
      <c r="R9" s="787">
        <f>P9+Q9</f>
        <v>1205670</v>
      </c>
      <c r="S9" s="311"/>
      <c r="T9" s="962">
        <f aca="true" t="shared" si="1" ref="T9:U14">J9+P9</f>
        <v>2728426</v>
      </c>
      <c r="U9" s="963">
        <f t="shared" si="1"/>
        <v>59120</v>
      </c>
      <c r="V9" s="964">
        <f>T9+U9</f>
        <v>2787546</v>
      </c>
      <c r="W9" s="688"/>
    </row>
    <row r="10" spans="2:22" ht="15.75" thickTop="1">
      <c r="B10" s="31">
        <f aca="true" t="shared" si="2" ref="B10:B26">B9+1</f>
        <v>2</v>
      </c>
      <c r="C10" s="406">
        <v>1</v>
      </c>
      <c r="D10" s="43" t="s">
        <v>173</v>
      </c>
      <c r="E10" s="140"/>
      <c r="F10" s="158">
        <f>F11</f>
        <v>530000</v>
      </c>
      <c r="G10" s="158">
        <f>G11</f>
        <v>185000</v>
      </c>
      <c r="H10" s="158">
        <f>H11+H12</f>
        <v>134840</v>
      </c>
      <c r="I10" s="158">
        <f>I11</f>
        <v>160</v>
      </c>
      <c r="J10" s="781">
        <f aca="true" t="shared" si="3" ref="J10:J26">SUM(F10:I10)</f>
        <v>850000</v>
      </c>
      <c r="K10" s="947"/>
      <c r="L10" s="740">
        <f aca="true" t="shared" si="4" ref="L10:L26">J10+K10</f>
        <v>850000</v>
      </c>
      <c r="M10" s="540"/>
      <c r="N10" s="258"/>
      <c r="O10" s="162"/>
      <c r="P10" s="786">
        <f t="shared" si="0"/>
        <v>0</v>
      </c>
      <c r="Q10" s="939"/>
      <c r="R10" s="764">
        <f aca="true" t="shared" si="5" ref="R10:R26">P10+Q10</f>
        <v>0</v>
      </c>
      <c r="S10" s="540"/>
      <c r="T10" s="768">
        <f t="shared" si="1"/>
        <v>850000</v>
      </c>
      <c r="U10" s="941">
        <f t="shared" si="1"/>
        <v>0</v>
      </c>
      <c r="V10" s="770">
        <f aca="true" t="shared" si="6" ref="V10:V26">T10+U10</f>
        <v>850000</v>
      </c>
    </row>
    <row r="11" spans="2:22" ht="12.75">
      <c r="B11" s="31">
        <f t="shared" si="2"/>
        <v>3</v>
      </c>
      <c r="C11" s="147"/>
      <c r="D11" s="147"/>
      <c r="E11" s="542" t="s">
        <v>395</v>
      </c>
      <c r="F11" s="334">
        <v>530000</v>
      </c>
      <c r="G11" s="335">
        <v>185000</v>
      </c>
      <c r="H11" s="336">
        <v>125304</v>
      </c>
      <c r="I11" s="335">
        <v>160</v>
      </c>
      <c r="J11" s="641">
        <f t="shared" si="3"/>
        <v>840464</v>
      </c>
      <c r="K11" s="641"/>
      <c r="L11" s="641">
        <f t="shared" si="4"/>
        <v>840464</v>
      </c>
      <c r="M11" s="174"/>
      <c r="N11" s="555"/>
      <c r="O11" s="543"/>
      <c r="P11" s="640">
        <f>SUM(N11:O11)</f>
        <v>0</v>
      </c>
      <c r="Q11" s="640"/>
      <c r="R11" s="640">
        <f t="shared" si="5"/>
        <v>0</v>
      </c>
      <c r="S11" s="175"/>
      <c r="T11" s="453">
        <f t="shared" si="1"/>
        <v>840464</v>
      </c>
      <c r="U11" s="453">
        <f t="shared" si="1"/>
        <v>0</v>
      </c>
      <c r="V11" s="453">
        <f t="shared" si="6"/>
        <v>840464</v>
      </c>
    </row>
    <row r="12" spans="2:22" ht="12.75">
      <c r="B12" s="31">
        <f t="shared" si="2"/>
        <v>4</v>
      </c>
      <c r="C12" s="147"/>
      <c r="D12" s="2"/>
      <c r="E12" s="542" t="s">
        <v>367</v>
      </c>
      <c r="F12" s="334"/>
      <c r="G12" s="335"/>
      <c r="H12" s="336">
        <v>9536</v>
      </c>
      <c r="I12" s="335"/>
      <c r="J12" s="641">
        <f t="shared" si="3"/>
        <v>9536</v>
      </c>
      <c r="K12" s="641"/>
      <c r="L12" s="641">
        <f t="shared" si="4"/>
        <v>9536</v>
      </c>
      <c r="M12" s="529"/>
      <c r="N12" s="555"/>
      <c r="O12" s="543"/>
      <c r="P12" s="663">
        <f t="shared" si="0"/>
        <v>0</v>
      </c>
      <c r="Q12" s="663"/>
      <c r="R12" s="663">
        <f t="shared" si="5"/>
        <v>0</v>
      </c>
      <c r="S12" s="412"/>
      <c r="T12" s="546">
        <f t="shared" si="1"/>
        <v>9536</v>
      </c>
      <c r="U12" s="546">
        <f t="shared" si="1"/>
        <v>0</v>
      </c>
      <c r="V12" s="546">
        <f t="shared" si="6"/>
        <v>9536</v>
      </c>
    </row>
    <row r="13" spans="2:22" ht="15">
      <c r="B13" s="31">
        <f t="shared" si="2"/>
        <v>5</v>
      </c>
      <c r="C13" s="406">
        <v>2</v>
      </c>
      <c r="D13" s="43" t="s">
        <v>113</v>
      </c>
      <c r="E13" s="140"/>
      <c r="F13" s="162"/>
      <c r="G13" s="162"/>
      <c r="H13" s="162">
        <f>SUM(H14:H18)</f>
        <v>645000</v>
      </c>
      <c r="I13" s="162">
        <f>I14</f>
        <v>0</v>
      </c>
      <c r="J13" s="782">
        <f t="shared" si="3"/>
        <v>645000</v>
      </c>
      <c r="K13" s="948">
        <f>SUM(K14:K18)</f>
        <v>59120</v>
      </c>
      <c r="L13" s="785">
        <f t="shared" si="4"/>
        <v>704120</v>
      </c>
      <c r="M13" s="540"/>
      <c r="N13" s="263"/>
      <c r="O13" s="164">
        <f>SUM(O16:O18)</f>
        <v>1205670</v>
      </c>
      <c r="P13" s="786">
        <f t="shared" si="0"/>
        <v>1205670</v>
      </c>
      <c r="Q13" s="939">
        <f>SUM(Q14:Q18)</f>
        <v>0</v>
      </c>
      <c r="R13" s="764">
        <f t="shared" si="5"/>
        <v>1205670</v>
      </c>
      <c r="S13" s="540"/>
      <c r="T13" s="768">
        <f t="shared" si="1"/>
        <v>1850670</v>
      </c>
      <c r="U13" s="941">
        <f t="shared" si="1"/>
        <v>59120</v>
      </c>
      <c r="V13" s="770">
        <f t="shared" si="6"/>
        <v>1909790</v>
      </c>
    </row>
    <row r="14" spans="2:22" ht="12.75">
      <c r="B14" s="31">
        <f t="shared" si="2"/>
        <v>6</v>
      </c>
      <c r="C14" s="147"/>
      <c r="D14" s="147"/>
      <c r="E14" s="542" t="s">
        <v>395</v>
      </c>
      <c r="F14" s="334"/>
      <c r="G14" s="335"/>
      <c r="H14" s="336">
        <f>645000-H17</f>
        <v>525250</v>
      </c>
      <c r="I14" s="335"/>
      <c r="J14" s="641">
        <f t="shared" si="3"/>
        <v>525250</v>
      </c>
      <c r="K14" s="641">
        <v>50000</v>
      </c>
      <c r="L14" s="641">
        <f t="shared" si="4"/>
        <v>575250</v>
      </c>
      <c r="M14" s="174"/>
      <c r="N14" s="555"/>
      <c r="O14" s="543"/>
      <c r="P14" s="640">
        <f>SUM(N14:O14)</f>
        <v>0</v>
      </c>
      <c r="Q14" s="640"/>
      <c r="R14" s="640">
        <f t="shared" si="5"/>
        <v>0</v>
      </c>
      <c r="S14" s="175"/>
      <c r="T14" s="453">
        <f t="shared" si="1"/>
        <v>525250</v>
      </c>
      <c r="U14" s="453">
        <f t="shared" si="1"/>
        <v>50000</v>
      </c>
      <c r="V14" s="453">
        <f t="shared" si="6"/>
        <v>575250</v>
      </c>
    </row>
    <row r="15" spans="2:22" ht="12.75">
      <c r="B15" s="31"/>
      <c r="C15" s="147"/>
      <c r="D15" s="147"/>
      <c r="E15" s="150" t="s">
        <v>302</v>
      </c>
      <c r="F15" s="334"/>
      <c r="G15" s="335"/>
      <c r="H15" s="336"/>
      <c r="I15" s="335"/>
      <c r="J15" s="646"/>
      <c r="K15" s="646">
        <v>9120</v>
      </c>
      <c r="L15" s="641">
        <f t="shared" si="4"/>
        <v>9120</v>
      </c>
      <c r="M15" s="174"/>
      <c r="N15" s="874"/>
      <c r="O15" s="543"/>
      <c r="P15" s="640"/>
      <c r="Q15" s="640"/>
      <c r="R15" s="640"/>
      <c r="S15" s="175"/>
      <c r="T15" s="453"/>
      <c r="U15" s="453"/>
      <c r="V15" s="453"/>
    </row>
    <row r="16" spans="2:22" ht="12.75">
      <c r="B16" s="31">
        <f>B14+1</f>
        <v>7</v>
      </c>
      <c r="C16" s="407"/>
      <c r="D16" s="2"/>
      <c r="E16" s="297" t="s">
        <v>303</v>
      </c>
      <c r="F16" s="334"/>
      <c r="G16" s="335"/>
      <c r="H16" s="336"/>
      <c r="I16" s="335"/>
      <c r="J16" s="634">
        <f t="shared" si="3"/>
        <v>0</v>
      </c>
      <c r="K16" s="634"/>
      <c r="L16" s="634">
        <f t="shared" si="4"/>
        <v>0</v>
      </c>
      <c r="M16" s="174"/>
      <c r="N16" s="299"/>
      <c r="O16" s="160">
        <v>1165000</v>
      </c>
      <c r="P16" s="663">
        <f t="shared" si="0"/>
        <v>1165000</v>
      </c>
      <c r="Q16" s="663"/>
      <c r="R16" s="663">
        <f t="shared" si="5"/>
        <v>1165000</v>
      </c>
      <c r="S16" s="259"/>
      <c r="T16" s="315">
        <f aca="true" t="shared" si="7" ref="T16:T26">J16+P16</f>
        <v>1165000</v>
      </c>
      <c r="U16" s="315">
        <f aca="true" t="shared" si="8" ref="U16:U26">K16+Q16</f>
        <v>0</v>
      </c>
      <c r="V16" s="315">
        <f t="shared" si="6"/>
        <v>1165000</v>
      </c>
    </row>
    <row r="17" spans="2:22" ht="12.75">
      <c r="B17" s="31">
        <f t="shared" si="2"/>
        <v>8</v>
      </c>
      <c r="C17" s="147"/>
      <c r="D17" s="2"/>
      <c r="E17" s="542" t="s">
        <v>367</v>
      </c>
      <c r="F17" s="334"/>
      <c r="G17" s="335"/>
      <c r="H17" s="336">
        <v>119750</v>
      </c>
      <c r="I17" s="335"/>
      <c r="J17" s="641">
        <f t="shared" si="3"/>
        <v>119750</v>
      </c>
      <c r="K17" s="641"/>
      <c r="L17" s="641">
        <f t="shared" si="4"/>
        <v>119750</v>
      </c>
      <c r="M17" s="529"/>
      <c r="N17" s="555"/>
      <c r="O17" s="554"/>
      <c r="P17" s="663">
        <f t="shared" si="0"/>
        <v>0</v>
      </c>
      <c r="Q17" s="663"/>
      <c r="R17" s="663">
        <f t="shared" si="5"/>
        <v>0</v>
      </c>
      <c r="S17" s="412"/>
      <c r="T17" s="399">
        <f t="shared" si="7"/>
        <v>119750</v>
      </c>
      <c r="U17" s="399">
        <f t="shared" si="8"/>
        <v>0</v>
      </c>
      <c r="V17" s="399">
        <f t="shared" si="6"/>
        <v>119750</v>
      </c>
    </row>
    <row r="18" spans="2:22" ht="12.75">
      <c r="B18" s="31">
        <f t="shared" si="2"/>
        <v>9</v>
      </c>
      <c r="C18" s="407"/>
      <c r="D18" s="2"/>
      <c r="E18" s="551" t="s">
        <v>377</v>
      </c>
      <c r="F18" s="334"/>
      <c r="G18" s="335"/>
      <c r="H18" s="336"/>
      <c r="I18" s="335"/>
      <c r="J18" s="641">
        <f t="shared" si="3"/>
        <v>0</v>
      </c>
      <c r="K18" s="641"/>
      <c r="L18" s="641">
        <f t="shared" si="4"/>
        <v>0</v>
      </c>
      <c r="M18" s="174"/>
      <c r="N18" s="299"/>
      <c r="O18" s="554">
        <v>40670</v>
      </c>
      <c r="P18" s="663">
        <f t="shared" si="0"/>
        <v>40670</v>
      </c>
      <c r="Q18" s="663"/>
      <c r="R18" s="663">
        <f t="shared" si="5"/>
        <v>40670</v>
      </c>
      <c r="S18" s="259"/>
      <c r="T18" s="399">
        <f t="shared" si="7"/>
        <v>40670</v>
      </c>
      <c r="U18" s="399">
        <f t="shared" si="8"/>
        <v>0</v>
      </c>
      <c r="V18" s="399">
        <f t="shared" si="6"/>
        <v>40670</v>
      </c>
    </row>
    <row r="19" spans="2:22" ht="15">
      <c r="B19" s="31">
        <f t="shared" si="2"/>
        <v>10</v>
      </c>
      <c r="C19" s="406">
        <v>3</v>
      </c>
      <c r="D19" s="43" t="s">
        <v>174</v>
      </c>
      <c r="E19" s="140"/>
      <c r="F19" s="158"/>
      <c r="G19" s="162"/>
      <c r="H19" s="162">
        <v>4000</v>
      </c>
      <c r="I19" s="162"/>
      <c r="J19" s="783">
        <f t="shared" si="3"/>
        <v>4000</v>
      </c>
      <c r="K19" s="949"/>
      <c r="L19" s="741">
        <f t="shared" si="4"/>
        <v>4000</v>
      </c>
      <c r="M19" s="540"/>
      <c r="N19" s="258"/>
      <c r="O19" s="162"/>
      <c r="P19" s="786">
        <f t="shared" si="0"/>
        <v>0</v>
      </c>
      <c r="Q19" s="939"/>
      <c r="R19" s="764">
        <f t="shared" si="5"/>
        <v>0</v>
      </c>
      <c r="S19" s="540"/>
      <c r="T19" s="768">
        <f t="shared" si="7"/>
        <v>4000</v>
      </c>
      <c r="U19" s="941">
        <f t="shared" si="8"/>
        <v>0</v>
      </c>
      <c r="V19" s="770">
        <f t="shared" si="6"/>
        <v>4000</v>
      </c>
    </row>
    <row r="20" spans="2:22" ht="15">
      <c r="B20" s="31">
        <f t="shared" si="2"/>
        <v>11</v>
      </c>
      <c r="C20" s="406">
        <v>4</v>
      </c>
      <c r="D20" s="43" t="s">
        <v>120</v>
      </c>
      <c r="E20" s="140"/>
      <c r="F20" s="158"/>
      <c r="G20" s="162"/>
      <c r="H20" s="162">
        <f>H21+H22</f>
        <v>7756</v>
      </c>
      <c r="I20" s="162"/>
      <c r="J20" s="783">
        <f t="shared" si="3"/>
        <v>7756</v>
      </c>
      <c r="K20" s="949"/>
      <c r="L20" s="741">
        <f t="shared" si="4"/>
        <v>7756</v>
      </c>
      <c r="M20" s="174"/>
      <c r="N20" s="258"/>
      <c r="O20" s="162"/>
      <c r="P20" s="786">
        <f t="shared" si="0"/>
        <v>0</v>
      </c>
      <c r="Q20" s="939"/>
      <c r="R20" s="764">
        <f t="shared" si="5"/>
        <v>0</v>
      </c>
      <c r="S20" s="540"/>
      <c r="T20" s="768">
        <f t="shared" si="7"/>
        <v>7756</v>
      </c>
      <c r="U20" s="941">
        <f t="shared" si="8"/>
        <v>0</v>
      </c>
      <c r="V20" s="770">
        <f t="shared" si="6"/>
        <v>7756</v>
      </c>
    </row>
    <row r="21" spans="2:22" ht="12.75">
      <c r="B21" s="31">
        <f t="shared" si="2"/>
        <v>12</v>
      </c>
      <c r="C21" s="147"/>
      <c r="D21" s="147"/>
      <c r="E21" s="542" t="s">
        <v>395</v>
      </c>
      <c r="F21" s="334"/>
      <c r="G21" s="335"/>
      <c r="H21" s="336">
        <v>7134</v>
      </c>
      <c r="I21" s="606"/>
      <c r="J21" s="641">
        <f t="shared" si="3"/>
        <v>7134</v>
      </c>
      <c r="K21" s="641"/>
      <c r="L21" s="641">
        <f t="shared" si="4"/>
        <v>7134</v>
      </c>
      <c r="M21" s="174"/>
      <c r="N21" s="555"/>
      <c r="O21" s="543"/>
      <c r="P21" s="640">
        <f>SUM(N21:O21)</f>
        <v>0</v>
      </c>
      <c r="Q21" s="640"/>
      <c r="R21" s="640">
        <f t="shared" si="5"/>
        <v>0</v>
      </c>
      <c r="S21" s="175"/>
      <c r="T21" s="453">
        <f t="shared" si="7"/>
        <v>7134</v>
      </c>
      <c r="U21" s="453">
        <f t="shared" si="8"/>
        <v>0</v>
      </c>
      <c r="V21" s="453">
        <f t="shared" si="6"/>
        <v>7134</v>
      </c>
    </row>
    <row r="22" spans="2:22" ht="12.75">
      <c r="B22" s="31">
        <f t="shared" si="2"/>
        <v>13</v>
      </c>
      <c r="C22" s="147"/>
      <c r="D22" s="2"/>
      <c r="E22" s="542" t="s">
        <v>367</v>
      </c>
      <c r="F22" s="334"/>
      <c r="G22" s="335"/>
      <c r="H22" s="336">
        <v>622</v>
      </c>
      <c r="I22" s="335"/>
      <c r="J22" s="641">
        <f t="shared" si="3"/>
        <v>622</v>
      </c>
      <c r="K22" s="641"/>
      <c r="L22" s="641">
        <f t="shared" si="4"/>
        <v>622</v>
      </c>
      <c r="M22" s="529"/>
      <c r="N22" s="555"/>
      <c r="O22" s="543"/>
      <c r="P22" s="663">
        <f t="shared" si="0"/>
        <v>0</v>
      </c>
      <c r="Q22" s="663"/>
      <c r="R22" s="663">
        <f t="shared" si="5"/>
        <v>0</v>
      </c>
      <c r="S22" s="412"/>
      <c r="T22" s="399">
        <f t="shared" si="7"/>
        <v>622</v>
      </c>
      <c r="U22" s="399">
        <f t="shared" si="8"/>
        <v>0</v>
      </c>
      <c r="V22" s="399">
        <f t="shared" si="6"/>
        <v>622</v>
      </c>
    </row>
    <row r="23" spans="2:22" ht="15">
      <c r="B23" s="31">
        <f t="shared" si="2"/>
        <v>14</v>
      </c>
      <c r="C23" s="406">
        <v>5</v>
      </c>
      <c r="D23" s="43" t="s">
        <v>111</v>
      </c>
      <c r="E23" s="140"/>
      <c r="F23" s="158"/>
      <c r="G23" s="162"/>
      <c r="H23" s="162">
        <v>10000</v>
      </c>
      <c r="I23" s="162">
        <f>I25</f>
        <v>6000</v>
      </c>
      <c r="J23" s="783">
        <f t="shared" si="3"/>
        <v>16000</v>
      </c>
      <c r="K23" s="949"/>
      <c r="L23" s="741">
        <f t="shared" si="4"/>
        <v>16000</v>
      </c>
      <c r="M23" s="540"/>
      <c r="N23" s="258"/>
      <c r="O23" s="162"/>
      <c r="P23" s="786">
        <f t="shared" si="0"/>
        <v>0</v>
      </c>
      <c r="Q23" s="939"/>
      <c r="R23" s="764">
        <f t="shared" si="5"/>
        <v>0</v>
      </c>
      <c r="S23" s="540"/>
      <c r="T23" s="768">
        <f t="shared" si="7"/>
        <v>16000</v>
      </c>
      <c r="U23" s="941">
        <f t="shared" si="8"/>
        <v>0</v>
      </c>
      <c r="V23" s="770">
        <f t="shared" si="6"/>
        <v>16000</v>
      </c>
    </row>
    <row r="24" spans="2:22" ht="12.75">
      <c r="B24" s="31">
        <f t="shared" si="2"/>
        <v>15</v>
      </c>
      <c r="C24" s="147"/>
      <c r="D24" s="147"/>
      <c r="E24" s="542" t="s">
        <v>395</v>
      </c>
      <c r="F24" s="334"/>
      <c r="G24" s="335"/>
      <c r="H24" s="336">
        <f>H23-H26</f>
        <v>8877</v>
      </c>
      <c r="I24" s="606"/>
      <c r="J24" s="641">
        <f t="shared" si="3"/>
        <v>8877</v>
      </c>
      <c r="K24" s="641"/>
      <c r="L24" s="641">
        <f t="shared" si="4"/>
        <v>8877</v>
      </c>
      <c r="M24" s="174"/>
      <c r="N24" s="555"/>
      <c r="O24" s="543"/>
      <c r="P24" s="640">
        <f>SUM(N24:O24)</f>
        <v>0</v>
      </c>
      <c r="Q24" s="640"/>
      <c r="R24" s="640">
        <f t="shared" si="5"/>
        <v>0</v>
      </c>
      <c r="S24" s="175"/>
      <c r="T24" s="453">
        <f t="shared" si="7"/>
        <v>8877</v>
      </c>
      <c r="U24" s="453">
        <f t="shared" si="8"/>
        <v>0</v>
      </c>
      <c r="V24" s="453">
        <f t="shared" si="6"/>
        <v>8877</v>
      </c>
    </row>
    <row r="25" spans="2:22" ht="12.75">
      <c r="B25" s="31">
        <f t="shared" si="2"/>
        <v>16</v>
      </c>
      <c r="C25" s="29"/>
      <c r="D25" s="2"/>
      <c r="E25" s="442" t="s">
        <v>396</v>
      </c>
      <c r="F25" s="331"/>
      <c r="G25" s="332"/>
      <c r="H25" s="333"/>
      <c r="I25" s="332">
        <v>6000</v>
      </c>
      <c r="J25" s="634"/>
      <c r="K25" s="634"/>
      <c r="L25" s="634">
        <f t="shared" si="4"/>
        <v>0</v>
      </c>
      <c r="M25" s="174"/>
      <c r="N25" s="277"/>
      <c r="O25" s="160"/>
      <c r="P25" s="663">
        <f t="shared" si="0"/>
        <v>0</v>
      </c>
      <c r="Q25" s="663"/>
      <c r="R25" s="663">
        <f t="shared" si="5"/>
        <v>0</v>
      </c>
      <c r="S25" s="174"/>
      <c r="T25" s="315">
        <f t="shared" si="7"/>
        <v>0</v>
      </c>
      <c r="U25" s="315">
        <f t="shared" si="8"/>
        <v>0</v>
      </c>
      <c r="V25" s="315">
        <f t="shared" si="6"/>
        <v>0</v>
      </c>
    </row>
    <row r="26" spans="2:22" ht="13.5" thickBot="1">
      <c r="B26" s="32">
        <f t="shared" si="2"/>
        <v>17</v>
      </c>
      <c r="C26" s="541"/>
      <c r="D26" s="55"/>
      <c r="E26" s="544" t="s">
        <v>367</v>
      </c>
      <c r="F26" s="525"/>
      <c r="G26" s="502"/>
      <c r="H26" s="526">
        <v>1123</v>
      </c>
      <c r="I26" s="502"/>
      <c r="J26" s="654">
        <f t="shared" si="3"/>
        <v>1123</v>
      </c>
      <c r="K26" s="654"/>
      <c r="L26" s="654">
        <f t="shared" si="4"/>
        <v>1123</v>
      </c>
      <c r="M26" s="529"/>
      <c r="N26" s="556"/>
      <c r="O26" s="545"/>
      <c r="P26" s="660"/>
      <c r="Q26" s="660"/>
      <c r="R26" s="856">
        <f t="shared" si="5"/>
        <v>0</v>
      </c>
      <c r="S26" s="412"/>
      <c r="T26" s="569">
        <f t="shared" si="7"/>
        <v>1123</v>
      </c>
      <c r="U26" s="569">
        <f t="shared" si="8"/>
        <v>0</v>
      </c>
      <c r="V26" s="569">
        <f t="shared" si="6"/>
        <v>1123</v>
      </c>
    </row>
    <row r="29" ht="12.75">
      <c r="K29" s="19"/>
    </row>
    <row r="30" ht="12.75">
      <c r="K30" s="19"/>
    </row>
  </sheetData>
  <sheetProtection/>
  <mergeCells count="22">
    <mergeCell ref="T4:T8"/>
    <mergeCell ref="P7:P8"/>
    <mergeCell ref="N7:N8"/>
    <mergeCell ref="R7:R8"/>
    <mergeCell ref="N5:R5"/>
    <mergeCell ref="N6:R6"/>
    <mergeCell ref="V4:V8"/>
    <mergeCell ref="B5:L5"/>
    <mergeCell ref="E6:L6"/>
    <mergeCell ref="Q7:Q8"/>
    <mergeCell ref="C6:C8"/>
    <mergeCell ref="U4:U8"/>
    <mergeCell ref="B4:R4"/>
    <mergeCell ref="G7:G8"/>
    <mergeCell ref="J7:J8"/>
    <mergeCell ref="K7:K8"/>
    <mergeCell ref="L7:L8"/>
    <mergeCell ref="H7:H8"/>
    <mergeCell ref="I7:I8"/>
    <mergeCell ref="O7:O8"/>
    <mergeCell ref="D6:D8"/>
    <mergeCell ref="F7:F8"/>
  </mergeCells>
  <printOptions/>
  <pageMargins left="0.17" right="0.1968503937007874" top="0.87" bottom="1.12" header="0.5511811023622047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7109375" style="6" customWidth="1"/>
    <col min="3" max="3" width="2.421875" style="5" customWidth="1"/>
    <col min="4" max="4" width="2.28125" style="0" customWidth="1"/>
    <col min="5" max="5" width="41.00390625" style="0" customWidth="1"/>
    <col min="6" max="6" width="10.421875" style="0" customWidth="1"/>
    <col min="7" max="7" width="4.28125" style="0" customWidth="1"/>
    <col min="8" max="8" width="12.140625" style="0" customWidth="1"/>
    <col min="9" max="9" width="9.00390625" style="0" customWidth="1"/>
    <col min="10" max="10" width="11.8515625" style="0" customWidth="1"/>
    <col min="11" max="11" width="1.8515625" style="272" customWidth="1"/>
    <col min="12" max="12" width="8.00390625" style="0" customWidth="1"/>
    <col min="13" max="13" width="8.57421875" style="0" customWidth="1"/>
    <col min="14" max="14" width="8.7109375" style="0" customWidth="1"/>
    <col min="15" max="15" width="10.7109375" style="0" customWidth="1"/>
    <col min="16" max="16" width="10.421875" style="0" customWidth="1"/>
    <col min="17" max="17" width="10.7109375" style="0" customWidth="1"/>
    <col min="18" max="18" width="1.7109375" style="272" customWidth="1"/>
    <col min="19" max="19" width="11.57421875" style="0" customWidth="1"/>
    <col min="20" max="20" width="10.57421875" style="0" customWidth="1"/>
    <col min="21" max="21" width="11.7109375" style="0" customWidth="1"/>
    <col min="22" max="22" width="8.140625" style="0" customWidth="1"/>
  </cols>
  <sheetData>
    <row r="1" spans="8:20" ht="15.75" customHeight="1">
      <c r="H1" s="193"/>
      <c r="I1" s="193"/>
      <c r="J1" s="193"/>
      <c r="K1" s="197"/>
      <c r="L1" s="45"/>
      <c r="M1" s="45"/>
      <c r="N1" s="267"/>
      <c r="O1" s="51"/>
      <c r="P1" s="51"/>
      <c r="Q1" s="51"/>
      <c r="R1" s="198"/>
      <c r="S1" s="267"/>
      <c r="T1" s="45"/>
    </row>
    <row r="2" spans="2:21" ht="27">
      <c r="B2" s="981"/>
      <c r="C2" s="982" t="s">
        <v>240</v>
      </c>
      <c r="D2" s="970"/>
      <c r="E2" s="970"/>
      <c r="F2" s="970"/>
      <c r="G2" s="984"/>
      <c r="H2" s="985"/>
      <c r="I2" s="985"/>
      <c r="J2" s="985"/>
      <c r="K2" s="990"/>
      <c r="L2" s="984"/>
      <c r="M2" s="984"/>
      <c r="N2" s="970"/>
      <c r="O2" s="988"/>
      <c r="P2" s="988"/>
      <c r="Q2" s="988"/>
      <c r="R2" s="991"/>
      <c r="S2" s="988"/>
      <c r="T2" s="970"/>
      <c r="U2" s="970"/>
    </row>
    <row r="3" spans="2:21" ht="5.25" customHeight="1" thickBot="1">
      <c r="B3" s="981"/>
      <c r="C3" s="983"/>
      <c r="D3" s="970"/>
      <c r="E3" s="970"/>
      <c r="F3" s="970"/>
      <c r="G3" s="970"/>
      <c r="H3" s="970"/>
      <c r="I3" s="970"/>
      <c r="J3" s="970"/>
      <c r="K3" s="991"/>
      <c r="L3" s="970"/>
      <c r="M3" s="970"/>
      <c r="N3" s="970"/>
      <c r="O3" s="970"/>
      <c r="P3" s="970"/>
      <c r="Q3" s="970"/>
      <c r="R3" s="991"/>
      <c r="S3" s="970"/>
      <c r="T3" s="970"/>
      <c r="U3" s="970"/>
    </row>
    <row r="4" spans="2:21" ht="12.75" customHeight="1">
      <c r="B4" s="1045" t="s">
        <v>316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7"/>
      <c r="R4" s="273"/>
      <c r="S4" s="1029" t="s">
        <v>450</v>
      </c>
      <c r="T4" s="1051" t="s">
        <v>451</v>
      </c>
      <c r="U4" s="1073" t="s">
        <v>452</v>
      </c>
    </row>
    <row r="5" spans="2:21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3"/>
      <c r="K5" s="274"/>
      <c r="L5" s="1083" t="s">
        <v>300</v>
      </c>
      <c r="M5" s="1084"/>
      <c r="N5" s="1084"/>
      <c r="O5" s="1084"/>
      <c r="P5" s="1084"/>
      <c r="Q5" s="1085"/>
      <c r="R5" s="274"/>
      <c r="S5" s="1030"/>
      <c r="T5" s="1052"/>
      <c r="U5" s="1074"/>
    </row>
    <row r="6" spans="2:21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6"/>
      <c r="K6" s="15"/>
      <c r="L6" s="1039" t="s">
        <v>11</v>
      </c>
      <c r="M6" s="1025"/>
      <c r="N6" s="1025"/>
      <c r="O6" s="1025"/>
      <c r="P6" s="1025"/>
      <c r="Q6" s="1026"/>
      <c r="R6" s="15"/>
      <c r="S6" s="1030"/>
      <c r="T6" s="1052"/>
      <c r="U6" s="1074"/>
    </row>
    <row r="7" spans="2:21" ht="33" customHeight="1">
      <c r="B7" s="41"/>
      <c r="C7" s="1055"/>
      <c r="D7" s="1055"/>
      <c r="E7" s="441" t="s">
        <v>5</v>
      </c>
      <c r="F7" s="1036">
        <v>630</v>
      </c>
      <c r="G7" s="1032">
        <v>640</v>
      </c>
      <c r="H7" s="1027" t="s">
        <v>450</v>
      </c>
      <c r="I7" s="1034" t="s">
        <v>451</v>
      </c>
      <c r="J7" s="1040" t="s">
        <v>452</v>
      </c>
      <c r="K7" s="269"/>
      <c r="L7" s="1077">
        <v>716</v>
      </c>
      <c r="M7" s="1032">
        <v>711</v>
      </c>
      <c r="N7" s="1032">
        <v>717</v>
      </c>
      <c r="O7" s="1027" t="s">
        <v>450</v>
      </c>
      <c r="P7" s="1034" t="s">
        <v>451</v>
      </c>
      <c r="Q7" s="1040" t="s">
        <v>452</v>
      </c>
      <c r="R7" s="275"/>
      <c r="S7" s="1030"/>
      <c r="T7" s="1052"/>
      <c r="U7" s="1074"/>
    </row>
    <row r="8" spans="2:21" ht="36.75" customHeight="1" thickBot="1">
      <c r="B8" s="46"/>
      <c r="C8" s="1056"/>
      <c r="D8" s="1056"/>
      <c r="E8" s="127"/>
      <c r="F8" s="1037"/>
      <c r="G8" s="1033"/>
      <c r="H8" s="1028"/>
      <c r="I8" s="1035"/>
      <c r="J8" s="1041"/>
      <c r="K8" s="200"/>
      <c r="L8" s="1058"/>
      <c r="M8" s="1033"/>
      <c r="N8" s="1033"/>
      <c r="O8" s="1028"/>
      <c r="P8" s="1035"/>
      <c r="Q8" s="1041"/>
      <c r="R8" s="200"/>
      <c r="S8" s="1031"/>
      <c r="T8" s="1053"/>
      <c r="U8" s="1075"/>
    </row>
    <row r="9" spans="2:22" ht="25.5" customHeight="1" thickBot="1" thickTop="1">
      <c r="B9" s="31">
        <v>1</v>
      </c>
      <c r="C9" s="203" t="s">
        <v>241</v>
      </c>
      <c r="D9" s="283"/>
      <c r="E9" s="301"/>
      <c r="F9" s="968">
        <f>F10+F14+F17</f>
        <v>3283008</v>
      </c>
      <c r="G9" s="967">
        <f>G10+G14+G17</f>
        <v>0</v>
      </c>
      <c r="H9" s="644">
        <f aca="true" t="shared" si="0" ref="H9:H21">SUM(F9:G9)</f>
        <v>3283008</v>
      </c>
      <c r="I9" s="933">
        <f>I10+I14+I17</f>
        <v>0</v>
      </c>
      <c r="J9" s="757">
        <f>H9+I9</f>
        <v>3283008</v>
      </c>
      <c r="K9" s="965"/>
      <c r="L9" s="966">
        <f>L10+L14+L17</f>
        <v>51000</v>
      </c>
      <c r="M9" s="967">
        <f>M10+M14+M17</f>
        <v>281615</v>
      </c>
      <c r="N9" s="967">
        <f>N10+N14+N17</f>
        <v>160000</v>
      </c>
      <c r="O9" s="644">
        <f aca="true" t="shared" si="1" ref="O9:O21">SUM(L9:N9)</f>
        <v>492615</v>
      </c>
      <c r="P9" s="933">
        <f>P10+P14+P17</f>
        <v>-274615</v>
      </c>
      <c r="Q9" s="757">
        <f>O9+P9</f>
        <v>218000</v>
      </c>
      <c r="R9" s="965"/>
      <c r="S9" s="962">
        <f aca="true" t="shared" si="2" ref="S9:S19">H9+O9</f>
        <v>3775623</v>
      </c>
      <c r="T9" s="963">
        <f aca="true" t="shared" si="3" ref="T9:T19">I9+P9</f>
        <v>-274615</v>
      </c>
      <c r="U9" s="964">
        <f aca="true" t="shared" si="4" ref="U9:U19">J9+Q9</f>
        <v>3501008</v>
      </c>
      <c r="V9" s="630"/>
    </row>
    <row r="10" spans="2:22" ht="15.75" thickTop="1">
      <c r="B10" s="31">
        <f aca="true" t="shared" si="5" ref="B10:B21">B9+1</f>
        <v>2</v>
      </c>
      <c r="C10" s="42">
        <v>1</v>
      </c>
      <c r="D10" s="43" t="s">
        <v>234</v>
      </c>
      <c r="E10" s="140"/>
      <c r="F10" s="158">
        <f>SUM(F11:F13)</f>
        <v>2287585</v>
      </c>
      <c r="G10" s="162"/>
      <c r="H10" s="653">
        <f t="shared" si="0"/>
        <v>2287585</v>
      </c>
      <c r="I10" s="937"/>
      <c r="J10" s="773">
        <f aca="true" t="shared" si="6" ref="J10:J21">H10+I10</f>
        <v>2287585</v>
      </c>
      <c r="K10" s="199"/>
      <c r="L10" s="303"/>
      <c r="M10" s="531"/>
      <c r="N10" s="172"/>
      <c r="O10" s="661">
        <f t="shared" si="1"/>
        <v>0</v>
      </c>
      <c r="P10" s="943"/>
      <c r="Q10" s="776">
        <f aca="true" t="shared" si="7" ref="Q10:Q21">O10+P10</f>
        <v>0</v>
      </c>
      <c r="R10" s="199"/>
      <c r="S10" s="768">
        <f t="shared" si="2"/>
        <v>2287585</v>
      </c>
      <c r="T10" s="941">
        <f t="shared" si="3"/>
        <v>0</v>
      </c>
      <c r="U10" s="770">
        <f t="shared" si="4"/>
        <v>2287585</v>
      </c>
      <c r="V10" s="630"/>
    </row>
    <row r="11" spans="2:22" ht="12.75">
      <c r="B11" s="31">
        <f t="shared" si="5"/>
        <v>3</v>
      </c>
      <c r="C11" s="30"/>
      <c r="D11" s="14"/>
      <c r="E11" s="443" t="s">
        <v>371</v>
      </c>
      <c r="F11" s="570">
        <f>107457*12</f>
        <v>1289484</v>
      </c>
      <c r="G11" s="332"/>
      <c r="H11" s="640">
        <f t="shared" si="0"/>
        <v>1289484</v>
      </c>
      <c r="I11" s="640"/>
      <c r="J11" s="640">
        <f t="shared" si="6"/>
        <v>1289484</v>
      </c>
      <c r="K11" s="36"/>
      <c r="L11" s="352"/>
      <c r="M11" s="331"/>
      <c r="N11" s="332"/>
      <c r="O11" s="640">
        <f t="shared" si="1"/>
        <v>0</v>
      </c>
      <c r="P11" s="640"/>
      <c r="Q11" s="640">
        <f t="shared" si="7"/>
        <v>0</v>
      </c>
      <c r="R11" s="36"/>
      <c r="S11" s="453">
        <f t="shared" si="2"/>
        <v>1289484</v>
      </c>
      <c r="T11" s="453">
        <f t="shared" si="3"/>
        <v>0</v>
      </c>
      <c r="U11" s="453">
        <f t="shared" si="4"/>
        <v>1289484</v>
      </c>
      <c r="V11" s="630"/>
    </row>
    <row r="12" spans="2:22" ht="12.75">
      <c r="B12" s="31">
        <f t="shared" si="5"/>
        <v>4</v>
      </c>
      <c r="C12" s="30"/>
      <c r="D12" s="14"/>
      <c r="E12" s="542" t="s">
        <v>370</v>
      </c>
      <c r="F12" s="361">
        <v>783187</v>
      </c>
      <c r="G12" s="335"/>
      <c r="H12" s="640">
        <f t="shared" si="0"/>
        <v>783187</v>
      </c>
      <c r="I12" s="640"/>
      <c r="J12" s="640">
        <f t="shared" si="6"/>
        <v>783187</v>
      </c>
      <c r="K12" s="36"/>
      <c r="L12" s="389"/>
      <c r="M12" s="334"/>
      <c r="N12" s="335"/>
      <c r="O12" s="640"/>
      <c r="P12" s="640"/>
      <c r="Q12" s="640">
        <f t="shared" si="7"/>
        <v>0</v>
      </c>
      <c r="R12" s="36"/>
      <c r="S12" s="453">
        <f t="shared" si="2"/>
        <v>783187</v>
      </c>
      <c r="T12" s="453">
        <f t="shared" si="3"/>
        <v>0</v>
      </c>
      <c r="U12" s="453">
        <f t="shared" si="4"/>
        <v>783187</v>
      </c>
      <c r="V12" s="630"/>
    </row>
    <row r="13" spans="2:22" ht="12.75">
      <c r="B13" s="31">
        <f t="shared" si="5"/>
        <v>5</v>
      </c>
      <c r="C13" s="30"/>
      <c r="D13" s="14"/>
      <c r="E13" s="542" t="s">
        <v>367</v>
      </c>
      <c r="F13" s="334">
        <v>214914</v>
      </c>
      <c r="G13" s="335"/>
      <c r="H13" s="640">
        <f t="shared" si="0"/>
        <v>214914</v>
      </c>
      <c r="I13" s="640"/>
      <c r="J13" s="640">
        <f t="shared" si="6"/>
        <v>214914</v>
      </c>
      <c r="K13" s="36"/>
      <c r="L13" s="389"/>
      <c r="M13" s="335"/>
      <c r="N13" s="335"/>
      <c r="O13" s="640">
        <f t="shared" si="1"/>
        <v>0</v>
      </c>
      <c r="P13" s="640"/>
      <c r="Q13" s="640">
        <f t="shared" si="7"/>
        <v>0</v>
      </c>
      <c r="R13" s="36"/>
      <c r="S13" s="453">
        <f t="shared" si="2"/>
        <v>214914</v>
      </c>
      <c r="T13" s="453">
        <f t="shared" si="3"/>
        <v>0</v>
      </c>
      <c r="U13" s="453">
        <f t="shared" si="4"/>
        <v>214914</v>
      </c>
      <c r="V13" s="630"/>
    </row>
    <row r="14" spans="2:22" ht="15">
      <c r="B14" s="31">
        <f t="shared" si="5"/>
        <v>6</v>
      </c>
      <c r="C14" s="42">
        <v>2</v>
      </c>
      <c r="D14" s="43" t="s">
        <v>105</v>
      </c>
      <c r="E14" s="140"/>
      <c r="F14" s="158">
        <f>SUM(F15:F16)</f>
        <v>995423</v>
      </c>
      <c r="G14" s="162"/>
      <c r="H14" s="645">
        <f t="shared" si="0"/>
        <v>995423</v>
      </c>
      <c r="I14" s="934"/>
      <c r="J14" s="758">
        <f t="shared" si="6"/>
        <v>995423</v>
      </c>
      <c r="K14" s="199"/>
      <c r="L14" s="258"/>
      <c r="M14" s="158"/>
      <c r="N14" s="162"/>
      <c r="O14" s="655">
        <f t="shared" si="1"/>
        <v>0</v>
      </c>
      <c r="P14" s="939"/>
      <c r="Q14" s="764">
        <f t="shared" si="7"/>
        <v>0</v>
      </c>
      <c r="R14" s="199"/>
      <c r="S14" s="768">
        <f t="shared" si="2"/>
        <v>995423</v>
      </c>
      <c r="T14" s="941">
        <f t="shared" si="3"/>
        <v>0</v>
      </c>
      <c r="U14" s="770">
        <f t="shared" si="4"/>
        <v>995423</v>
      </c>
      <c r="V14" s="630"/>
    </row>
    <row r="15" spans="2:22" ht="12.75">
      <c r="B15" s="31">
        <f t="shared" si="5"/>
        <v>7</v>
      </c>
      <c r="C15" s="30"/>
      <c r="D15" s="14"/>
      <c r="E15" s="443" t="s">
        <v>372</v>
      </c>
      <c r="F15" s="570">
        <v>660000</v>
      </c>
      <c r="G15" s="332"/>
      <c r="H15" s="640">
        <f t="shared" si="0"/>
        <v>660000</v>
      </c>
      <c r="I15" s="880"/>
      <c r="J15" s="640">
        <f t="shared" si="6"/>
        <v>660000</v>
      </c>
      <c r="K15" s="36"/>
      <c r="L15" s="352"/>
      <c r="M15" s="331"/>
      <c r="N15" s="332"/>
      <c r="O15" s="640">
        <f>SUM(L15:N15)</f>
        <v>0</v>
      </c>
      <c r="P15" s="640"/>
      <c r="Q15" s="640">
        <f t="shared" si="7"/>
        <v>0</v>
      </c>
      <c r="R15" s="36"/>
      <c r="S15" s="453">
        <f t="shared" si="2"/>
        <v>660000</v>
      </c>
      <c r="T15" s="453">
        <f t="shared" si="3"/>
        <v>0</v>
      </c>
      <c r="U15" s="453">
        <f t="shared" si="4"/>
        <v>660000</v>
      </c>
      <c r="V15" s="630"/>
    </row>
    <row r="16" spans="2:22" ht="12.75">
      <c r="B16" s="31">
        <f t="shared" si="5"/>
        <v>8</v>
      </c>
      <c r="C16" s="30"/>
      <c r="D16" s="14"/>
      <c r="E16" s="542" t="s">
        <v>367</v>
      </c>
      <c r="F16" s="334">
        <v>335423</v>
      </c>
      <c r="G16" s="335"/>
      <c r="H16" s="640">
        <f t="shared" si="0"/>
        <v>335423</v>
      </c>
      <c r="I16" s="640"/>
      <c r="J16" s="640">
        <f t="shared" si="6"/>
        <v>335423</v>
      </c>
      <c r="K16" s="36"/>
      <c r="L16" s="389"/>
      <c r="M16" s="334"/>
      <c r="N16" s="335"/>
      <c r="O16" s="640">
        <f t="shared" si="1"/>
        <v>0</v>
      </c>
      <c r="P16" s="640"/>
      <c r="Q16" s="640">
        <f t="shared" si="7"/>
        <v>0</v>
      </c>
      <c r="R16" s="36"/>
      <c r="S16" s="453">
        <f t="shared" si="2"/>
        <v>335423</v>
      </c>
      <c r="T16" s="453">
        <f t="shared" si="3"/>
        <v>0</v>
      </c>
      <c r="U16" s="453">
        <f t="shared" si="4"/>
        <v>335423</v>
      </c>
      <c r="V16" s="630"/>
    </row>
    <row r="17" spans="2:22" ht="15">
      <c r="B17" s="31">
        <f t="shared" si="5"/>
        <v>9</v>
      </c>
      <c r="C17" s="42">
        <v>3</v>
      </c>
      <c r="D17" s="43" t="s">
        <v>175</v>
      </c>
      <c r="E17" s="140"/>
      <c r="F17" s="158"/>
      <c r="G17" s="162"/>
      <c r="H17" s="645">
        <f t="shared" si="0"/>
        <v>0</v>
      </c>
      <c r="I17" s="934"/>
      <c r="J17" s="758">
        <f t="shared" si="6"/>
        <v>0</v>
      </c>
      <c r="K17" s="199"/>
      <c r="L17" s="258">
        <f>SUM(L18:L21)</f>
        <v>51000</v>
      </c>
      <c r="M17" s="162">
        <f>SUM(M18:M21)</f>
        <v>281615</v>
      </c>
      <c r="N17" s="162">
        <f>SUM(N18:N21)</f>
        <v>160000</v>
      </c>
      <c r="O17" s="655">
        <f t="shared" si="1"/>
        <v>492615</v>
      </c>
      <c r="P17" s="939">
        <f>SUM(P18:P21)</f>
        <v>-274615</v>
      </c>
      <c r="Q17" s="764">
        <f t="shared" si="7"/>
        <v>218000</v>
      </c>
      <c r="R17" s="199"/>
      <c r="S17" s="768">
        <f t="shared" si="2"/>
        <v>492615</v>
      </c>
      <c r="T17" s="941">
        <f t="shared" si="3"/>
        <v>-274615</v>
      </c>
      <c r="U17" s="770">
        <f t="shared" si="4"/>
        <v>218000</v>
      </c>
      <c r="V17" s="630"/>
    </row>
    <row r="18" spans="2:22" ht="12.75">
      <c r="B18" s="31">
        <f t="shared" si="5"/>
        <v>10</v>
      </c>
      <c r="C18" s="30"/>
      <c r="D18" s="14"/>
      <c r="E18" s="570" t="s">
        <v>373</v>
      </c>
      <c r="F18" s="570"/>
      <c r="G18" s="332"/>
      <c r="H18" s="640">
        <f t="shared" si="0"/>
        <v>0</v>
      </c>
      <c r="I18" s="640"/>
      <c r="J18" s="640">
        <f t="shared" si="6"/>
        <v>0</v>
      </c>
      <c r="K18" s="36"/>
      <c r="L18" s="352"/>
      <c r="M18" s="334">
        <v>281615</v>
      </c>
      <c r="N18" s="332"/>
      <c r="O18" s="640">
        <f>SUM(L18:N18)</f>
        <v>281615</v>
      </c>
      <c r="P18" s="640">
        <v>-274615</v>
      </c>
      <c r="Q18" s="640">
        <f t="shared" si="7"/>
        <v>7000</v>
      </c>
      <c r="R18" s="36"/>
      <c r="S18" s="453">
        <f t="shared" si="2"/>
        <v>281615</v>
      </c>
      <c r="T18" s="453">
        <f t="shared" si="3"/>
        <v>-274615</v>
      </c>
      <c r="U18" s="453">
        <f t="shared" si="4"/>
        <v>7000</v>
      </c>
      <c r="V18" s="630"/>
    </row>
    <row r="19" spans="2:22" ht="12.75">
      <c r="B19" s="694">
        <f t="shared" si="5"/>
        <v>11</v>
      </c>
      <c r="C19" s="29"/>
      <c r="D19" s="2"/>
      <c r="E19" s="570" t="s">
        <v>432</v>
      </c>
      <c r="F19" s="570"/>
      <c r="G19" s="332"/>
      <c r="H19" s="640">
        <f t="shared" si="0"/>
        <v>0</v>
      </c>
      <c r="I19" s="640"/>
      <c r="J19" s="640">
        <f t="shared" si="6"/>
        <v>0</v>
      </c>
      <c r="K19" s="36"/>
      <c r="L19" s="388">
        <v>1000</v>
      </c>
      <c r="M19" s="692"/>
      <c r="N19" s="353"/>
      <c r="O19" s="640">
        <f>SUM(L19:N19)</f>
        <v>1000</v>
      </c>
      <c r="P19" s="640"/>
      <c r="Q19" s="640">
        <f t="shared" si="7"/>
        <v>1000</v>
      </c>
      <c r="R19" s="36"/>
      <c r="S19" s="453">
        <f t="shared" si="2"/>
        <v>1000</v>
      </c>
      <c r="T19" s="453">
        <f t="shared" si="3"/>
        <v>0</v>
      </c>
      <c r="U19" s="453">
        <f t="shared" si="4"/>
        <v>1000</v>
      </c>
      <c r="V19" s="630"/>
    </row>
    <row r="20" spans="2:22" ht="12.75">
      <c r="B20" s="694">
        <f t="shared" si="5"/>
        <v>12</v>
      </c>
      <c r="C20" s="29"/>
      <c r="D20" s="2"/>
      <c r="E20" s="570" t="s">
        <v>459</v>
      </c>
      <c r="F20" s="570"/>
      <c r="G20" s="332"/>
      <c r="H20" s="640"/>
      <c r="I20" s="640"/>
      <c r="J20" s="640"/>
      <c r="K20" s="36"/>
      <c r="L20" s="388"/>
      <c r="M20" s="332"/>
      <c r="N20" s="353"/>
      <c r="O20" s="639"/>
      <c r="P20" s="639">
        <v>4710</v>
      </c>
      <c r="Q20" s="640">
        <f t="shared" si="7"/>
        <v>4710</v>
      </c>
      <c r="R20" s="36"/>
      <c r="S20" s="453">
        <f>H20+O20</f>
        <v>0</v>
      </c>
      <c r="T20" s="518"/>
      <c r="U20" s="453">
        <f>J20+Q20</f>
        <v>4710</v>
      </c>
      <c r="V20" s="630"/>
    </row>
    <row r="21" spans="2:22" ht="13.5" thickBot="1">
      <c r="B21" s="694">
        <f t="shared" si="5"/>
        <v>13</v>
      </c>
      <c r="C21" s="522"/>
      <c r="D21" s="523"/>
      <c r="E21" s="544" t="s">
        <v>374</v>
      </c>
      <c r="F21" s="693"/>
      <c r="G21" s="502"/>
      <c r="H21" s="654">
        <f t="shared" si="0"/>
        <v>0</v>
      </c>
      <c r="I21" s="654"/>
      <c r="J21" s="654">
        <f t="shared" si="6"/>
        <v>0</v>
      </c>
      <c r="K21" s="36"/>
      <c r="L21" s="497">
        <v>50000</v>
      </c>
      <c r="M21" s="354"/>
      <c r="N21" s="355">
        <f>195000-35000</f>
        <v>160000</v>
      </c>
      <c r="O21" s="666">
        <f t="shared" si="1"/>
        <v>210000</v>
      </c>
      <c r="P21" s="666">
        <v>-4710</v>
      </c>
      <c r="Q21" s="666">
        <f t="shared" si="7"/>
        <v>205290</v>
      </c>
      <c r="R21" s="36"/>
      <c r="S21" s="498">
        <f>H21+O21</f>
        <v>210000</v>
      </c>
      <c r="T21" s="498">
        <f>I21+P21</f>
        <v>-4710</v>
      </c>
      <c r="U21" s="498">
        <f>J21+Q21</f>
        <v>205290</v>
      </c>
      <c r="V21" s="630"/>
    </row>
    <row r="22" spans="12:20" ht="12.75">
      <c r="L22" s="34"/>
      <c r="M22" s="34"/>
      <c r="N22" s="34"/>
      <c r="O22" s="34"/>
      <c r="P22" s="34"/>
      <c r="Q22" s="34"/>
      <c r="S22" s="34"/>
      <c r="T22" s="34"/>
    </row>
  </sheetData>
  <sheetProtection/>
  <mergeCells count="21">
    <mergeCell ref="U4:U8"/>
    <mergeCell ref="S4:S8"/>
    <mergeCell ref="M7:M8"/>
    <mergeCell ref="N7:N8"/>
    <mergeCell ref="O7:O8"/>
    <mergeCell ref="J7:J8"/>
    <mergeCell ref="L6:Q6"/>
    <mergeCell ref="L7:L8"/>
    <mergeCell ref="B5:J5"/>
    <mergeCell ref="E6:J6"/>
    <mergeCell ref="T4:T8"/>
    <mergeCell ref="B4:Q4"/>
    <mergeCell ref="P7:P8"/>
    <mergeCell ref="Q7:Q8"/>
    <mergeCell ref="L5:Q5"/>
    <mergeCell ref="G7:G8"/>
    <mergeCell ref="H7:H8"/>
    <mergeCell ref="I7:I8"/>
    <mergeCell ref="D6:D8"/>
    <mergeCell ref="C6:C8"/>
    <mergeCell ref="F7:F8"/>
  </mergeCells>
  <printOptions/>
  <pageMargins left="0.2362204724409449" right="0.1968503937007874" top="0.6692913385826772" bottom="0.984251968503937" header="0.66929133858267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73"/>
  <sheetViews>
    <sheetView view="pageBreakPreview" zoomScale="90" zoomScaleNormal="89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28125" style="6" customWidth="1"/>
    <col min="3" max="3" width="2.28125" style="5" customWidth="1"/>
    <col min="4" max="4" width="2.28125" style="0" customWidth="1"/>
    <col min="5" max="5" width="38.57421875" style="0" customWidth="1"/>
    <col min="6" max="8" width="10.140625" style="0" customWidth="1"/>
    <col min="9" max="9" width="8.57421875" style="0" customWidth="1"/>
    <col min="10" max="10" width="11.57421875" style="0" customWidth="1"/>
    <col min="11" max="11" width="9.00390625" style="0" customWidth="1"/>
    <col min="12" max="12" width="11.57421875" style="0" customWidth="1"/>
    <col min="13" max="13" width="1.28515625" style="47" customWidth="1"/>
    <col min="14" max="15" width="6.140625" style="0" customWidth="1"/>
    <col min="16" max="16" width="10.140625" style="0" customWidth="1"/>
    <col min="17" max="17" width="10.57421875" style="0" customWidth="1"/>
    <col min="18" max="18" width="9.28125" style="0" customWidth="1"/>
    <col min="19" max="19" width="10.57421875" style="0" customWidth="1"/>
    <col min="20" max="20" width="2.57421875" style="47" customWidth="1"/>
    <col min="21" max="21" width="13.00390625" style="0" customWidth="1"/>
    <col min="22" max="22" width="9.140625" style="47" customWidth="1"/>
    <col min="23" max="23" width="12.00390625" style="0" customWidth="1"/>
    <col min="24" max="24" width="4.00390625" style="0" customWidth="1"/>
  </cols>
  <sheetData>
    <row r="1" spans="2:21" ht="15.75" customHeight="1">
      <c r="B1" s="34"/>
      <c r="C1" s="34"/>
      <c r="D1" s="34"/>
      <c r="E1" s="34"/>
      <c r="F1" s="34"/>
      <c r="G1" s="252"/>
      <c r="H1" s="252"/>
      <c r="I1" s="252"/>
      <c r="J1" s="252"/>
      <c r="K1" s="252"/>
      <c r="L1" s="252"/>
      <c r="M1" s="49"/>
      <c r="N1" s="47"/>
      <c r="O1" s="47"/>
      <c r="P1" s="47"/>
      <c r="Q1" s="49"/>
      <c r="R1" s="49"/>
      <c r="S1" s="49"/>
      <c r="T1" s="266"/>
      <c r="U1" s="266"/>
    </row>
    <row r="2" spans="2:23" ht="27">
      <c r="B2" s="979"/>
      <c r="C2" s="978" t="s">
        <v>242</v>
      </c>
      <c r="D2" s="979"/>
      <c r="E2" s="979"/>
      <c r="F2" s="979"/>
      <c r="G2" s="988"/>
      <c r="H2" s="979"/>
      <c r="I2" s="979"/>
      <c r="J2" s="987"/>
      <c r="K2" s="987"/>
      <c r="L2" s="987"/>
      <c r="M2" s="979"/>
      <c r="N2" s="979"/>
      <c r="O2" s="979"/>
      <c r="P2" s="979"/>
      <c r="Q2" s="988"/>
      <c r="R2" s="988"/>
      <c r="S2" s="988"/>
      <c r="T2" s="979"/>
      <c r="U2" s="988"/>
      <c r="V2" s="979"/>
      <c r="W2" s="970"/>
    </row>
    <row r="3" spans="2:23" ht="18" customHeight="1" thickBot="1">
      <c r="B3" s="979"/>
      <c r="C3" s="979"/>
      <c r="D3" s="979"/>
      <c r="E3" s="979"/>
      <c r="F3" s="979"/>
      <c r="G3" s="988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0"/>
    </row>
    <row r="4" spans="2:23" ht="12.75" customHeight="1">
      <c r="B4" s="1045" t="s">
        <v>316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7"/>
      <c r="T4" s="268"/>
      <c r="U4" s="1029" t="s">
        <v>450</v>
      </c>
      <c r="V4" s="1051" t="s">
        <v>451</v>
      </c>
      <c r="W4" s="1073" t="s">
        <v>452</v>
      </c>
    </row>
    <row r="5" spans="2:23" ht="18.75" customHeight="1">
      <c r="B5" s="1021" t="s">
        <v>12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3"/>
      <c r="M5" s="254"/>
      <c r="N5" s="1048" t="s">
        <v>300</v>
      </c>
      <c r="O5" s="1049"/>
      <c r="P5" s="1049"/>
      <c r="Q5" s="1049"/>
      <c r="R5" s="1049"/>
      <c r="S5" s="1050"/>
      <c r="T5" s="294"/>
      <c r="U5" s="1030"/>
      <c r="V5" s="1052"/>
      <c r="W5" s="1074"/>
    </row>
    <row r="6" spans="2:23" ht="12.75" customHeight="1">
      <c r="B6" s="41"/>
      <c r="C6" s="1054" t="s">
        <v>150</v>
      </c>
      <c r="D6" s="1054" t="s">
        <v>151</v>
      </c>
      <c r="E6" s="1024" t="s">
        <v>11</v>
      </c>
      <c r="F6" s="1025"/>
      <c r="G6" s="1025"/>
      <c r="H6" s="1025"/>
      <c r="I6" s="1025"/>
      <c r="J6" s="1025"/>
      <c r="K6" s="1025"/>
      <c r="L6" s="1026"/>
      <c r="M6" s="15"/>
      <c r="N6" s="1039" t="s">
        <v>11</v>
      </c>
      <c r="O6" s="1025"/>
      <c r="P6" s="1025"/>
      <c r="Q6" s="1025"/>
      <c r="R6" s="1025"/>
      <c r="S6" s="1026"/>
      <c r="T6" s="295"/>
      <c r="U6" s="1030"/>
      <c r="V6" s="1052"/>
      <c r="W6" s="1074"/>
    </row>
    <row r="7" spans="2:23" ht="36.75" customHeight="1">
      <c r="B7" s="41"/>
      <c r="C7" s="1055"/>
      <c r="D7" s="1055"/>
      <c r="E7" s="52" t="s">
        <v>5</v>
      </c>
      <c r="F7" s="1036">
        <v>610</v>
      </c>
      <c r="G7" s="1032">
        <v>620</v>
      </c>
      <c r="H7" s="1032">
        <v>630</v>
      </c>
      <c r="I7" s="1032">
        <v>640</v>
      </c>
      <c r="J7" s="1027" t="s">
        <v>450</v>
      </c>
      <c r="K7" s="1034" t="s">
        <v>451</v>
      </c>
      <c r="L7" s="1040" t="s">
        <v>452</v>
      </c>
      <c r="M7" s="269"/>
      <c r="N7" s="1057">
        <v>716</v>
      </c>
      <c r="O7" s="1036">
        <v>711</v>
      </c>
      <c r="P7" s="1032">
        <v>717</v>
      </c>
      <c r="Q7" s="1027" t="s">
        <v>450</v>
      </c>
      <c r="R7" s="1034" t="s">
        <v>451</v>
      </c>
      <c r="S7" s="1040" t="s">
        <v>452</v>
      </c>
      <c r="T7" s="173"/>
      <c r="U7" s="1030"/>
      <c r="V7" s="1052"/>
      <c r="W7" s="1074"/>
    </row>
    <row r="8" spans="2:23" ht="44.25" customHeight="1" thickBot="1">
      <c r="B8" s="46"/>
      <c r="C8" s="1056"/>
      <c r="D8" s="1056"/>
      <c r="E8" s="53"/>
      <c r="F8" s="1037"/>
      <c r="G8" s="1033"/>
      <c r="H8" s="1033"/>
      <c r="I8" s="1033"/>
      <c r="J8" s="1028"/>
      <c r="K8" s="1035"/>
      <c r="L8" s="1041"/>
      <c r="M8" s="200"/>
      <c r="N8" s="1058"/>
      <c r="O8" s="1037"/>
      <c r="P8" s="1033"/>
      <c r="Q8" s="1028"/>
      <c r="R8" s="1035"/>
      <c r="S8" s="1041"/>
      <c r="T8" s="310"/>
      <c r="U8" s="1031"/>
      <c r="V8" s="1053"/>
      <c r="W8" s="1075"/>
    </row>
    <row r="9" spans="2:23" ht="25.5" customHeight="1" thickBot="1" thickTop="1">
      <c r="B9" s="31">
        <v>1</v>
      </c>
      <c r="C9" s="203" t="s">
        <v>243</v>
      </c>
      <c r="D9" s="256"/>
      <c r="E9" s="257"/>
      <c r="F9" s="279">
        <f>F10+F21+F35+F55+F66</f>
        <v>5564271</v>
      </c>
      <c r="G9" s="289">
        <f>G10+G21+G35+G55+G66</f>
        <v>1970968</v>
      </c>
      <c r="H9" s="289">
        <f>H10+H21+H35+H55+H66</f>
        <v>2152323</v>
      </c>
      <c r="I9" s="289">
        <f>I10+I21+I35+I55+I66</f>
        <v>472763</v>
      </c>
      <c r="J9" s="664">
        <f>SUM(F9:I9)</f>
        <v>10160325</v>
      </c>
      <c r="K9" s="946">
        <f>K10+K21+K35+K55+K66</f>
        <v>0</v>
      </c>
      <c r="L9" s="784">
        <f aca="true" t="shared" si="0" ref="L9:L40">J9+K9</f>
        <v>10160325</v>
      </c>
      <c r="M9" s="281"/>
      <c r="N9" s="290">
        <f>N10+N21+N35+N55+N66</f>
        <v>9718</v>
      </c>
      <c r="O9" s="289">
        <f>O10+O21+O35+O55+O66</f>
        <v>1000</v>
      </c>
      <c r="P9" s="289">
        <f>P10+P21+P35+P55+P66</f>
        <v>2393541</v>
      </c>
      <c r="Q9" s="671">
        <f>SUM(N9:P9)</f>
        <v>2404259</v>
      </c>
      <c r="R9" s="952">
        <f>R10+R21+R35+R55+R66</f>
        <v>7000</v>
      </c>
      <c r="S9" s="789">
        <f aca="true" t="shared" si="1" ref="S9:S17">Q9+R9</f>
        <v>2411259</v>
      </c>
      <c r="T9" s="311"/>
      <c r="U9" s="777">
        <f>J9+Q9</f>
        <v>12564584</v>
      </c>
      <c r="V9" s="944">
        <f>K9+R9</f>
        <v>7000</v>
      </c>
      <c r="W9" s="779">
        <f aca="true" t="shared" si="2" ref="W9:W40">U9+V9</f>
        <v>12571584</v>
      </c>
    </row>
    <row r="10" spans="2:23" ht="15.75" thickTop="1">
      <c r="B10" s="31">
        <v>2</v>
      </c>
      <c r="C10" s="42">
        <v>1</v>
      </c>
      <c r="D10" s="43" t="s">
        <v>122</v>
      </c>
      <c r="E10" s="44"/>
      <c r="F10" s="158">
        <f>1262132-49600+4810</f>
        <v>1217342</v>
      </c>
      <c r="G10" s="158">
        <f>456590-17400+1690</f>
        <v>440880</v>
      </c>
      <c r="H10" s="158">
        <f>515931+25000-1150</f>
        <v>539781</v>
      </c>
      <c r="I10" s="162">
        <f>SUM(I14:I16)+6300</f>
        <v>109575</v>
      </c>
      <c r="J10" s="632">
        <f aca="true" t="shared" si="3" ref="J10:J63">SUM(F10:I10)</f>
        <v>2307578</v>
      </c>
      <c r="K10" s="947">
        <f>SUM(K11:K20)</f>
        <v>0</v>
      </c>
      <c r="L10" s="740">
        <f t="shared" si="0"/>
        <v>2307578</v>
      </c>
      <c r="M10" s="199"/>
      <c r="N10" s="258"/>
      <c r="O10" s="158"/>
      <c r="P10" s="162">
        <f>SUM(P11:P20)</f>
        <v>8783</v>
      </c>
      <c r="Q10" s="655">
        <f>SUM(N10:P10)</f>
        <v>8783</v>
      </c>
      <c r="R10" s="939">
        <f>SUM(R11:R20)</f>
        <v>5000</v>
      </c>
      <c r="S10" s="764">
        <f t="shared" si="1"/>
        <v>13783</v>
      </c>
      <c r="T10" s="191"/>
      <c r="U10" s="768">
        <f>J10+Q10</f>
        <v>2316361</v>
      </c>
      <c r="V10" s="941">
        <f>K10+R10</f>
        <v>5000</v>
      </c>
      <c r="W10" s="770">
        <f t="shared" si="2"/>
        <v>2321361</v>
      </c>
    </row>
    <row r="11" spans="2:23" s="45" customFormat="1" ht="12.75">
      <c r="B11" s="131">
        <f>B10+1</f>
        <v>3</v>
      </c>
      <c r="C11" s="132"/>
      <c r="D11" s="133"/>
      <c r="E11" s="151" t="s">
        <v>246</v>
      </c>
      <c r="F11" s="159"/>
      <c r="G11" s="159"/>
      <c r="H11" s="159"/>
      <c r="I11" s="171"/>
      <c r="J11" s="667"/>
      <c r="K11" s="667"/>
      <c r="L11" s="667">
        <f t="shared" si="0"/>
        <v>0</v>
      </c>
      <c r="M11" s="264"/>
      <c r="N11" s="307"/>
      <c r="O11" s="695"/>
      <c r="P11" s="308"/>
      <c r="Q11" s="672"/>
      <c r="R11" s="672"/>
      <c r="S11" s="672">
        <f t="shared" si="1"/>
        <v>0</v>
      </c>
      <c r="T11" s="191"/>
      <c r="U11" s="312"/>
      <c r="V11" s="312">
        <f aca="true" t="shared" si="4" ref="V11:V42">K11+R11</f>
        <v>0</v>
      </c>
      <c r="W11" s="312">
        <f t="shared" si="2"/>
        <v>0</v>
      </c>
    </row>
    <row r="12" spans="2:23" ht="12.75">
      <c r="B12" s="131">
        <f aca="true" t="shared" si="5" ref="B12:B68">B11+1</f>
        <v>4</v>
      </c>
      <c r="C12" s="40"/>
      <c r="D12" s="14"/>
      <c r="E12" s="145" t="s">
        <v>210</v>
      </c>
      <c r="F12" s="334">
        <v>47132</v>
      </c>
      <c r="G12" s="335">
        <v>16590</v>
      </c>
      <c r="H12" s="336">
        <v>15931</v>
      </c>
      <c r="I12" s="335"/>
      <c r="J12" s="634">
        <f>SUM(F12:I12)</f>
        <v>79653</v>
      </c>
      <c r="K12" s="634"/>
      <c r="L12" s="634">
        <f t="shared" si="0"/>
        <v>79653</v>
      </c>
      <c r="M12" s="36"/>
      <c r="N12" s="388"/>
      <c r="O12" s="696"/>
      <c r="P12" s="353"/>
      <c r="Q12" s="639">
        <f aca="true" t="shared" si="6" ref="Q12:Q17">SUM(N12:P12)</f>
        <v>0</v>
      </c>
      <c r="R12" s="639"/>
      <c r="S12" s="639">
        <f t="shared" si="1"/>
        <v>0</v>
      </c>
      <c r="T12" s="174"/>
      <c r="U12" s="291">
        <f aca="true" t="shared" si="7" ref="U12:U21">J12+Q12</f>
        <v>79653</v>
      </c>
      <c r="V12" s="291">
        <f t="shared" si="4"/>
        <v>0</v>
      </c>
      <c r="W12" s="291">
        <f t="shared" si="2"/>
        <v>79653</v>
      </c>
    </row>
    <row r="13" spans="2:23" ht="12.75">
      <c r="B13" s="131">
        <f t="shared" si="5"/>
        <v>5</v>
      </c>
      <c r="C13" s="40"/>
      <c r="D13" s="14"/>
      <c r="E13" s="145" t="s">
        <v>211</v>
      </c>
      <c r="F13" s="334"/>
      <c r="G13" s="335"/>
      <c r="H13" s="336"/>
      <c r="I13" s="335"/>
      <c r="J13" s="634"/>
      <c r="K13" s="634"/>
      <c r="L13" s="634">
        <f t="shared" si="0"/>
        <v>0</v>
      </c>
      <c r="M13" s="36"/>
      <c r="N13" s="388"/>
      <c r="O13" s="696"/>
      <c r="P13" s="353"/>
      <c r="Q13" s="639">
        <f t="shared" si="6"/>
        <v>0</v>
      </c>
      <c r="R13" s="639"/>
      <c r="S13" s="639">
        <f t="shared" si="1"/>
        <v>0</v>
      </c>
      <c r="T13" s="174"/>
      <c r="U13" s="291">
        <f t="shared" si="7"/>
        <v>0</v>
      </c>
      <c r="V13" s="291">
        <f t="shared" si="4"/>
        <v>0</v>
      </c>
      <c r="W13" s="291">
        <f t="shared" si="2"/>
        <v>0</v>
      </c>
    </row>
    <row r="14" spans="2:23" ht="14.25" customHeight="1">
      <c r="B14" s="131">
        <f t="shared" si="5"/>
        <v>6</v>
      </c>
      <c r="C14" s="40"/>
      <c r="D14" s="14"/>
      <c r="E14" s="322" t="s">
        <v>305</v>
      </c>
      <c r="F14" s="357"/>
      <c r="G14" s="358"/>
      <c r="H14" s="359"/>
      <c r="I14" s="358">
        <v>32930</v>
      </c>
      <c r="J14" s="668">
        <f t="shared" si="3"/>
        <v>32930</v>
      </c>
      <c r="K14" s="668"/>
      <c r="L14" s="668">
        <f t="shared" si="0"/>
        <v>32930</v>
      </c>
      <c r="M14" s="36"/>
      <c r="N14" s="705"/>
      <c r="O14" s="697"/>
      <c r="P14" s="368"/>
      <c r="Q14" s="673">
        <f t="shared" si="6"/>
        <v>0</v>
      </c>
      <c r="R14" s="673"/>
      <c r="S14" s="673">
        <f t="shared" si="1"/>
        <v>0</v>
      </c>
      <c r="T14" s="174"/>
      <c r="U14" s="323">
        <f t="shared" si="7"/>
        <v>32930</v>
      </c>
      <c r="V14" s="323">
        <f t="shared" si="4"/>
        <v>0</v>
      </c>
      <c r="W14" s="323">
        <f t="shared" si="2"/>
        <v>32930</v>
      </c>
    </row>
    <row r="15" spans="2:23" ht="12.75">
      <c r="B15" s="131">
        <f t="shared" si="5"/>
        <v>7</v>
      </c>
      <c r="C15" s="40"/>
      <c r="D15" s="14"/>
      <c r="E15" s="319" t="s">
        <v>326</v>
      </c>
      <c r="F15" s="357"/>
      <c r="G15" s="358"/>
      <c r="H15" s="359"/>
      <c r="I15" s="358">
        <v>16465</v>
      </c>
      <c r="J15" s="668">
        <f t="shared" si="3"/>
        <v>16465</v>
      </c>
      <c r="K15" s="668"/>
      <c r="L15" s="668">
        <f t="shared" si="0"/>
        <v>16465</v>
      </c>
      <c r="M15" s="36"/>
      <c r="N15" s="705"/>
      <c r="O15" s="697"/>
      <c r="P15" s="368"/>
      <c r="Q15" s="673">
        <f t="shared" si="6"/>
        <v>0</v>
      </c>
      <c r="R15" s="673"/>
      <c r="S15" s="673">
        <f t="shared" si="1"/>
        <v>0</v>
      </c>
      <c r="T15" s="174"/>
      <c r="U15" s="323">
        <f t="shared" si="7"/>
        <v>16465</v>
      </c>
      <c r="V15" s="323">
        <f t="shared" si="4"/>
        <v>0</v>
      </c>
      <c r="W15" s="323">
        <f t="shared" si="2"/>
        <v>16465</v>
      </c>
    </row>
    <row r="16" spans="2:23" ht="12.75">
      <c r="B16" s="131">
        <f t="shared" si="5"/>
        <v>8</v>
      </c>
      <c r="C16" s="40"/>
      <c r="D16" s="14"/>
      <c r="E16" s="322" t="s">
        <v>304</v>
      </c>
      <c r="F16" s="357"/>
      <c r="G16" s="358"/>
      <c r="H16" s="359"/>
      <c r="I16" s="358">
        <v>53880</v>
      </c>
      <c r="J16" s="668">
        <f t="shared" si="3"/>
        <v>53880</v>
      </c>
      <c r="K16" s="668"/>
      <c r="L16" s="668">
        <f t="shared" si="0"/>
        <v>53880</v>
      </c>
      <c r="M16" s="36"/>
      <c r="N16" s="372"/>
      <c r="O16" s="698"/>
      <c r="P16" s="363"/>
      <c r="Q16" s="674">
        <f t="shared" si="6"/>
        <v>0</v>
      </c>
      <c r="R16" s="674"/>
      <c r="S16" s="674">
        <f t="shared" si="1"/>
        <v>0</v>
      </c>
      <c r="T16" s="174"/>
      <c r="U16" s="478">
        <f t="shared" si="7"/>
        <v>53880</v>
      </c>
      <c r="V16" s="478">
        <f t="shared" si="4"/>
        <v>0</v>
      </c>
      <c r="W16" s="478">
        <f t="shared" si="2"/>
        <v>53880</v>
      </c>
    </row>
    <row r="17" spans="2:23" ht="12.75">
      <c r="B17" s="131">
        <f t="shared" si="5"/>
        <v>9</v>
      </c>
      <c r="C17" s="40"/>
      <c r="D17" s="14"/>
      <c r="E17" s="547" t="s">
        <v>380</v>
      </c>
      <c r="F17" s="306"/>
      <c r="G17" s="304"/>
      <c r="H17" s="335"/>
      <c r="I17" s="304"/>
      <c r="J17" s="634"/>
      <c r="K17" s="634"/>
      <c r="L17" s="634">
        <f t="shared" si="0"/>
        <v>0</v>
      </c>
      <c r="M17" s="161"/>
      <c r="N17" s="516"/>
      <c r="O17" s="699"/>
      <c r="P17" s="335">
        <v>8783</v>
      </c>
      <c r="Q17" s="640">
        <f t="shared" si="6"/>
        <v>8783</v>
      </c>
      <c r="R17" s="640">
        <v>-2000</v>
      </c>
      <c r="S17" s="640">
        <f t="shared" si="1"/>
        <v>6783</v>
      </c>
      <c r="T17" s="262"/>
      <c r="U17" s="619">
        <f t="shared" si="7"/>
        <v>8783</v>
      </c>
      <c r="V17" s="619">
        <f t="shared" si="4"/>
        <v>-2000</v>
      </c>
      <c r="W17" s="619">
        <f t="shared" si="2"/>
        <v>6783</v>
      </c>
    </row>
    <row r="18" spans="2:23" ht="12.75">
      <c r="B18" s="131">
        <f t="shared" si="5"/>
        <v>10</v>
      </c>
      <c r="C18" s="33"/>
      <c r="D18" s="14"/>
      <c r="E18" s="145" t="s">
        <v>457</v>
      </c>
      <c r="F18" s="306"/>
      <c r="G18" s="306"/>
      <c r="H18" s="334"/>
      <c r="I18" s="304"/>
      <c r="J18" s="634"/>
      <c r="K18" s="634"/>
      <c r="L18" s="634">
        <f t="shared" si="0"/>
        <v>0</v>
      </c>
      <c r="M18" s="161"/>
      <c r="N18" s="878"/>
      <c r="O18" s="699"/>
      <c r="P18" s="335"/>
      <c r="Q18" s="641"/>
      <c r="R18" s="641">
        <v>7000</v>
      </c>
      <c r="S18" s="641"/>
      <c r="T18" s="262"/>
      <c r="U18" s="619">
        <f t="shared" si="7"/>
        <v>0</v>
      </c>
      <c r="V18" s="619">
        <f t="shared" si="4"/>
        <v>7000</v>
      </c>
      <c r="W18" s="619">
        <f t="shared" si="2"/>
        <v>7000</v>
      </c>
    </row>
    <row r="19" spans="2:23" ht="12.75">
      <c r="B19" s="131">
        <f t="shared" si="5"/>
        <v>11</v>
      </c>
      <c r="C19" s="33"/>
      <c r="D19" s="14"/>
      <c r="E19" s="145" t="s">
        <v>466</v>
      </c>
      <c r="F19" s="306"/>
      <c r="G19" s="306"/>
      <c r="H19" s="334"/>
      <c r="I19" s="304"/>
      <c r="J19" s="634"/>
      <c r="K19" s="634"/>
      <c r="L19" s="634">
        <f t="shared" si="0"/>
        <v>0</v>
      </c>
      <c r="M19" s="161"/>
      <c r="N19" s="878"/>
      <c r="O19" s="699"/>
      <c r="P19" s="335"/>
      <c r="Q19" s="641"/>
      <c r="R19" s="641"/>
      <c r="S19" s="641"/>
      <c r="T19" s="262"/>
      <c r="U19" s="619">
        <f t="shared" si="7"/>
        <v>0</v>
      </c>
      <c r="V19" s="619">
        <f t="shared" si="4"/>
        <v>0</v>
      </c>
      <c r="W19" s="619">
        <f t="shared" si="2"/>
        <v>0</v>
      </c>
    </row>
    <row r="20" spans="2:23" ht="12.75">
      <c r="B20" s="131">
        <f t="shared" si="5"/>
        <v>12</v>
      </c>
      <c r="C20" s="33"/>
      <c r="D20" s="14"/>
      <c r="E20" s="152"/>
      <c r="F20" s="334"/>
      <c r="G20" s="334"/>
      <c r="H20" s="361"/>
      <c r="I20" s="335"/>
      <c r="J20" s="634"/>
      <c r="K20" s="634"/>
      <c r="L20" s="634">
        <f t="shared" si="0"/>
        <v>0</v>
      </c>
      <c r="M20" s="36"/>
      <c r="N20" s="389"/>
      <c r="O20" s="501"/>
      <c r="P20" s="335"/>
      <c r="Q20" s="641"/>
      <c r="R20" s="641"/>
      <c r="S20" s="641">
        <f aca="true" t="shared" si="8" ref="S20:S51">Q20+R20</f>
        <v>0</v>
      </c>
      <c r="T20" s="174"/>
      <c r="U20" s="619">
        <f t="shared" si="7"/>
        <v>0</v>
      </c>
      <c r="V20" s="619">
        <f t="shared" si="4"/>
        <v>0</v>
      </c>
      <c r="W20" s="619">
        <f t="shared" si="2"/>
        <v>0</v>
      </c>
    </row>
    <row r="21" spans="2:23" ht="15">
      <c r="B21" s="131">
        <f t="shared" si="5"/>
        <v>13</v>
      </c>
      <c r="C21" s="42">
        <v>2</v>
      </c>
      <c r="D21" s="43" t="s">
        <v>123</v>
      </c>
      <c r="E21" s="44"/>
      <c r="F21" s="158">
        <f>2956493-700</f>
        <v>2955793</v>
      </c>
      <c r="G21" s="162">
        <f>1040739-1251</f>
        <v>1039488</v>
      </c>
      <c r="H21" s="162">
        <f>1188283+28510-3830</f>
        <v>1212963</v>
      </c>
      <c r="I21" s="162">
        <f>SUM(I22:I34)+5781</f>
        <v>17781</v>
      </c>
      <c r="J21" s="635">
        <f t="shared" si="3"/>
        <v>5226025</v>
      </c>
      <c r="K21" s="949">
        <f>SUM(K22:K34)</f>
        <v>0</v>
      </c>
      <c r="L21" s="741">
        <f t="shared" si="0"/>
        <v>5226025</v>
      </c>
      <c r="M21" s="199"/>
      <c r="N21" s="258">
        <f>SUM(N22:N34)</f>
        <v>9718</v>
      </c>
      <c r="O21" s="162">
        <f>SUM(O22:O34)</f>
        <v>0</v>
      </c>
      <c r="P21" s="162">
        <f>SUM(P22:P34)</f>
        <v>2370362</v>
      </c>
      <c r="Q21" s="655">
        <f>SUM(N21:P21)</f>
        <v>2380080</v>
      </c>
      <c r="R21" s="939">
        <f>SUM(R22:R34)</f>
        <v>2500</v>
      </c>
      <c r="S21" s="764">
        <f t="shared" si="8"/>
        <v>2382580</v>
      </c>
      <c r="T21" s="191"/>
      <c r="U21" s="768">
        <f t="shared" si="7"/>
        <v>7606105</v>
      </c>
      <c r="V21" s="941">
        <f t="shared" si="4"/>
        <v>2500</v>
      </c>
      <c r="W21" s="770">
        <f t="shared" si="2"/>
        <v>7608605</v>
      </c>
    </row>
    <row r="22" spans="2:23" ht="12.75">
      <c r="B22" s="131">
        <f t="shared" si="5"/>
        <v>14</v>
      </c>
      <c r="C22" s="40"/>
      <c r="D22" s="14"/>
      <c r="E22" s="153" t="s">
        <v>247</v>
      </c>
      <c r="F22" s="334"/>
      <c r="G22" s="334"/>
      <c r="H22" s="334"/>
      <c r="I22" s="335"/>
      <c r="J22" s="634"/>
      <c r="K22" s="634"/>
      <c r="L22" s="634">
        <f t="shared" si="0"/>
        <v>0</v>
      </c>
      <c r="M22" s="161"/>
      <c r="N22" s="706"/>
      <c r="O22" s="700"/>
      <c r="P22" s="370"/>
      <c r="Q22" s="675"/>
      <c r="R22" s="675"/>
      <c r="S22" s="675">
        <f t="shared" si="8"/>
        <v>0</v>
      </c>
      <c r="T22" s="262"/>
      <c r="U22" s="313"/>
      <c r="V22" s="313">
        <f t="shared" si="4"/>
        <v>0</v>
      </c>
      <c r="W22" s="313">
        <f t="shared" si="2"/>
        <v>0</v>
      </c>
    </row>
    <row r="23" spans="2:23" ht="12.75">
      <c r="B23" s="131">
        <f t="shared" si="5"/>
        <v>15</v>
      </c>
      <c r="C23" s="40"/>
      <c r="D23" s="14"/>
      <c r="E23" s="152" t="s">
        <v>147</v>
      </c>
      <c r="F23" s="334">
        <v>2904978</v>
      </c>
      <c r="G23" s="334">
        <v>1022584</v>
      </c>
      <c r="H23" s="334">
        <v>977318</v>
      </c>
      <c r="I23" s="335"/>
      <c r="J23" s="634">
        <f t="shared" si="3"/>
        <v>4904880</v>
      </c>
      <c r="K23" s="634"/>
      <c r="L23" s="634">
        <f t="shared" si="0"/>
        <v>4904880</v>
      </c>
      <c r="M23" s="161"/>
      <c r="N23" s="706"/>
      <c r="O23" s="700"/>
      <c r="P23" s="370"/>
      <c r="Q23" s="639">
        <f aca="true" t="shared" si="9" ref="Q23:Q31">SUM(N23:P23)</f>
        <v>0</v>
      </c>
      <c r="R23" s="639"/>
      <c r="S23" s="639">
        <f t="shared" si="8"/>
        <v>0</v>
      </c>
      <c r="T23" s="262"/>
      <c r="U23" s="314">
        <f>J23+Q23</f>
        <v>4904880</v>
      </c>
      <c r="V23" s="314">
        <f t="shared" si="4"/>
        <v>0</v>
      </c>
      <c r="W23" s="314">
        <f t="shared" si="2"/>
        <v>4904880</v>
      </c>
    </row>
    <row r="24" spans="2:23" ht="12.75">
      <c r="B24" s="131">
        <f t="shared" si="5"/>
        <v>16</v>
      </c>
      <c r="C24" s="40"/>
      <c r="D24" s="14"/>
      <c r="E24" s="152" t="s">
        <v>203</v>
      </c>
      <c r="F24" s="306"/>
      <c r="G24" s="304"/>
      <c r="H24" s="335">
        <v>89712</v>
      </c>
      <c r="I24" s="335">
        <v>12000</v>
      </c>
      <c r="J24" s="634">
        <f>SUM(F24:I24)</f>
        <v>101712</v>
      </c>
      <c r="K24" s="634"/>
      <c r="L24" s="634">
        <f t="shared" si="0"/>
        <v>101712</v>
      </c>
      <c r="M24" s="161"/>
      <c r="N24" s="706"/>
      <c r="O24" s="700"/>
      <c r="P24" s="370"/>
      <c r="Q24" s="639">
        <f t="shared" si="9"/>
        <v>0</v>
      </c>
      <c r="R24" s="639"/>
      <c r="S24" s="639">
        <f t="shared" si="8"/>
        <v>0</v>
      </c>
      <c r="T24" s="262"/>
      <c r="U24" s="314">
        <f>J24+Q24</f>
        <v>101712</v>
      </c>
      <c r="V24" s="314">
        <f t="shared" si="4"/>
        <v>0</v>
      </c>
      <c r="W24" s="314">
        <f t="shared" si="2"/>
        <v>101712</v>
      </c>
    </row>
    <row r="25" spans="2:23" ht="12.75">
      <c r="B25" s="131">
        <f t="shared" si="5"/>
        <v>17</v>
      </c>
      <c r="C25" s="40"/>
      <c r="D25" s="14"/>
      <c r="E25" s="152" t="s">
        <v>204</v>
      </c>
      <c r="F25" s="334">
        <v>15975</v>
      </c>
      <c r="G25" s="334">
        <v>5625</v>
      </c>
      <c r="H25" s="335"/>
      <c r="I25" s="335"/>
      <c r="J25" s="634">
        <f t="shared" si="3"/>
        <v>21600</v>
      </c>
      <c r="K25" s="634"/>
      <c r="L25" s="634">
        <f t="shared" si="0"/>
        <v>21600</v>
      </c>
      <c r="M25" s="161"/>
      <c r="N25" s="706"/>
      <c r="O25" s="700"/>
      <c r="P25" s="370"/>
      <c r="Q25" s="639">
        <f t="shared" si="9"/>
        <v>0</v>
      </c>
      <c r="R25" s="639"/>
      <c r="S25" s="639">
        <f t="shared" si="8"/>
        <v>0</v>
      </c>
      <c r="T25" s="262"/>
      <c r="U25" s="314">
        <f>J25+Q25</f>
        <v>21600</v>
      </c>
      <c r="V25" s="314">
        <f t="shared" si="4"/>
        <v>0</v>
      </c>
      <c r="W25" s="314">
        <f t="shared" si="2"/>
        <v>21600</v>
      </c>
    </row>
    <row r="26" spans="2:23" ht="12.75">
      <c r="B26" s="131">
        <f t="shared" si="5"/>
        <v>18</v>
      </c>
      <c r="C26" s="40"/>
      <c r="D26" s="14"/>
      <c r="E26" s="152" t="s">
        <v>202</v>
      </c>
      <c r="F26" s="306"/>
      <c r="G26" s="304"/>
      <c r="H26" s="335"/>
      <c r="I26" s="304"/>
      <c r="J26" s="634">
        <f t="shared" si="3"/>
        <v>0</v>
      </c>
      <c r="K26" s="634"/>
      <c r="L26" s="634">
        <f t="shared" si="0"/>
        <v>0</v>
      </c>
      <c r="M26" s="161"/>
      <c r="N26" s="706"/>
      <c r="O26" s="700"/>
      <c r="P26" s="370"/>
      <c r="Q26" s="639">
        <f t="shared" si="9"/>
        <v>0</v>
      </c>
      <c r="R26" s="639"/>
      <c r="S26" s="639">
        <f t="shared" si="8"/>
        <v>0</v>
      </c>
      <c r="T26" s="262"/>
      <c r="U26" s="314">
        <f>J26+Q26</f>
        <v>0</v>
      </c>
      <c r="V26" s="314">
        <f t="shared" si="4"/>
        <v>0</v>
      </c>
      <c r="W26" s="314">
        <f t="shared" si="2"/>
        <v>0</v>
      </c>
    </row>
    <row r="27" spans="2:23" ht="12.75">
      <c r="B27" s="131">
        <f t="shared" si="5"/>
        <v>19</v>
      </c>
      <c r="C27" s="40"/>
      <c r="D27" s="14"/>
      <c r="E27" s="152" t="s">
        <v>433</v>
      </c>
      <c r="F27" s="306"/>
      <c r="G27" s="304"/>
      <c r="H27" s="335">
        <v>28510</v>
      </c>
      <c r="I27" s="304"/>
      <c r="J27" s="634">
        <f t="shared" si="3"/>
        <v>28510</v>
      </c>
      <c r="K27" s="634"/>
      <c r="L27" s="634">
        <f t="shared" si="0"/>
        <v>28510</v>
      </c>
      <c r="M27" s="161"/>
      <c r="N27" s="706"/>
      <c r="O27" s="700"/>
      <c r="P27" s="370"/>
      <c r="Q27" s="639"/>
      <c r="R27" s="639"/>
      <c r="S27" s="639">
        <f t="shared" si="8"/>
        <v>0</v>
      </c>
      <c r="T27" s="262"/>
      <c r="U27" s="314"/>
      <c r="V27" s="314">
        <f t="shared" si="4"/>
        <v>0</v>
      </c>
      <c r="W27" s="314">
        <f t="shared" si="2"/>
        <v>0</v>
      </c>
    </row>
    <row r="28" spans="2:23" ht="12.75">
      <c r="B28" s="131">
        <f t="shared" si="5"/>
        <v>20</v>
      </c>
      <c r="C28" s="40"/>
      <c r="D28" s="14"/>
      <c r="E28" s="547" t="s">
        <v>380</v>
      </c>
      <c r="F28" s="306"/>
      <c r="G28" s="304"/>
      <c r="H28" s="335"/>
      <c r="I28" s="304"/>
      <c r="J28" s="634"/>
      <c r="K28" s="634"/>
      <c r="L28" s="634">
        <f t="shared" si="0"/>
        <v>0</v>
      </c>
      <c r="M28" s="161"/>
      <c r="N28" s="706"/>
      <c r="O28" s="700"/>
      <c r="P28" s="353">
        <v>33580</v>
      </c>
      <c r="Q28" s="639">
        <f t="shared" si="9"/>
        <v>33580</v>
      </c>
      <c r="R28" s="639">
        <v>-8000</v>
      </c>
      <c r="S28" s="639">
        <f t="shared" si="8"/>
        <v>25580</v>
      </c>
      <c r="T28" s="262"/>
      <c r="U28" s="314"/>
      <c r="V28" s="314">
        <f t="shared" si="4"/>
        <v>-8000</v>
      </c>
      <c r="W28" s="314">
        <f t="shared" si="2"/>
        <v>-8000</v>
      </c>
    </row>
    <row r="29" spans="2:23" ht="12.75">
      <c r="B29" s="131">
        <f t="shared" si="5"/>
        <v>21</v>
      </c>
      <c r="C29" s="40"/>
      <c r="D29" s="14"/>
      <c r="E29" s="547" t="s">
        <v>381</v>
      </c>
      <c r="F29" s="306"/>
      <c r="G29" s="304"/>
      <c r="H29" s="335"/>
      <c r="I29" s="304"/>
      <c r="J29" s="634"/>
      <c r="K29" s="634"/>
      <c r="L29" s="634">
        <f t="shared" si="0"/>
        <v>0</v>
      </c>
      <c r="M29" s="161"/>
      <c r="N29" s="388">
        <v>2618</v>
      </c>
      <c r="O29" s="696"/>
      <c r="P29" s="353">
        <v>1950000</v>
      </c>
      <c r="Q29" s="639">
        <f t="shared" si="9"/>
        <v>1952618</v>
      </c>
      <c r="R29" s="639"/>
      <c r="S29" s="639">
        <f t="shared" si="8"/>
        <v>1952618</v>
      </c>
      <c r="T29" s="262"/>
      <c r="U29" s="314"/>
      <c r="V29" s="314">
        <f t="shared" si="4"/>
        <v>0</v>
      </c>
      <c r="W29" s="314">
        <f t="shared" si="2"/>
        <v>0</v>
      </c>
    </row>
    <row r="30" spans="2:23" ht="12.75">
      <c r="B30" s="131">
        <f t="shared" si="5"/>
        <v>22</v>
      </c>
      <c r="C30" s="40"/>
      <c r="D30" s="14"/>
      <c r="E30" s="145" t="s">
        <v>397</v>
      </c>
      <c r="F30" s="306"/>
      <c r="G30" s="304"/>
      <c r="H30" s="335"/>
      <c r="I30" s="304"/>
      <c r="J30" s="634"/>
      <c r="K30" s="634"/>
      <c r="L30" s="634">
        <f t="shared" si="0"/>
        <v>0</v>
      </c>
      <c r="M30" s="161"/>
      <c r="N30" s="388"/>
      <c r="O30" s="696"/>
      <c r="P30" s="353">
        <v>323382</v>
      </c>
      <c r="Q30" s="639">
        <f t="shared" si="9"/>
        <v>323382</v>
      </c>
      <c r="R30" s="639"/>
      <c r="S30" s="639">
        <f t="shared" si="8"/>
        <v>323382</v>
      </c>
      <c r="T30" s="262"/>
      <c r="U30" s="314"/>
      <c r="V30" s="314">
        <f t="shared" si="4"/>
        <v>0</v>
      </c>
      <c r="W30" s="314">
        <f t="shared" si="2"/>
        <v>0</v>
      </c>
    </row>
    <row r="31" spans="2:23" ht="12.75">
      <c r="B31" s="131">
        <f t="shared" si="5"/>
        <v>23</v>
      </c>
      <c r="C31" s="40"/>
      <c r="D31" s="14"/>
      <c r="E31" s="145" t="s">
        <v>343</v>
      </c>
      <c r="F31" s="306"/>
      <c r="G31" s="304"/>
      <c r="H31" s="335"/>
      <c r="I31" s="304"/>
      <c r="J31" s="634"/>
      <c r="K31" s="634"/>
      <c r="L31" s="634">
        <f t="shared" si="0"/>
        <v>0</v>
      </c>
      <c r="M31" s="161"/>
      <c r="N31" s="388">
        <v>7100</v>
      </c>
      <c r="O31" s="696"/>
      <c r="P31" s="353">
        <v>63400</v>
      </c>
      <c r="Q31" s="639">
        <f t="shared" si="9"/>
        <v>70500</v>
      </c>
      <c r="R31" s="639"/>
      <c r="S31" s="639">
        <f t="shared" si="8"/>
        <v>70500</v>
      </c>
      <c r="T31" s="262"/>
      <c r="U31" s="314"/>
      <c r="V31" s="314">
        <f t="shared" si="4"/>
        <v>0</v>
      </c>
      <c r="W31" s="314">
        <f t="shared" si="2"/>
        <v>0</v>
      </c>
    </row>
    <row r="32" spans="2:23" ht="12.75">
      <c r="B32" s="131">
        <f t="shared" si="5"/>
        <v>24</v>
      </c>
      <c r="C32" s="40"/>
      <c r="D32" s="14"/>
      <c r="E32" s="145" t="s">
        <v>457</v>
      </c>
      <c r="F32" s="306"/>
      <c r="G32" s="304"/>
      <c r="H32" s="335"/>
      <c r="I32" s="304"/>
      <c r="J32" s="634"/>
      <c r="K32" s="634"/>
      <c r="L32" s="634">
        <f t="shared" si="0"/>
        <v>0</v>
      </c>
      <c r="M32" s="161"/>
      <c r="N32" s="388"/>
      <c r="O32" s="696"/>
      <c r="P32" s="353"/>
      <c r="Q32" s="639"/>
      <c r="R32" s="639">
        <v>10500</v>
      </c>
      <c r="S32" s="639">
        <f t="shared" si="8"/>
        <v>10500</v>
      </c>
      <c r="T32" s="262"/>
      <c r="U32" s="314"/>
      <c r="V32" s="314">
        <f t="shared" si="4"/>
        <v>10500</v>
      </c>
      <c r="W32" s="314">
        <f t="shared" si="2"/>
        <v>10500</v>
      </c>
    </row>
    <row r="33" spans="2:23" ht="12.75">
      <c r="B33" s="131">
        <f t="shared" si="5"/>
        <v>25</v>
      </c>
      <c r="C33" s="40"/>
      <c r="D33" s="14"/>
      <c r="E33" s="145" t="s">
        <v>466</v>
      </c>
      <c r="F33" s="306"/>
      <c r="G33" s="304"/>
      <c r="H33" s="335"/>
      <c r="I33" s="304"/>
      <c r="J33" s="634"/>
      <c r="K33" s="634"/>
      <c r="L33" s="634">
        <f t="shared" si="0"/>
        <v>0</v>
      </c>
      <c r="M33" s="161"/>
      <c r="N33" s="388"/>
      <c r="O33" s="696"/>
      <c r="P33" s="353"/>
      <c r="Q33" s="639"/>
      <c r="R33" s="639"/>
      <c r="S33" s="639">
        <f t="shared" si="8"/>
        <v>0</v>
      </c>
      <c r="T33" s="262"/>
      <c r="U33" s="314"/>
      <c r="V33" s="314">
        <f t="shared" si="4"/>
        <v>0</v>
      </c>
      <c r="W33" s="314">
        <f t="shared" si="2"/>
        <v>0</v>
      </c>
    </row>
    <row r="34" spans="2:23" ht="12.75">
      <c r="B34" s="131">
        <f t="shared" si="5"/>
        <v>26</v>
      </c>
      <c r="C34" s="40"/>
      <c r="D34" s="14"/>
      <c r="E34" s="145"/>
      <c r="F34" s="306"/>
      <c r="G34" s="304"/>
      <c r="H34" s="335"/>
      <c r="I34" s="304"/>
      <c r="J34" s="634"/>
      <c r="K34" s="634"/>
      <c r="L34" s="634">
        <f t="shared" si="0"/>
        <v>0</v>
      </c>
      <c r="M34" s="161"/>
      <c r="N34" s="706"/>
      <c r="O34" s="700"/>
      <c r="P34" s="353"/>
      <c r="Q34" s="639"/>
      <c r="R34" s="639"/>
      <c r="S34" s="639">
        <f t="shared" si="8"/>
        <v>0</v>
      </c>
      <c r="T34" s="262"/>
      <c r="U34" s="314"/>
      <c r="V34" s="314">
        <f t="shared" si="4"/>
        <v>0</v>
      </c>
      <c r="W34" s="314">
        <f t="shared" si="2"/>
        <v>0</v>
      </c>
    </row>
    <row r="35" spans="2:23" ht="15">
      <c r="B35" s="131">
        <f t="shared" si="5"/>
        <v>27</v>
      </c>
      <c r="C35" s="42">
        <v>3</v>
      </c>
      <c r="D35" s="38" t="s">
        <v>176</v>
      </c>
      <c r="E35" s="39"/>
      <c r="F35" s="163">
        <f>F36+F37+F39+F44+F49+F50+F51+F52+F53</f>
        <v>802013</v>
      </c>
      <c r="G35" s="163">
        <f>G36+G37+G39+G44+G49+G50+G51+G52+G53</f>
        <v>281664</v>
      </c>
      <c r="H35" s="163">
        <f>H36+H37+H39+H44+H49+H50+H51+H52+H53</f>
        <v>179639</v>
      </c>
      <c r="I35" s="163">
        <f>I36+I37+I39+I44+I49+I50+I51+I52+I53</f>
        <v>259314</v>
      </c>
      <c r="J35" s="635">
        <f t="shared" si="3"/>
        <v>1522630</v>
      </c>
      <c r="K35" s="949">
        <f>K39</f>
        <v>0</v>
      </c>
      <c r="L35" s="741">
        <f t="shared" si="0"/>
        <v>1522630</v>
      </c>
      <c r="M35" s="264"/>
      <c r="N35" s="164">
        <f>N36+N37+N39+N44+N49+N50+N51+N52+N53</f>
        <v>0</v>
      </c>
      <c r="O35" s="164">
        <f>O36+O37+O39+O44+O49+O50+O51+O52+O53</f>
        <v>0</v>
      </c>
      <c r="P35" s="164">
        <f>P36+P37+P39+P44+P49+P50+P51+P52+P53</f>
        <v>2246</v>
      </c>
      <c r="Q35" s="659">
        <f aca="true" t="shared" si="10" ref="Q35:Q56">SUM(N35:P35)</f>
        <v>2246</v>
      </c>
      <c r="R35" s="938">
        <f>R39</f>
        <v>-500</v>
      </c>
      <c r="S35" s="765">
        <f t="shared" si="8"/>
        <v>1746</v>
      </c>
      <c r="T35" s="191"/>
      <c r="U35" s="754">
        <f>J35+Q35</f>
        <v>1524876</v>
      </c>
      <c r="V35" s="942">
        <f t="shared" si="4"/>
        <v>-500</v>
      </c>
      <c r="W35" s="771">
        <f t="shared" si="2"/>
        <v>1524376</v>
      </c>
    </row>
    <row r="36" spans="2:23" ht="12.75">
      <c r="B36" s="131">
        <f t="shared" si="5"/>
        <v>28</v>
      </c>
      <c r="C36" s="136"/>
      <c r="D36" s="54"/>
      <c r="E36" s="317" t="s">
        <v>306</v>
      </c>
      <c r="F36" s="337">
        <v>6400</v>
      </c>
      <c r="G36" s="338">
        <v>2250</v>
      </c>
      <c r="H36" s="339">
        <f>980-102</f>
        <v>878</v>
      </c>
      <c r="I36" s="338">
        <v>102</v>
      </c>
      <c r="J36" s="633">
        <f t="shared" si="3"/>
        <v>9630</v>
      </c>
      <c r="K36" s="633"/>
      <c r="L36" s="633">
        <f t="shared" si="0"/>
        <v>9630</v>
      </c>
      <c r="M36" s="36"/>
      <c r="N36" s="707"/>
      <c r="O36" s="701"/>
      <c r="P36" s="347"/>
      <c r="Q36" s="638">
        <f t="shared" si="10"/>
        <v>0</v>
      </c>
      <c r="R36" s="638"/>
      <c r="S36" s="638">
        <f t="shared" si="8"/>
        <v>0</v>
      </c>
      <c r="T36" s="174"/>
      <c r="U36" s="316">
        <f>J36+Q36</f>
        <v>9630</v>
      </c>
      <c r="V36" s="316">
        <f t="shared" si="4"/>
        <v>0</v>
      </c>
      <c r="W36" s="316">
        <f t="shared" si="2"/>
        <v>9630</v>
      </c>
    </row>
    <row r="37" spans="2:23" ht="12.75">
      <c r="B37" s="131">
        <f t="shared" si="5"/>
        <v>29</v>
      </c>
      <c r="C37" s="40"/>
      <c r="D37" s="54"/>
      <c r="E37" s="317" t="s">
        <v>307</v>
      </c>
      <c r="F37" s="337">
        <f>324850+2143-80</f>
        <v>326913</v>
      </c>
      <c r="G37" s="338">
        <f>114300+775-651+32</f>
        <v>114456</v>
      </c>
      <c r="H37" s="338">
        <f>24500+24532-1011+291</f>
        <v>48312</v>
      </c>
      <c r="I37" s="338">
        <f>1742-32-291</f>
        <v>1419</v>
      </c>
      <c r="J37" s="633">
        <f t="shared" si="3"/>
        <v>491100</v>
      </c>
      <c r="K37" s="633"/>
      <c r="L37" s="633">
        <f t="shared" si="0"/>
        <v>491100</v>
      </c>
      <c r="M37" s="36"/>
      <c r="N37" s="707"/>
      <c r="O37" s="701"/>
      <c r="P37" s="347"/>
      <c r="Q37" s="638">
        <f t="shared" si="10"/>
        <v>0</v>
      </c>
      <c r="R37" s="638"/>
      <c r="S37" s="638">
        <f t="shared" si="8"/>
        <v>0</v>
      </c>
      <c r="T37" s="174"/>
      <c r="U37" s="316">
        <f>J37+Q37</f>
        <v>491100</v>
      </c>
      <c r="V37" s="316">
        <f t="shared" si="4"/>
        <v>0</v>
      </c>
      <c r="W37" s="316">
        <f t="shared" si="2"/>
        <v>491100</v>
      </c>
    </row>
    <row r="38" spans="2:23" ht="12.75">
      <c r="B38" s="131">
        <f t="shared" si="5"/>
        <v>30</v>
      </c>
      <c r="C38" s="40"/>
      <c r="D38" s="14"/>
      <c r="E38" s="152"/>
      <c r="F38" s="334"/>
      <c r="G38" s="335"/>
      <c r="H38" s="336"/>
      <c r="I38" s="335"/>
      <c r="J38" s="634"/>
      <c r="K38" s="634"/>
      <c r="L38" s="634">
        <f t="shared" si="0"/>
        <v>0</v>
      </c>
      <c r="M38" s="36"/>
      <c r="N38" s="388"/>
      <c r="O38" s="696"/>
      <c r="P38" s="353"/>
      <c r="Q38" s="639">
        <f t="shared" si="10"/>
        <v>0</v>
      </c>
      <c r="R38" s="639"/>
      <c r="S38" s="639">
        <f t="shared" si="8"/>
        <v>0</v>
      </c>
      <c r="T38" s="174"/>
      <c r="U38" s="314"/>
      <c r="V38" s="314">
        <f t="shared" si="4"/>
        <v>0</v>
      </c>
      <c r="W38" s="314">
        <f t="shared" si="2"/>
        <v>0</v>
      </c>
    </row>
    <row r="39" spans="2:23" ht="12.75">
      <c r="B39" s="131">
        <f t="shared" si="5"/>
        <v>31</v>
      </c>
      <c r="C39" s="40"/>
      <c r="D39" s="14"/>
      <c r="E39" s="317" t="s">
        <v>142</v>
      </c>
      <c r="F39" s="337">
        <v>419000</v>
      </c>
      <c r="G39" s="338">
        <v>147490</v>
      </c>
      <c r="H39" s="338">
        <f>73400+6000+36000-291</f>
        <v>115109</v>
      </c>
      <c r="I39" s="338">
        <v>291</v>
      </c>
      <c r="J39" s="633">
        <f t="shared" si="3"/>
        <v>681890</v>
      </c>
      <c r="K39" s="633">
        <f>SUM(K40:K43)</f>
        <v>0</v>
      </c>
      <c r="L39" s="633">
        <f t="shared" si="0"/>
        <v>681890</v>
      </c>
      <c r="M39" s="36"/>
      <c r="N39" s="707"/>
      <c r="O39" s="701"/>
      <c r="P39" s="347">
        <f>SUM(P40:P42)</f>
        <v>2246</v>
      </c>
      <c r="Q39" s="638">
        <f t="shared" si="10"/>
        <v>2246</v>
      </c>
      <c r="R39" s="638">
        <f>SUM(R40:R42)</f>
        <v>-500</v>
      </c>
      <c r="S39" s="638">
        <f t="shared" si="8"/>
        <v>1746</v>
      </c>
      <c r="T39" s="174"/>
      <c r="U39" s="316">
        <f>J39+Q39</f>
        <v>684136</v>
      </c>
      <c r="V39" s="316">
        <f t="shared" si="4"/>
        <v>-500</v>
      </c>
      <c r="W39" s="316">
        <f t="shared" si="2"/>
        <v>683636</v>
      </c>
    </row>
    <row r="40" spans="2:23" ht="12.75">
      <c r="B40" s="131">
        <f t="shared" si="5"/>
        <v>32</v>
      </c>
      <c r="C40" s="137"/>
      <c r="D40" s="14"/>
      <c r="E40" s="152" t="s">
        <v>246</v>
      </c>
      <c r="F40" s="334"/>
      <c r="G40" s="335"/>
      <c r="H40" s="336"/>
      <c r="I40" s="335"/>
      <c r="J40" s="634"/>
      <c r="K40" s="634"/>
      <c r="L40" s="634">
        <f t="shared" si="0"/>
        <v>0</v>
      </c>
      <c r="M40" s="36"/>
      <c r="N40" s="388"/>
      <c r="O40" s="696"/>
      <c r="P40" s="353"/>
      <c r="Q40" s="639">
        <f t="shared" si="10"/>
        <v>0</v>
      </c>
      <c r="R40" s="639"/>
      <c r="S40" s="639">
        <f t="shared" si="8"/>
        <v>0</v>
      </c>
      <c r="T40" s="174"/>
      <c r="U40" s="314"/>
      <c r="V40" s="314">
        <f t="shared" si="4"/>
        <v>0</v>
      </c>
      <c r="W40" s="314">
        <f t="shared" si="2"/>
        <v>0</v>
      </c>
    </row>
    <row r="41" spans="2:23" ht="12.75">
      <c r="B41" s="131">
        <f t="shared" si="5"/>
        <v>33</v>
      </c>
      <c r="C41" s="40"/>
      <c r="D41" s="14"/>
      <c r="E41" s="145" t="s">
        <v>202</v>
      </c>
      <c r="F41" s="334"/>
      <c r="G41" s="335"/>
      <c r="H41" s="336"/>
      <c r="I41" s="335"/>
      <c r="J41" s="634">
        <f t="shared" si="3"/>
        <v>0</v>
      </c>
      <c r="K41" s="634"/>
      <c r="L41" s="634">
        <f aca="true" t="shared" si="11" ref="L41:L70">J41+K41</f>
        <v>0</v>
      </c>
      <c r="M41" s="36"/>
      <c r="N41" s="388"/>
      <c r="O41" s="696"/>
      <c r="P41" s="353"/>
      <c r="Q41" s="639">
        <f t="shared" si="10"/>
        <v>0</v>
      </c>
      <c r="R41" s="639"/>
      <c r="S41" s="639">
        <f t="shared" si="8"/>
        <v>0</v>
      </c>
      <c r="T41" s="174"/>
      <c r="U41" s="314">
        <f>J41+Q41</f>
        <v>0</v>
      </c>
      <c r="V41" s="314">
        <f t="shared" si="4"/>
        <v>0</v>
      </c>
      <c r="W41" s="314">
        <f aca="true" t="shared" si="12" ref="W41:W70">U41+V41</f>
        <v>0</v>
      </c>
    </row>
    <row r="42" spans="2:23" ht="12.75">
      <c r="B42" s="131">
        <f t="shared" si="5"/>
        <v>34</v>
      </c>
      <c r="C42" s="40"/>
      <c r="D42" s="14"/>
      <c r="E42" s="547" t="s">
        <v>380</v>
      </c>
      <c r="F42" s="334"/>
      <c r="G42" s="335"/>
      <c r="H42" s="336"/>
      <c r="I42" s="335"/>
      <c r="J42" s="634"/>
      <c r="K42" s="634"/>
      <c r="L42" s="634">
        <f t="shared" si="11"/>
        <v>0</v>
      </c>
      <c r="M42" s="36"/>
      <c r="N42" s="388"/>
      <c r="O42" s="696"/>
      <c r="P42" s="353">
        <v>2246</v>
      </c>
      <c r="Q42" s="639">
        <f t="shared" si="10"/>
        <v>2246</v>
      </c>
      <c r="R42" s="639">
        <v>-500</v>
      </c>
      <c r="S42" s="639">
        <f t="shared" si="8"/>
        <v>1746</v>
      </c>
      <c r="T42" s="174"/>
      <c r="U42" s="314">
        <f>J42+Q42</f>
        <v>2246</v>
      </c>
      <c r="V42" s="314">
        <f t="shared" si="4"/>
        <v>-500</v>
      </c>
      <c r="W42" s="314">
        <f t="shared" si="12"/>
        <v>1746</v>
      </c>
    </row>
    <row r="43" spans="2:23" ht="12.75">
      <c r="B43" s="131">
        <f t="shared" si="5"/>
        <v>35</v>
      </c>
      <c r="C43" s="40"/>
      <c r="D43" s="14"/>
      <c r="E43" s="145" t="s">
        <v>466</v>
      </c>
      <c r="F43" s="334"/>
      <c r="G43" s="335"/>
      <c r="H43" s="336"/>
      <c r="I43" s="335"/>
      <c r="J43" s="634"/>
      <c r="K43" s="634"/>
      <c r="L43" s="634">
        <f t="shared" si="11"/>
        <v>0</v>
      </c>
      <c r="M43" s="36"/>
      <c r="N43" s="388"/>
      <c r="O43" s="696"/>
      <c r="P43" s="353"/>
      <c r="Q43" s="639"/>
      <c r="R43" s="639"/>
      <c r="S43" s="639">
        <f t="shared" si="8"/>
        <v>0</v>
      </c>
      <c r="T43" s="174"/>
      <c r="U43" s="314">
        <f>J43+Q43</f>
        <v>0</v>
      </c>
      <c r="V43" s="314"/>
      <c r="W43" s="314">
        <f t="shared" si="12"/>
        <v>0</v>
      </c>
    </row>
    <row r="44" spans="2:23" ht="12.75">
      <c r="B44" s="131">
        <f t="shared" si="5"/>
        <v>36</v>
      </c>
      <c r="C44" s="40"/>
      <c r="D44" s="14"/>
      <c r="E44" s="317" t="s">
        <v>205</v>
      </c>
      <c r="F44" s="337">
        <v>49700</v>
      </c>
      <c r="G44" s="338">
        <f>17500-32</f>
        <v>17468</v>
      </c>
      <c r="H44" s="338">
        <f>14340+1000</f>
        <v>15340</v>
      </c>
      <c r="I44" s="338">
        <f>3900+32</f>
        <v>3932</v>
      </c>
      <c r="J44" s="633">
        <f t="shared" si="3"/>
        <v>86440</v>
      </c>
      <c r="K44" s="633"/>
      <c r="L44" s="633">
        <f t="shared" si="11"/>
        <v>86440</v>
      </c>
      <c r="M44" s="36"/>
      <c r="N44" s="707"/>
      <c r="O44" s="701"/>
      <c r="P44" s="347">
        <f>SUM(P45:P48)</f>
        <v>0</v>
      </c>
      <c r="Q44" s="638">
        <f t="shared" si="10"/>
        <v>0</v>
      </c>
      <c r="R44" s="638"/>
      <c r="S44" s="638">
        <f t="shared" si="8"/>
        <v>0</v>
      </c>
      <c r="T44" s="174"/>
      <c r="U44" s="316">
        <f>J44+Q44</f>
        <v>86440</v>
      </c>
      <c r="V44" s="316">
        <f aca="true" t="shared" si="13" ref="V44:V70">K44+R44</f>
        <v>0</v>
      </c>
      <c r="W44" s="316">
        <f t="shared" si="12"/>
        <v>86440</v>
      </c>
    </row>
    <row r="45" spans="2:23" ht="12.75">
      <c r="B45" s="131">
        <f t="shared" si="5"/>
        <v>37</v>
      </c>
      <c r="C45" s="137"/>
      <c r="D45" s="14"/>
      <c r="E45" s="152" t="s">
        <v>246</v>
      </c>
      <c r="F45" s="334"/>
      <c r="G45" s="335"/>
      <c r="H45" s="336"/>
      <c r="I45" s="335"/>
      <c r="J45" s="634"/>
      <c r="K45" s="634"/>
      <c r="L45" s="634">
        <f t="shared" si="11"/>
        <v>0</v>
      </c>
      <c r="M45" s="36"/>
      <c r="N45" s="388"/>
      <c r="O45" s="696"/>
      <c r="P45" s="353"/>
      <c r="Q45" s="639">
        <f t="shared" si="10"/>
        <v>0</v>
      </c>
      <c r="R45" s="639"/>
      <c r="S45" s="639">
        <f t="shared" si="8"/>
        <v>0</v>
      </c>
      <c r="T45" s="174"/>
      <c r="U45" s="314"/>
      <c r="V45" s="314">
        <f t="shared" si="13"/>
        <v>0</v>
      </c>
      <c r="W45" s="314">
        <f t="shared" si="12"/>
        <v>0</v>
      </c>
    </row>
    <row r="46" spans="2:23" ht="12.75">
      <c r="B46" s="131">
        <f t="shared" si="5"/>
        <v>38</v>
      </c>
      <c r="C46" s="40"/>
      <c r="D46" s="14"/>
      <c r="E46" s="145" t="s">
        <v>202</v>
      </c>
      <c r="F46" s="334"/>
      <c r="G46" s="335"/>
      <c r="H46" s="336"/>
      <c r="I46" s="335"/>
      <c r="J46" s="634"/>
      <c r="K46" s="634"/>
      <c r="L46" s="634">
        <f t="shared" si="11"/>
        <v>0</v>
      </c>
      <c r="M46" s="36"/>
      <c r="N46" s="388"/>
      <c r="O46" s="696"/>
      <c r="P46" s="353"/>
      <c r="Q46" s="639">
        <f t="shared" si="10"/>
        <v>0</v>
      </c>
      <c r="R46" s="639"/>
      <c r="S46" s="639">
        <f t="shared" si="8"/>
        <v>0</v>
      </c>
      <c r="T46" s="174"/>
      <c r="U46" s="314">
        <f>J46+Q46</f>
        <v>0</v>
      </c>
      <c r="V46" s="314">
        <f t="shared" si="13"/>
        <v>0</v>
      </c>
      <c r="W46" s="314">
        <f t="shared" si="12"/>
        <v>0</v>
      </c>
    </row>
    <row r="47" spans="2:23" ht="12.75">
      <c r="B47" s="131">
        <f t="shared" si="5"/>
        <v>39</v>
      </c>
      <c r="C47" s="29"/>
      <c r="D47" s="14"/>
      <c r="E47" s="324" t="s">
        <v>139</v>
      </c>
      <c r="F47" s="334"/>
      <c r="G47" s="335"/>
      <c r="H47" s="336">
        <v>340</v>
      </c>
      <c r="I47" s="335"/>
      <c r="J47" s="634">
        <f t="shared" si="3"/>
        <v>340</v>
      </c>
      <c r="K47" s="634"/>
      <c r="L47" s="634">
        <f t="shared" si="11"/>
        <v>340</v>
      </c>
      <c r="M47" s="36"/>
      <c r="N47" s="388"/>
      <c r="O47" s="696"/>
      <c r="P47" s="353"/>
      <c r="Q47" s="639">
        <f t="shared" si="10"/>
        <v>0</v>
      </c>
      <c r="R47" s="639"/>
      <c r="S47" s="639">
        <f t="shared" si="8"/>
        <v>0</v>
      </c>
      <c r="T47" s="174"/>
      <c r="U47" s="314">
        <f>J47+Q47</f>
        <v>340</v>
      </c>
      <c r="V47" s="314">
        <f t="shared" si="13"/>
        <v>0</v>
      </c>
      <c r="W47" s="314">
        <f t="shared" si="12"/>
        <v>340</v>
      </c>
    </row>
    <row r="48" spans="2:23" ht="12.75">
      <c r="B48" s="131">
        <f t="shared" si="5"/>
        <v>40</v>
      </c>
      <c r="C48" s="29"/>
      <c r="D48" s="14"/>
      <c r="E48" s="154"/>
      <c r="F48" s="334"/>
      <c r="G48" s="335"/>
      <c r="H48" s="336"/>
      <c r="I48" s="335"/>
      <c r="J48" s="634">
        <f t="shared" si="3"/>
        <v>0</v>
      </c>
      <c r="K48" s="634"/>
      <c r="L48" s="634">
        <f t="shared" si="11"/>
        <v>0</v>
      </c>
      <c r="M48" s="36"/>
      <c r="N48" s="388"/>
      <c r="O48" s="696"/>
      <c r="P48" s="353"/>
      <c r="Q48" s="639">
        <f t="shared" si="10"/>
        <v>0</v>
      </c>
      <c r="R48" s="639"/>
      <c r="S48" s="639">
        <f t="shared" si="8"/>
        <v>0</v>
      </c>
      <c r="T48" s="174"/>
      <c r="U48" s="314"/>
      <c r="V48" s="314">
        <f t="shared" si="13"/>
        <v>0</v>
      </c>
      <c r="W48" s="314">
        <f t="shared" si="12"/>
        <v>0</v>
      </c>
    </row>
    <row r="49" spans="2:23" ht="12.75">
      <c r="B49" s="131">
        <f t="shared" si="5"/>
        <v>41</v>
      </c>
      <c r="C49" s="29"/>
      <c r="D49" s="14"/>
      <c r="E49" s="320" t="s">
        <v>267</v>
      </c>
      <c r="F49" s="357"/>
      <c r="G49" s="358"/>
      <c r="H49" s="359"/>
      <c r="I49" s="358">
        <v>29740</v>
      </c>
      <c r="J49" s="633">
        <f t="shared" si="3"/>
        <v>29740</v>
      </c>
      <c r="K49" s="633"/>
      <c r="L49" s="633">
        <f t="shared" si="11"/>
        <v>29740</v>
      </c>
      <c r="M49" s="36"/>
      <c r="N49" s="705"/>
      <c r="O49" s="697"/>
      <c r="P49" s="368"/>
      <c r="Q49" s="673">
        <f t="shared" si="10"/>
        <v>0</v>
      </c>
      <c r="R49" s="673"/>
      <c r="S49" s="673">
        <f t="shared" si="8"/>
        <v>0</v>
      </c>
      <c r="T49" s="174"/>
      <c r="U49" s="318">
        <f>J49+Q49</f>
        <v>29740</v>
      </c>
      <c r="V49" s="318">
        <f t="shared" si="13"/>
        <v>0</v>
      </c>
      <c r="W49" s="318">
        <f t="shared" si="12"/>
        <v>29740</v>
      </c>
    </row>
    <row r="50" spans="2:23" ht="12.75">
      <c r="B50" s="131">
        <f t="shared" si="5"/>
        <v>42</v>
      </c>
      <c r="C50" s="135"/>
      <c r="D50" s="14"/>
      <c r="E50" s="320" t="s">
        <v>212</v>
      </c>
      <c r="F50" s="357"/>
      <c r="G50" s="358"/>
      <c r="H50" s="359"/>
      <c r="I50" s="358">
        <v>23895</v>
      </c>
      <c r="J50" s="633">
        <f t="shared" si="3"/>
        <v>23895</v>
      </c>
      <c r="K50" s="633"/>
      <c r="L50" s="633">
        <f t="shared" si="11"/>
        <v>23895</v>
      </c>
      <c r="M50" s="36"/>
      <c r="N50" s="705"/>
      <c r="O50" s="697"/>
      <c r="P50" s="368"/>
      <c r="Q50" s="673">
        <f t="shared" si="10"/>
        <v>0</v>
      </c>
      <c r="R50" s="673"/>
      <c r="S50" s="673">
        <f t="shared" si="8"/>
        <v>0</v>
      </c>
      <c r="T50" s="174"/>
      <c r="U50" s="318">
        <f>J50+Q50</f>
        <v>23895</v>
      </c>
      <c r="V50" s="318">
        <f t="shared" si="13"/>
        <v>0</v>
      </c>
      <c r="W50" s="318">
        <f t="shared" si="12"/>
        <v>23895</v>
      </c>
    </row>
    <row r="51" spans="2:23" ht="12.75">
      <c r="B51" s="131">
        <f t="shared" si="5"/>
        <v>43</v>
      </c>
      <c r="C51" s="135"/>
      <c r="D51" s="14"/>
      <c r="E51" s="320" t="s">
        <v>213</v>
      </c>
      <c r="F51" s="357"/>
      <c r="G51" s="358"/>
      <c r="H51" s="359"/>
      <c r="I51" s="358">
        <v>66985</v>
      </c>
      <c r="J51" s="633">
        <f t="shared" si="3"/>
        <v>66985</v>
      </c>
      <c r="K51" s="633"/>
      <c r="L51" s="633">
        <f t="shared" si="11"/>
        <v>66985</v>
      </c>
      <c r="M51" s="36"/>
      <c r="N51" s="705"/>
      <c r="O51" s="697"/>
      <c r="P51" s="368"/>
      <c r="Q51" s="673">
        <f t="shared" si="10"/>
        <v>0</v>
      </c>
      <c r="R51" s="673"/>
      <c r="S51" s="673">
        <f t="shared" si="8"/>
        <v>0</v>
      </c>
      <c r="T51" s="174"/>
      <c r="U51" s="318">
        <f>J51+Q51</f>
        <v>66985</v>
      </c>
      <c r="V51" s="318">
        <f t="shared" si="13"/>
        <v>0</v>
      </c>
      <c r="W51" s="318">
        <f t="shared" si="12"/>
        <v>66985</v>
      </c>
    </row>
    <row r="52" spans="2:23" ht="12.75">
      <c r="B52" s="131">
        <f t="shared" si="5"/>
        <v>44</v>
      </c>
      <c r="C52" s="135"/>
      <c r="D52" s="14"/>
      <c r="E52" s="320" t="s">
        <v>214</v>
      </c>
      <c r="F52" s="357"/>
      <c r="G52" s="358"/>
      <c r="H52" s="359"/>
      <c r="I52" s="358">
        <v>114730</v>
      </c>
      <c r="J52" s="633">
        <f t="shared" si="3"/>
        <v>114730</v>
      </c>
      <c r="K52" s="633"/>
      <c r="L52" s="633">
        <f t="shared" si="11"/>
        <v>114730</v>
      </c>
      <c r="M52" s="36"/>
      <c r="N52" s="705"/>
      <c r="O52" s="697"/>
      <c r="P52" s="368"/>
      <c r="Q52" s="673">
        <f t="shared" si="10"/>
        <v>0</v>
      </c>
      <c r="R52" s="673"/>
      <c r="S52" s="673">
        <f aca="true" t="shared" si="14" ref="S52:S70">Q52+R52</f>
        <v>0</v>
      </c>
      <c r="T52" s="174"/>
      <c r="U52" s="318">
        <f>J52+Q52</f>
        <v>114730</v>
      </c>
      <c r="V52" s="318">
        <f t="shared" si="13"/>
        <v>0</v>
      </c>
      <c r="W52" s="318">
        <f t="shared" si="12"/>
        <v>114730</v>
      </c>
    </row>
    <row r="53" spans="2:23" ht="12.75">
      <c r="B53" s="131">
        <f t="shared" si="5"/>
        <v>45</v>
      </c>
      <c r="C53" s="135"/>
      <c r="D53" s="14"/>
      <c r="E53" s="320" t="s">
        <v>215</v>
      </c>
      <c r="F53" s="357"/>
      <c r="G53" s="358"/>
      <c r="H53" s="359"/>
      <c r="I53" s="358">
        <v>18220</v>
      </c>
      <c r="J53" s="633">
        <f t="shared" si="3"/>
        <v>18220</v>
      </c>
      <c r="K53" s="633"/>
      <c r="L53" s="633">
        <f t="shared" si="11"/>
        <v>18220</v>
      </c>
      <c r="M53" s="36"/>
      <c r="N53" s="705"/>
      <c r="O53" s="697"/>
      <c r="P53" s="368"/>
      <c r="Q53" s="673">
        <f t="shared" si="10"/>
        <v>0</v>
      </c>
      <c r="R53" s="673"/>
      <c r="S53" s="673">
        <f t="shared" si="14"/>
        <v>0</v>
      </c>
      <c r="T53" s="174"/>
      <c r="U53" s="318">
        <f>J53+Q53</f>
        <v>18220</v>
      </c>
      <c r="V53" s="318">
        <f t="shared" si="13"/>
        <v>0</v>
      </c>
      <c r="W53" s="318">
        <f t="shared" si="12"/>
        <v>18220</v>
      </c>
    </row>
    <row r="54" spans="2:23" ht="12.75">
      <c r="B54" s="131">
        <f t="shared" si="5"/>
        <v>46</v>
      </c>
      <c r="C54" s="135"/>
      <c r="D54" s="14"/>
      <c r="E54" s="152"/>
      <c r="F54" s="334"/>
      <c r="G54" s="335"/>
      <c r="H54" s="336"/>
      <c r="I54" s="335"/>
      <c r="J54" s="634"/>
      <c r="K54" s="634"/>
      <c r="L54" s="634">
        <f t="shared" si="11"/>
        <v>0</v>
      </c>
      <c r="M54" s="36"/>
      <c r="N54" s="352"/>
      <c r="O54" s="500"/>
      <c r="P54" s="332"/>
      <c r="Q54" s="640">
        <f t="shared" si="10"/>
        <v>0</v>
      </c>
      <c r="R54" s="640"/>
      <c r="S54" s="640">
        <f t="shared" si="14"/>
        <v>0</v>
      </c>
      <c r="T54" s="174"/>
      <c r="U54" s="315"/>
      <c r="V54" s="315">
        <f t="shared" si="13"/>
        <v>0</v>
      </c>
      <c r="W54" s="315">
        <f t="shared" si="12"/>
        <v>0</v>
      </c>
    </row>
    <row r="55" spans="2:23" ht="15">
      <c r="B55" s="131">
        <f t="shared" si="5"/>
        <v>47</v>
      </c>
      <c r="C55" s="42">
        <v>4</v>
      </c>
      <c r="D55" s="43" t="s">
        <v>124</v>
      </c>
      <c r="E55" s="44"/>
      <c r="F55" s="158">
        <f>F56+F58+F60+F61+F62+F63</f>
        <v>472063</v>
      </c>
      <c r="G55" s="158">
        <f>G56+G58+G60+G61+G62+G63</f>
        <v>167771</v>
      </c>
      <c r="H55" s="158">
        <f>H56+H58+H60+H61+H62+H63</f>
        <v>182308</v>
      </c>
      <c r="I55" s="158">
        <f>SUM(I56:I63)</f>
        <v>85648</v>
      </c>
      <c r="J55" s="635">
        <f t="shared" si="3"/>
        <v>907790</v>
      </c>
      <c r="K55" s="949"/>
      <c r="L55" s="741">
        <f t="shared" si="11"/>
        <v>907790</v>
      </c>
      <c r="M55" s="264"/>
      <c r="N55" s="164">
        <f>SUM(N56:N65)</f>
        <v>0</v>
      </c>
      <c r="O55" s="164">
        <f>SUM(O56:O65)</f>
        <v>1000</v>
      </c>
      <c r="P55" s="164">
        <f>SUM(P56:P65)</f>
        <v>12150</v>
      </c>
      <c r="Q55" s="655">
        <f t="shared" si="10"/>
        <v>13150</v>
      </c>
      <c r="R55" s="939"/>
      <c r="S55" s="764">
        <f t="shared" si="14"/>
        <v>13150</v>
      </c>
      <c r="T55" s="191"/>
      <c r="U55" s="768">
        <f>J55+Q55</f>
        <v>920940</v>
      </c>
      <c r="V55" s="941">
        <f t="shared" si="13"/>
        <v>0</v>
      </c>
      <c r="W55" s="770">
        <f t="shared" si="12"/>
        <v>920940</v>
      </c>
    </row>
    <row r="56" spans="2:23" ht="12.75">
      <c r="B56" s="131">
        <f t="shared" si="5"/>
        <v>48</v>
      </c>
      <c r="C56" s="138"/>
      <c r="D56" s="2"/>
      <c r="E56" s="317" t="s">
        <v>309</v>
      </c>
      <c r="F56" s="360">
        <f>208610-17100</f>
        <v>191510</v>
      </c>
      <c r="G56" s="363">
        <f>73600-5900</f>
        <v>67700</v>
      </c>
      <c r="H56" s="364">
        <f>10090+5000-550</f>
        <v>14540</v>
      </c>
      <c r="I56" s="363">
        <v>550</v>
      </c>
      <c r="J56" s="633">
        <f t="shared" si="3"/>
        <v>274300</v>
      </c>
      <c r="K56" s="633"/>
      <c r="L56" s="633">
        <f t="shared" si="11"/>
        <v>274300</v>
      </c>
      <c r="M56" s="36"/>
      <c r="N56" s="705"/>
      <c r="O56" s="697"/>
      <c r="P56" s="368"/>
      <c r="Q56" s="673">
        <f t="shared" si="10"/>
        <v>0</v>
      </c>
      <c r="R56" s="673"/>
      <c r="S56" s="673">
        <f t="shared" si="14"/>
        <v>0</v>
      </c>
      <c r="T56" s="174"/>
      <c r="U56" s="318">
        <f>J56+Q56</f>
        <v>274300</v>
      </c>
      <c r="V56" s="318">
        <f t="shared" si="13"/>
        <v>0</v>
      </c>
      <c r="W56" s="318">
        <f t="shared" si="12"/>
        <v>274300</v>
      </c>
    </row>
    <row r="57" spans="2:23" ht="12.75">
      <c r="B57" s="131">
        <f t="shared" si="5"/>
        <v>49</v>
      </c>
      <c r="C57" s="40"/>
      <c r="D57" s="14"/>
      <c r="E57" s="152"/>
      <c r="F57" s="334"/>
      <c r="G57" s="335"/>
      <c r="H57" s="336"/>
      <c r="I57" s="335"/>
      <c r="J57" s="634"/>
      <c r="K57" s="634"/>
      <c r="L57" s="634">
        <f t="shared" si="11"/>
        <v>0</v>
      </c>
      <c r="M57" s="36"/>
      <c r="N57" s="388"/>
      <c r="O57" s="696"/>
      <c r="P57" s="353"/>
      <c r="Q57" s="639"/>
      <c r="R57" s="639"/>
      <c r="S57" s="639">
        <f t="shared" si="14"/>
        <v>0</v>
      </c>
      <c r="T57" s="174"/>
      <c r="U57" s="291"/>
      <c r="V57" s="291">
        <f t="shared" si="13"/>
        <v>0</v>
      </c>
      <c r="W57" s="291">
        <f t="shared" si="12"/>
        <v>0</v>
      </c>
    </row>
    <row r="58" spans="2:23" ht="12.75">
      <c r="B58" s="131">
        <f t="shared" si="5"/>
        <v>50</v>
      </c>
      <c r="C58" s="40"/>
      <c r="D58" s="2"/>
      <c r="E58" s="319" t="s">
        <v>308</v>
      </c>
      <c r="F58" s="360">
        <f>278500+7665-5612</f>
        <v>280553</v>
      </c>
      <c r="G58" s="363">
        <f>98030+2697-656</f>
        <v>100071</v>
      </c>
      <c r="H58" s="364">
        <f>21360+86653+59755</f>
        <v>167768</v>
      </c>
      <c r="I58" s="363">
        <f>91825-46187</f>
        <v>45638</v>
      </c>
      <c r="J58" s="633">
        <f t="shared" si="3"/>
        <v>594030</v>
      </c>
      <c r="K58" s="633"/>
      <c r="L58" s="633">
        <f t="shared" si="11"/>
        <v>594030</v>
      </c>
      <c r="M58" s="36"/>
      <c r="N58" s="372"/>
      <c r="O58" s="360"/>
      <c r="P58" s="363"/>
      <c r="Q58" s="673">
        <f>SUM(N58:P58)</f>
        <v>0</v>
      </c>
      <c r="R58" s="673"/>
      <c r="S58" s="673">
        <f t="shared" si="14"/>
        <v>0</v>
      </c>
      <c r="T58" s="174"/>
      <c r="U58" s="318">
        <f>J58+Q58</f>
        <v>594030</v>
      </c>
      <c r="V58" s="318">
        <f t="shared" si="13"/>
        <v>0</v>
      </c>
      <c r="W58" s="318">
        <f t="shared" si="12"/>
        <v>594030</v>
      </c>
    </row>
    <row r="59" spans="2:23" s="45" customFormat="1" ht="12.75">
      <c r="B59" s="131">
        <f t="shared" si="5"/>
        <v>51</v>
      </c>
      <c r="C59" s="40"/>
      <c r="D59" s="134"/>
      <c r="E59" s="152" t="s">
        <v>248</v>
      </c>
      <c r="F59" s="306"/>
      <c r="G59" s="304"/>
      <c r="H59" s="365"/>
      <c r="I59" s="304"/>
      <c r="J59" s="669"/>
      <c r="K59" s="669"/>
      <c r="L59" s="669">
        <f t="shared" si="11"/>
        <v>0</v>
      </c>
      <c r="M59" s="161"/>
      <c r="N59" s="706"/>
      <c r="O59" s="700"/>
      <c r="P59" s="370"/>
      <c r="Q59" s="675">
        <f>SUM(N59:P59)</f>
        <v>0</v>
      </c>
      <c r="R59" s="675"/>
      <c r="S59" s="675">
        <f t="shared" si="14"/>
        <v>0</v>
      </c>
      <c r="T59" s="262"/>
      <c r="U59" s="313"/>
      <c r="V59" s="313">
        <f t="shared" si="13"/>
        <v>0</v>
      </c>
      <c r="W59" s="313">
        <f t="shared" si="12"/>
        <v>0</v>
      </c>
    </row>
    <row r="60" spans="2:23" s="45" customFormat="1" ht="12.75">
      <c r="B60" s="131">
        <f t="shared" si="5"/>
        <v>52</v>
      </c>
      <c r="C60" s="40"/>
      <c r="D60" s="134"/>
      <c r="E60" s="322" t="s">
        <v>216</v>
      </c>
      <c r="F60" s="357"/>
      <c r="G60" s="358"/>
      <c r="H60" s="359"/>
      <c r="I60" s="358">
        <v>20725</v>
      </c>
      <c r="J60" s="633">
        <f t="shared" si="3"/>
        <v>20725</v>
      </c>
      <c r="K60" s="633"/>
      <c r="L60" s="633">
        <f t="shared" si="11"/>
        <v>20725</v>
      </c>
      <c r="M60" s="36"/>
      <c r="N60" s="708"/>
      <c r="O60" s="702"/>
      <c r="P60" s="368"/>
      <c r="Q60" s="673">
        <f>SUM(N60:P60)</f>
        <v>0</v>
      </c>
      <c r="R60" s="673"/>
      <c r="S60" s="673">
        <f t="shared" si="14"/>
        <v>0</v>
      </c>
      <c r="T60" s="262"/>
      <c r="U60" s="318">
        <f>J60+Q60</f>
        <v>20725</v>
      </c>
      <c r="V60" s="318">
        <f t="shared" si="13"/>
        <v>0</v>
      </c>
      <c r="W60" s="318">
        <f t="shared" si="12"/>
        <v>20725</v>
      </c>
    </row>
    <row r="61" spans="2:23" s="45" customFormat="1" ht="12.75">
      <c r="B61" s="131">
        <f t="shared" si="5"/>
        <v>53</v>
      </c>
      <c r="C61" s="40"/>
      <c r="D61" s="134"/>
      <c r="E61" s="322" t="s">
        <v>217</v>
      </c>
      <c r="F61" s="357"/>
      <c r="G61" s="358"/>
      <c r="H61" s="359"/>
      <c r="I61" s="358">
        <v>15910</v>
      </c>
      <c r="J61" s="633">
        <f t="shared" si="3"/>
        <v>15910</v>
      </c>
      <c r="K61" s="633"/>
      <c r="L61" s="633">
        <f t="shared" si="11"/>
        <v>15910</v>
      </c>
      <c r="M61" s="36"/>
      <c r="N61" s="708"/>
      <c r="O61" s="702"/>
      <c r="P61" s="368"/>
      <c r="Q61" s="673">
        <f>SUM(N61:P61)</f>
        <v>0</v>
      </c>
      <c r="R61" s="673"/>
      <c r="S61" s="673">
        <f t="shared" si="14"/>
        <v>0</v>
      </c>
      <c r="T61" s="262"/>
      <c r="U61" s="318">
        <f>J61+Q61</f>
        <v>15910</v>
      </c>
      <c r="V61" s="318">
        <f t="shared" si="13"/>
        <v>0</v>
      </c>
      <c r="W61" s="318">
        <f t="shared" si="12"/>
        <v>15910</v>
      </c>
    </row>
    <row r="62" spans="2:23" s="45" customFormat="1" ht="12.75">
      <c r="B62" s="131">
        <f t="shared" si="5"/>
        <v>54</v>
      </c>
      <c r="C62" s="40"/>
      <c r="D62" s="134"/>
      <c r="E62" s="322" t="s">
        <v>340</v>
      </c>
      <c r="F62" s="357"/>
      <c r="G62" s="358"/>
      <c r="H62" s="359"/>
      <c r="I62" s="358">
        <v>2095</v>
      </c>
      <c r="J62" s="633">
        <f t="shared" si="3"/>
        <v>2095</v>
      </c>
      <c r="K62" s="633"/>
      <c r="L62" s="633">
        <f t="shared" si="11"/>
        <v>2095</v>
      </c>
      <c r="M62" s="36"/>
      <c r="N62" s="708"/>
      <c r="O62" s="702"/>
      <c r="P62" s="368"/>
      <c r="Q62" s="673"/>
      <c r="R62" s="673"/>
      <c r="S62" s="673">
        <f t="shared" si="14"/>
        <v>0</v>
      </c>
      <c r="T62" s="262"/>
      <c r="U62" s="318"/>
      <c r="V62" s="318">
        <f t="shared" si="13"/>
        <v>0</v>
      </c>
      <c r="W62" s="318">
        <f t="shared" si="12"/>
        <v>0</v>
      </c>
    </row>
    <row r="63" spans="2:23" s="45" customFormat="1" ht="12.75">
      <c r="B63" s="131">
        <f>B61+1</f>
        <v>54</v>
      </c>
      <c r="C63" s="40"/>
      <c r="D63" s="134"/>
      <c r="E63" s="322" t="s">
        <v>341</v>
      </c>
      <c r="F63" s="357"/>
      <c r="G63" s="358"/>
      <c r="H63" s="359"/>
      <c r="I63" s="358">
        <v>730</v>
      </c>
      <c r="J63" s="633">
        <f t="shared" si="3"/>
        <v>730</v>
      </c>
      <c r="K63" s="633"/>
      <c r="L63" s="633">
        <f t="shared" si="11"/>
        <v>730</v>
      </c>
      <c r="M63" s="161"/>
      <c r="N63" s="709"/>
      <c r="O63" s="703"/>
      <c r="P63" s="363"/>
      <c r="Q63" s="674">
        <f>SUM(N63:P63)</f>
        <v>0</v>
      </c>
      <c r="R63" s="674"/>
      <c r="S63" s="674">
        <f t="shared" si="14"/>
        <v>0</v>
      </c>
      <c r="T63" s="262"/>
      <c r="U63" s="318">
        <f>J63+Q63</f>
        <v>730</v>
      </c>
      <c r="V63" s="318">
        <f t="shared" si="13"/>
        <v>0</v>
      </c>
      <c r="W63" s="318">
        <f t="shared" si="12"/>
        <v>730</v>
      </c>
    </row>
    <row r="64" spans="2:23" ht="12.75">
      <c r="B64" s="131">
        <f t="shared" si="5"/>
        <v>55</v>
      </c>
      <c r="C64" s="40"/>
      <c r="D64" s="14"/>
      <c r="E64" s="145" t="s">
        <v>434</v>
      </c>
      <c r="F64" s="306"/>
      <c r="G64" s="304"/>
      <c r="H64" s="335"/>
      <c r="I64" s="304"/>
      <c r="J64" s="634"/>
      <c r="K64" s="634"/>
      <c r="L64" s="634">
        <f t="shared" si="11"/>
        <v>0</v>
      </c>
      <c r="M64" s="161"/>
      <c r="N64" s="352"/>
      <c r="O64" s="500">
        <v>1000</v>
      </c>
      <c r="P64" s="332">
        <f>36000-23850</f>
        <v>12150</v>
      </c>
      <c r="Q64" s="640">
        <f>SUM(N64:P64)</f>
        <v>13150</v>
      </c>
      <c r="R64" s="640"/>
      <c r="S64" s="640">
        <f t="shared" si="14"/>
        <v>13150</v>
      </c>
      <c r="T64" s="262"/>
      <c r="U64" s="619"/>
      <c r="V64" s="619">
        <f t="shared" si="13"/>
        <v>0</v>
      </c>
      <c r="W64" s="619">
        <f t="shared" si="12"/>
        <v>0</v>
      </c>
    </row>
    <row r="65" spans="2:23" ht="12.75">
      <c r="B65" s="131">
        <f t="shared" si="5"/>
        <v>56</v>
      </c>
      <c r="C65" s="33"/>
      <c r="D65" s="14"/>
      <c r="E65" s="152"/>
      <c r="F65" s="334"/>
      <c r="G65" s="334"/>
      <c r="H65" s="361"/>
      <c r="I65" s="334"/>
      <c r="J65" s="634"/>
      <c r="K65" s="634"/>
      <c r="L65" s="634">
        <f t="shared" si="11"/>
        <v>0</v>
      </c>
      <c r="M65" s="36"/>
      <c r="N65" s="389"/>
      <c r="O65" s="501"/>
      <c r="P65" s="335"/>
      <c r="Q65" s="641"/>
      <c r="R65" s="641"/>
      <c r="S65" s="641">
        <f t="shared" si="14"/>
        <v>0</v>
      </c>
      <c r="T65" s="174"/>
      <c r="U65" s="399"/>
      <c r="V65" s="399">
        <f t="shared" si="13"/>
        <v>0</v>
      </c>
      <c r="W65" s="399">
        <f t="shared" si="12"/>
        <v>0</v>
      </c>
    </row>
    <row r="66" spans="2:23" ht="15">
      <c r="B66" s="131">
        <f t="shared" si="5"/>
        <v>57</v>
      </c>
      <c r="C66" s="42">
        <v>5</v>
      </c>
      <c r="D66" s="43" t="s">
        <v>206</v>
      </c>
      <c r="E66" s="44"/>
      <c r="F66" s="158">
        <f>F67+F68+F69+F70</f>
        <v>117060</v>
      </c>
      <c r="G66" s="158">
        <f>G67+G68+G69+G70</f>
        <v>41165</v>
      </c>
      <c r="H66" s="158">
        <f>H67+H68+H69+H70</f>
        <v>37632</v>
      </c>
      <c r="I66" s="158">
        <f>SUM(I67:I70)</f>
        <v>445</v>
      </c>
      <c r="J66" s="635">
        <f>SUM(F66:I66)</f>
        <v>196302</v>
      </c>
      <c r="K66" s="949"/>
      <c r="L66" s="741">
        <f t="shared" si="11"/>
        <v>196302</v>
      </c>
      <c r="M66" s="264"/>
      <c r="N66" s="162">
        <f>SUM(N67:N70)</f>
        <v>0</v>
      </c>
      <c r="O66" s="162">
        <f>SUM(O67:O70)</f>
        <v>0</v>
      </c>
      <c r="P66" s="162">
        <f>SUM(P67:P70)</f>
        <v>0</v>
      </c>
      <c r="Q66" s="655">
        <f>SUM(N66:P66)</f>
        <v>0</v>
      </c>
      <c r="R66" s="939"/>
      <c r="S66" s="764">
        <f t="shared" si="14"/>
        <v>0</v>
      </c>
      <c r="T66" s="191"/>
      <c r="U66" s="768">
        <f>J66+Q66</f>
        <v>196302</v>
      </c>
      <c r="V66" s="941">
        <f t="shared" si="13"/>
        <v>0</v>
      </c>
      <c r="W66" s="770">
        <f t="shared" si="12"/>
        <v>196302</v>
      </c>
    </row>
    <row r="67" spans="2:23" ht="12.75">
      <c r="B67" s="131">
        <f t="shared" si="5"/>
        <v>58</v>
      </c>
      <c r="C67" s="138"/>
      <c r="D67" s="2"/>
      <c r="E67" s="149" t="s">
        <v>97</v>
      </c>
      <c r="F67" s="331">
        <v>20160</v>
      </c>
      <c r="G67" s="332">
        <v>7045</v>
      </c>
      <c r="H67" s="333">
        <v>9962</v>
      </c>
      <c r="I67" s="332"/>
      <c r="J67" s="634">
        <f>SUM(F67:I67)</f>
        <v>37167</v>
      </c>
      <c r="K67" s="634"/>
      <c r="L67" s="634">
        <f t="shared" si="11"/>
        <v>37167</v>
      </c>
      <c r="M67" s="36"/>
      <c r="N67" s="388"/>
      <c r="O67" s="696"/>
      <c r="P67" s="353"/>
      <c r="Q67" s="639">
        <f>SUM(N67:P67)</f>
        <v>0</v>
      </c>
      <c r="R67" s="639"/>
      <c r="S67" s="639">
        <f t="shared" si="14"/>
        <v>0</v>
      </c>
      <c r="T67" s="174"/>
      <c r="U67" s="291">
        <f>J67+Q67</f>
        <v>37167</v>
      </c>
      <c r="V67" s="291">
        <f t="shared" si="13"/>
        <v>0</v>
      </c>
      <c r="W67" s="291">
        <f t="shared" si="12"/>
        <v>37167</v>
      </c>
    </row>
    <row r="68" spans="2:23" ht="12.75">
      <c r="B68" s="131">
        <f t="shared" si="5"/>
        <v>59</v>
      </c>
      <c r="C68" s="29"/>
      <c r="D68" s="14"/>
      <c r="E68" s="145" t="s">
        <v>207</v>
      </c>
      <c r="F68" s="334"/>
      <c r="G68" s="335"/>
      <c r="H68" s="336">
        <v>100</v>
      </c>
      <c r="I68" s="335"/>
      <c r="J68" s="634">
        <f>SUM(F68:I68)</f>
        <v>100</v>
      </c>
      <c r="K68" s="634"/>
      <c r="L68" s="634">
        <f t="shared" si="11"/>
        <v>100</v>
      </c>
      <c r="M68" s="36"/>
      <c r="N68" s="388"/>
      <c r="O68" s="696"/>
      <c r="P68" s="353"/>
      <c r="Q68" s="639">
        <f>SUM(N68:P68)</f>
        <v>0</v>
      </c>
      <c r="R68" s="639"/>
      <c r="S68" s="639">
        <f t="shared" si="14"/>
        <v>0</v>
      </c>
      <c r="T68" s="174"/>
      <c r="U68" s="291">
        <f>J68+Q68</f>
        <v>100</v>
      </c>
      <c r="V68" s="291">
        <f t="shared" si="13"/>
        <v>0</v>
      </c>
      <c r="W68" s="291">
        <f t="shared" si="12"/>
        <v>100</v>
      </c>
    </row>
    <row r="69" spans="2:23" ht="12.75" customHeight="1">
      <c r="B69" s="31">
        <f>B68+1</f>
        <v>60</v>
      </c>
      <c r="C69" s="40"/>
      <c r="D69" s="64"/>
      <c r="E69" s="321" t="s">
        <v>208</v>
      </c>
      <c r="F69" s="362"/>
      <c r="G69" s="353"/>
      <c r="H69" s="366"/>
      <c r="I69" s="353"/>
      <c r="J69" s="634">
        <f>SUM(F69:I69)</f>
        <v>0</v>
      </c>
      <c r="K69" s="634"/>
      <c r="L69" s="634">
        <f t="shared" si="11"/>
        <v>0</v>
      </c>
      <c r="M69" s="36"/>
      <c r="N69" s="388"/>
      <c r="O69" s="696"/>
      <c r="P69" s="353"/>
      <c r="Q69" s="639">
        <f>SUM(N69:P69)</f>
        <v>0</v>
      </c>
      <c r="R69" s="639"/>
      <c r="S69" s="639">
        <f t="shared" si="14"/>
        <v>0</v>
      </c>
      <c r="T69" s="174"/>
      <c r="U69" s="291">
        <f>J69+Q69</f>
        <v>0</v>
      </c>
      <c r="V69" s="291">
        <f t="shared" si="13"/>
        <v>0</v>
      </c>
      <c r="W69" s="291">
        <f t="shared" si="12"/>
        <v>0</v>
      </c>
    </row>
    <row r="70" spans="2:23" ht="13.5" thickBot="1">
      <c r="B70" s="141">
        <f>B69+1</f>
        <v>61</v>
      </c>
      <c r="C70" s="35"/>
      <c r="D70" s="55"/>
      <c r="E70" s="155" t="s">
        <v>209</v>
      </c>
      <c r="F70" s="354">
        <f>89500+7400</f>
        <v>96900</v>
      </c>
      <c r="G70" s="355">
        <f>31520+2600</f>
        <v>34120</v>
      </c>
      <c r="H70" s="355">
        <f>15015+13000-445</f>
        <v>27570</v>
      </c>
      <c r="I70" s="355">
        <v>445</v>
      </c>
      <c r="J70" s="670">
        <f>SUM(F70:I70)</f>
        <v>159035</v>
      </c>
      <c r="K70" s="670"/>
      <c r="L70" s="670">
        <f t="shared" si="11"/>
        <v>159035</v>
      </c>
      <c r="M70" s="271"/>
      <c r="N70" s="497"/>
      <c r="O70" s="704"/>
      <c r="P70" s="355"/>
      <c r="Q70" s="666">
        <f>SUM(N70:P70)</f>
        <v>0</v>
      </c>
      <c r="R70" s="666"/>
      <c r="S70" s="666">
        <f t="shared" si="14"/>
        <v>0</v>
      </c>
      <c r="T70" s="174"/>
      <c r="U70" s="398">
        <f>J70+Q70</f>
        <v>159035</v>
      </c>
      <c r="V70" s="398">
        <f t="shared" si="13"/>
        <v>0</v>
      </c>
      <c r="W70" s="398">
        <f t="shared" si="12"/>
        <v>159035</v>
      </c>
    </row>
    <row r="71" spans="2:20" ht="12.75">
      <c r="B71" s="122"/>
      <c r="C71" s="143"/>
      <c r="T71" s="176"/>
    </row>
    <row r="72" ht="12.75">
      <c r="R72" s="19"/>
    </row>
    <row r="73" ht="12.75">
      <c r="K73" s="19">
        <f>K43+K33+K19</f>
        <v>0</v>
      </c>
    </row>
    <row r="127" ht="12.75" customHeight="1"/>
    <row r="191" ht="12.75" customHeight="1"/>
    <row r="255" ht="12.75" customHeight="1"/>
    <row r="319" ht="12.75" customHeight="1"/>
    <row r="383" ht="12.75" customHeight="1"/>
    <row r="447" ht="12.75" customHeight="1"/>
    <row r="511" ht="12.75" customHeight="1"/>
    <row r="575" ht="12.75" customHeight="1"/>
    <row r="639" ht="12.75" customHeight="1"/>
    <row r="703" ht="12.75" customHeight="1"/>
    <row r="767" ht="12.75" customHeight="1"/>
    <row r="831" ht="12.75" customHeight="1"/>
    <row r="895" ht="12.75" customHeight="1"/>
    <row r="959" ht="12.75" customHeight="1"/>
    <row r="1023" ht="12.75" customHeight="1"/>
    <row r="1087" ht="12.75" customHeight="1"/>
    <row r="1151" ht="12.75" customHeight="1"/>
    <row r="1215" ht="12.75" customHeight="1"/>
    <row r="1279" ht="12.75" customHeight="1"/>
    <row r="1343" ht="12.75" customHeight="1"/>
    <row r="1407" ht="12.75" customHeight="1"/>
    <row r="1471" ht="12.75" customHeight="1"/>
    <row r="1535" ht="12.75" customHeight="1"/>
    <row r="1599" ht="12.75" customHeight="1"/>
    <row r="1663" ht="12.75" customHeight="1"/>
    <row r="1727" ht="12.75" customHeight="1"/>
    <row r="1791" ht="12.75" customHeight="1"/>
    <row r="1855" ht="12.75" customHeight="1"/>
    <row r="1919" ht="12.75" customHeight="1"/>
    <row r="1983" ht="12.75" customHeight="1"/>
    <row r="2047" ht="12.75" customHeight="1"/>
    <row r="2111" ht="12.75" customHeight="1"/>
    <row r="2175" ht="12.75" customHeight="1"/>
    <row r="2239" ht="12.75" customHeight="1"/>
    <row r="2303" ht="12.75" customHeight="1"/>
    <row r="2367" ht="12.75" customHeight="1"/>
    <row r="2431" ht="12.75" customHeight="1"/>
    <row r="2495" ht="12.75" customHeight="1"/>
    <row r="2559" ht="12.75" customHeight="1"/>
    <row r="2623" ht="12.75" customHeight="1"/>
    <row r="2687" ht="12.75" customHeight="1"/>
    <row r="2751" ht="12.75" customHeight="1"/>
    <row r="2815" ht="12.75" customHeight="1"/>
    <row r="2879" ht="12.75" customHeight="1"/>
    <row r="2943" ht="12.75" customHeight="1"/>
    <row r="3007" ht="12.75" customHeight="1"/>
    <row r="3071" ht="12.75" customHeight="1"/>
    <row r="3135" ht="12.75" customHeight="1"/>
    <row r="3199" ht="12.75" customHeight="1"/>
    <row r="3263" ht="12.75" customHeight="1"/>
    <row r="3327" ht="12.75" customHeight="1"/>
    <row r="3391" ht="12.75" customHeight="1"/>
    <row r="3455" ht="12.75" customHeight="1"/>
    <row r="3519" ht="12.75" customHeight="1"/>
    <row r="3583" ht="12.75" customHeight="1"/>
    <row r="3647" ht="12.75" customHeight="1"/>
    <row r="3711" ht="12.75" customHeight="1"/>
    <row r="3775" ht="12.75" customHeight="1"/>
    <row r="3839" ht="12.75" customHeight="1"/>
    <row r="3903" ht="12.75" customHeight="1"/>
    <row r="3967" ht="12.75" customHeight="1"/>
    <row r="4031" ht="12.75" customHeight="1"/>
    <row r="4095" ht="12.75" customHeight="1"/>
    <row r="4159" ht="12.75" customHeight="1"/>
    <row r="4223" ht="12.75" customHeight="1"/>
    <row r="4287" ht="12.75" customHeight="1"/>
    <row r="4351" ht="12.75" customHeight="1"/>
    <row r="4415" ht="12.75" customHeight="1"/>
    <row r="4479" ht="12.75" customHeight="1"/>
    <row r="4543" ht="12.75" customHeight="1"/>
    <row r="4607" ht="12.75" customHeight="1"/>
    <row r="4671" ht="12.75" customHeight="1"/>
    <row r="4735" ht="12.75" customHeight="1"/>
    <row r="4799" ht="12.75" customHeight="1"/>
    <row r="4863" ht="12.75" customHeight="1"/>
    <row r="4927" ht="12.75" customHeight="1"/>
    <row r="4991" ht="12.75" customHeight="1"/>
    <row r="5055" ht="12.75" customHeight="1"/>
    <row r="5119" ht="12.75" customHeight="1"/>
    <row r="5183" ht="12.75" customHeight="1"/>
    <row r="5247" ht="12.75" customHeight="1"/>
    <row r="5311" ht="12.75" customHeight="1"/>
    <row r="5375" ht="12.75" customHeight="1"/>
    <row r="5439" ht="12.75" customHeight="1"/>
    <row r="5503" ht="12.75" customHeight="1"/>
    <row r="5567" ht="12.75" customHeight="1"/>
    <row r="5631" ht="12.75" customHeight="1"/>
    <row r="5695" ht="12.75" customHeight="1"/>
    <row r="5759" ht="12.75" customHeight="1"/>
    <row r="5823" ht="12.75" customHeight="1"/>
    <row r="5887" ht="12.75" customHeight="1"/>
    <row r="5951" ht="12.75" customHeight="1"/>
    <row r="6015" ht="12.75" customHeight="1"/>
    <row r="6079" ht="12.75" customHeight="1"/>
    <row r="6143" ht="12.75" customHeight="1"/>
    <row r="6207" ht="12.75" customHeight="1"/>
    <row r="6271" ht="12.75" customHeight="1"/>
    <row r="6335" ht="12.75" customHeight="1"/>
    <row r="6399" ht="12.75" customHeight="1"/>
    <row r="6463" ht="12.75" customHeight="1"/>
    <row r="6527" ht="12.75" customHeight="1"/>
    <row r="6591" ht="12.75" customHeight="1"/>
    <row r="6655" ht="12.75" customHeight="1"/>
    <row r="6719" ht="12.75" customHeight="1"/>
    <row r="6783" ht="12.75" customHeight="1"/>
    <row r="6847" ht="12.75" customHeight="1"/>
    <row r="6911" ht="12.75" customHeight="1"/>
    <row r="6975" ht="12.75" customHeight="1"/>
    <row r="7039" ht="12.75" customHeight="1"/>
    <row r="7103" ht="12.75" customHeight="1"/>
    <row r="7167" ht="12.75" customHeight="1"/>
    <row r="7231" ht="12.75" customHeight="1"/>
    <row r="7295" ht="12.75" customHeight="1"/>
    <row r="7359" ht="12.75" customHeight="1"/>
    <row r="7423" ht="12.75" customHeight="1"/>
    <row r="7487" ht="12.75" customHeight="1"/>
    <row r="7551" ht="12.75" customHeight="1"/>
    <row r="7615" ht="12.75" customHeight="1"/>
    <row r="7679" ht="12.75" customHeight="1"/>
    <row r="7743" ht="12.75" customHeight="1"/>
    <row r="7807" ht="12.75" customHeight="1"/>
    <row r="7871" ht="12.75" customHeight="1"/>
    <row r="7935" ht="12.75" customHeight="1"/>
    <row r="7999" ht="12.75" customHeight="1"/>
    <row r="8063" ht="12.75" customHeight="1"/>
    <row r="8127" ht="12.75" customHeight="1"/>
    <row r="8191" ht="12.75" customHeight="1"/>
    <row r="8255" ht="12.75" customHeight="1"/>
    <row r="8319" ht="12.75" customHeight="1"/>
    <row r="8383" ht="12.75" customHeight="1"/>
    <row r="8447" ht="12.75" customHeight="1"/>
    <row r="8511" ht="12.75" customHeight="1"/>
    <row r="8575" ht="12.75" customHeight="1"/>
    <row r="8639" ht="12.75" customHeight="1"/>
    <row r="8703" ht="12.75" customHeight="1"/>
    <row r="8767" ht="12.75" customHeight="1"/>
    <row r="8831" ht="12.75" customHeight="1"/>
    <row r="8895" ht="12.75" customHeight="1"/>
    <row r="8959" ht="12.75" customHeight="1"/>
    <row r="9023" ht="12.75" customHeight="1"/>
    <row r="9087" ht="12.75" customHeight="1"/>
    <row r="9151" ht="12.75" customHeight="1"/>
    <row r="9215" ht="12.75" customHeight="1"/>
    <row r="9279" ht="12.75" customHeight="1"/>
    <row r="9343" ht="12.75" customHeight="1"/>
    <row r="9407" ht="12.75" customHeight="1"/>
    <row r="9471" ht="12.75" customHeight="1"/>
    <row r="9535" ht="12.75" customHeight="1"/>
    <row r="9599" ht="12.75" customHeight="1"/>
    <row r="9663" ht="12.75" customHeight="1"/>
    <row r="9727" ht="12.75" customHeight="1"/>
    <row r="9791" ht="12.75" customHeight="1"/>
    <row r="9855" ht="12.75" customHeight="1"/>
    <row r="9919" ht="12.75" customHeight="1"/>
    <row r="9983" ht="12.75" customHeight="1"/>
    <row r="10047" ht="12.75" customHeight="1"/>
    <row r="10111" ht="12.75" customHeight="1"/>
    <row r="10175" ht="12.75" customHeight="1"/>
    <row r="10239" ht="12.75" customHeight="1"/>
    <row r="10303" ht="12.75" customHeight="1"/>
    <row r="10367" ht="12.75" customHeight="1"/>
    <row r="10431" ht="12.75" customHeight="1"/>
    <row r="10495" ht="12.75" customHeight="1"/>
    <row r="10559" ht="12.75" customHeight="1"/>
    <row r="10623" ht="12.75" customHeight="1"/>
    <row r="10687" ht="12.75" customHeight="1"/>
    <row r="10751" ht="12.75" customHeight="1"/>
    <row r="10815" ht="12.75" customHeight="1"/>
    <row r="10879" ht="12.75" customHeight="1"/>
    <row r="10943" ht="12.75" customHeight="1"/>
    <row r="11007" ht="12.75" customHeight="1"/>
    <row r="11071" ht="12.75" customHeight="1"/>
    <row r="11135" ht="12.75" customHeight="1"/>
    <row r="11199" ht="12.75" customHeight="1"/>
    <row r="11263" ht="12.75" customHeight="1"/>
    <row r="11327" ht="12.75" customHeight="1"/>
    <row r="11391" ht="12.75" customHeight="1"/>
    <row r="11455" ht="12.75" customHeight="1"/>
    <row r="11519" ht="12.75" customHeight="1"/>
    <row r="11583" ht="12.75" customHeight="1"/>
    <row r="11647" ht="12.75" customHeight="1"/>
    <row r="11711" ht="12.75" customHeight="1"/>
    <row r="11775" ht="12.75" customHeight="1"/>
    <row r="11839" ht="12.75" customHeight="1"/>
    <row r="11903" ht="12.75" customHeight="1"/>
    <row r="11967" ht="12.75" customHeight="1"/>
    <row r="12031" ht="12.75" customHeight="1"/>
    <row r="12095" ht="12.75" customHeight="1"/>
    <row r="12159" ht="12.75" customHeight="1"/>
    <row r="12223" ht="12.75" customHeight="1"/>
    <row r="12287" ht="12.75" customHeight="1"/>
    <row r="12351" ht="12.75" customHeight="1"/>
    <row r="12415" ht="12.75" customHeight="1"/>
    <row r="12479" ht="12.75" customHeight="1"/>
    <row r="12543" ht="12.75" customHeight="1"/>
    <row r="12607" ht="12.75" customHeight="1"/>
    <row r="12671" ht="12.75" customHeight="1"/>
    <row r="12735" ht="12.75" customHeight="1"/>
    <row r="12799" ht="12.75" customHeight="1"/>
    <row r="12863" ht="12.75" customHeight="1"/>
    <row r="12927" ht="12.75" customHeight="1"/>
    <row r="12991" ht="12.75" customHeight="1"/>
    <row r="13055" ht="12.75" customHeight="1"/>
    <row r="13119" ht="12.75" customHeight="1"/>
    <row r="13183" ht="12.75" customHeight="1"/>
    <row r="13247" ht="12.75" customHeight="1"/>
    <row r="13311" ht="12.75" customHeight="1"/>
    <row r="13375" ht="12.75" customHeight="1"/>
    <row r="13439" ht="12.75" customHeight="1"/>
    <row r="13503" ht="12.75" customHeight="1"/>
    <row r="13567" ht="12.75" customHeight="1"/>
    <row r="13631" ht="12.75" customHeight="1"/>
    <row r="13695" ht="12.75" customHeight="1"/>
    <row r="13759" ht="12.75" customHeight="1"/>
    <row r="13823" ht="12.75" customHeight="1"/>
    <row r="13887" ht="12.75" customHeight="1"/>
    <row r="13951" ht="12.75" customHeight="1"/>
    <row r="14015" ht="12.75" customHeight="1"/>
    <row r="14079" ht="12.75" customHeight="1"/>
    <row r="14143" ht="12.75" customHeight="1"/>
    <row r="14207" ht="12.75" customHeight="1"/>
    <row r="14271" ht="12.75" customHeight="1"/>
    <row r="14335" ht="12.75" customHeight="1"/>
    <row r="14399" ht="12.75" customHeight="1"/>
    <row r="14463" ht="12.75" customHeight="1"/>
    <row r="14527" ht="12.75" customHeight="1"/>
    <row r="14591" ht="12.75" customHeight="1"/>
    <row r="14655" ht="12.75" customHeight="1"/>
    <row r="14719" ht="12.75" customHeight="1"/>
    <row r="14783" ht="12.75" customHeight="1"/>
    <row r="14847" ht="12.75" customHeight="1"/>
    <row r="14911" ht="12.75" customHeight="1"/>
    <row r="14975" ht="12.75" customHeight="1"/>
    <row r="15039" ht="12.75" customHeight="1"/>
    <row r="15103" ht="12.75" customHeight="1"/>
    <row r="15167" ht="12.75" customHeight="1"/>
    <row r="15231" ht="12.75" customHeight="1"/>
    <row r="15295" ht="12.75" customHeight="1"/>
    <row r="15359" ht="12.75" customHeight="1"/>
    <row r="15423" ht="12.75" customHeight="1"/>
    <row r="15487" ht="12.75" customHeight="1"/>
    <row r="15551" ht="12.75" customHeight="1"/>
    <row r="15615" ht="12.75" customHeight="1"/>
    <row r="15679" ht="12.75" customHeight="1"/>
    <row r="15743" ht="12.75" customHeight="1"/>
    <row r="15807" ht="12.75" customHeight="1"/>
    <row r="15871" ht="12.75" customHeight="1"/>
    <row r="15935" ht="12.75" customHeight="1"/>
    <row r="15999" ht="12.75" customHeight="1"/>
    <row r="16063" ht="12.75" customHeight="1"/>
    <row r="16127" ht="12.75" customHeight="1"/>
    <row r="16191" ht="12.75" customHeight="1"/>
    <row r="16255" ht="12.75" customHeight="1"/>
    <row r="16319" ht="12.75" customHeight="1"/>
    <row r="16383" ht="12.75" customHeight="1"/>
    <row r="16447" ht="12.75" customHeight="1"/>
    <row r="16511" ht="12.75" customHeight="1"/>
    <row r="16575" ht="12.75" customHeight="1"/>
    <row r="16639" ht="12.75" customHeight="1"/>
    <row r="16703" ht="12.75" customHeight="1"/>
    <row r="16767" ht="12.75" customHeight="1"/>
    <row r="16831" ht="12.75" customHeight="1"/>
    <row r="16895" ht="12.75" customHeight="1"/>
    <row r="16959" ht="12.75" customHeight="1"/>
    <row r="17023" ht="12.75" customHeight="1"/>
    <row r="17087" ht="12.75" customHeight="1"/>
    <row r="17151" ht="12.75" customHeight="1"/>
    <row r="17215" ht="12.75" customHeight="1"/>
    <row r="17279" ht="12.75" customHeight="1"/>
    <row r="17343" ht="12.75" customHeight="1"/>
    <row r="17407" ht="12.75" customHeight="1"/>
    <row r="17471" ht="12.75" customHeight="1"/>
    <row r="17535" ht="12.75" customHeight="1"/>
    <row r="17599" ht="12.75" customHeight="1"/>
    <row r="17663" ht="12.75" customHeight="1"/>
    <row r="17727" ht="12.75" customHeight="1"/>
    <row r="17791" ht="12.75" customHeight="1"/>
    <row r="17855" ht="12.75" customHeight="1"/>
    <row r="17919" ht="12.75" customHeight="1"/>
    <row r="17983" ht="12.75" customHeight="1"/>
    <row r="18047" ht="12.75" customHeight="1"/>
    <row r="18111" ht="12.75" customHeight="1"/>
    <row r="18175" ht="12.75" customHeight="1"/>
    <row r="18239" ht="12.75" customHeight="1"/>
    <row r="18303" ht="12.75" customHeight="1"/>
    <row r="18367" ht="12.75" customHeight="1"/>
    <row r="18431" ht="12.75" customHeight="1"/>
    <row r="18495" ht="12.75" customHeight="1"/>
    <row r="18559" ht="12.75" customHeight="1"/>
    <row r="18623" ht="12.75" customHeight="1"/>
    <row r="18687" ht="12.75" customHeight="1"/>
    <row r="18751" ht="12.75" customHeight="1"/>
    <row r="18815" ht="12.75" customHeight="1"/>
    <row r="18879" ht="12.75" customHeight="1"/>
    <row r="18943" ht="12.75" customHeight="1"/>
    <row r="19007" ht="12.75" customHeight="1"/>
    <row r="19071" ht="12.75" customHeight="1"/>
    <row r="19135" ht="12.75" customHeight="1"/>
    <row r="19199" ht="12.75" customHeight="1"/>
    <row r="19263" ht="12.75" customHeight="1"/>
    <row r="19327" ht="12.75" customHeight="1"/>
    <row r="19391" ht="12.75" customHeight="1"/>
    <row r="19455" ht="12.75" customHeight="1"/>
    <row r="19519" ht="12.75" customHeight="1"/>
    <row r="19583" ht="12.75" customHeight="1"/>
    <row r="19647" ht="12.75" customHeight="1"/>
    <row r="19711" ht="12.75" customHeight="1"/>
    <row r="19775" ht="12.75" customHeight="1"/>
    <row r="19839" ht="12.75" customHeight="1"/>
    <row r="19903" ht="12.75" customHeight="1"/>
    <row r="19967" ht="12.75" customHeight="1"/>
    <row r="20031" ht="12.75" customHeight="1"/>
    <row r="20095" ht="12.75" customHeight="1"/>
    <row r="20159" ht="12.75" customHeight="1"/>
    <row r="20223" ht="12.75" customHeight="1"/>
    <row r="20287" ht="12.75" customHeight="1"/>
    <row r="20351" ht="12.75" customHeight="1"/>
    <row r="20415" ht="12.75" customHeight="1"/>
    <row r="20479" ht="12.75" customHeight="1"/>
    <row r="20543" ht="12.75" customHeight="1"/>
    <row r="20607" ht="12.75" customHeight="1"/>
    <row r="20671" ht="12.75" customHeight="1"/>
    <row r="20735" ht="12.75" customHeight="1"/>
    <row r="20799" ht="12.75" customHeight="1"/>
    <row r="20863" ht="12.75" customHeight="1"/>
    <row r="20927" ht="12.75" customHeight="1"/>
    <row r="20991" ht="12.75" customHeight="1"/>
    <row r="21055" ht="12.75" customHeight="1"/>
    <row r="21119" ht="12.75" customHeight="1"/>
    <row r="21183" ht="12.75" customHeight="1"/>
    <row r="21247" ht="12.75" customHeight="1"/>
    <row r="21311" ht="12.75" customHeight="1"/>
    <row r="21375" ht="12.75" customHeight="1"/>
    <row r="21439" ht="12.75" customHeight="1"/>
    <row r="21503" ht="12.75" customHeight="1"/>
    <row r="21567" ht="12.75" customHeight="1"/>
    <row r="21631" ht="12.75" customHeight="1"/>
    <row r="21695" ht="12.75" customHeight="1"/>
    <row r="21759" ht="12.75" customHeight="1"/>
    <row r="21823" ht="12.75" customHeight="1"/>
    <row r="21887" ht="12.75" customHeight="1"/>
    <row r="21951" ht="12.75" customHeight="1"/>
    <row r="22015" ht="12.75" customHeight="1"/>
    <row r="22079" ht="12.75" customHeight="1"/>
    <row r="22143" ht="12.75" customHeight="1"/>
    <row r="22207" ht="12.75" customHeight="1"/>
    <row r="22271" ht="12.75" customHeight="1"/>
    <row r="22335" ht="12.75" customHeight="1"/>
    <row r="22399" ht="12.75" customHeight="1"/>
    <row r="22463" ht="12.75" customHeight="1"/>
    <row r="22527" ht="12.75" customHeight="1"/>
    <row r="22591" ht="12.75" customHeight="1"/>
    <row r="22655" ht="12.75" customHeight="1"/>
    <row r="22719" ht="12.75" customHeight="1"/>
    <row r="22783" ht="12.75" customHeight="1"/>
    <row r="22847" ht="12.75" customHeight="1"/>
    <row r="22911" ht="12.75" customHeight="1"/>
    <row r="22975" ht="12.75" customHeight="1"/>
    <row r="23039" ht="12.75" customHeight="1"/>
    <row r="23103" ht="12.75" customHeight="1"/>
    <row r="23167" ht="12.75" customHeight="1"/>
    <row r="23231" ht="12.75" customHeight="1"/>
    <row r="23295" ht="12.75" customHeight="1"/>
    <row r="23359" ht="12.75" customHeight="1"/>
    <row r="23423" ht="12.75" customHeight="1"/>
    <row r="23487" ht="12.75" customHeight="1"/>
    <row r="23551" ht="12.75" customHeight="1"/>
    <row r="23615" ht="12.75" customHeight="1"/>
    <row r="23679" ht="12.75" customHeight="1"/>
    <row r="23743" ht="12.75" customHeight="1"/>
    <row r="23807" ht="12.75" customHeight="1"/>
    <row r="23871" ht="12.75" customHeight="1"/>
    <row r="23935" ht="12.75" customHeight="1"/>
    <row r="23999" ht="12.75" customHeight="1"/>
    <row r="24063" ht="12.75" customHeight="1"/>
    <row r="24127" ht="12.75" customHeight="1"/>
    <row r="24191" ht="12.75" customHeight="1"/>
    <row r="24255" ht="12.75" customHeight="1"/>
    <row r="24319" ht="12.75" customHeight="1"/>
    <row r="24383" ht="12.75" customHeight="1"/>
    <row r="24447" ht="12.75" customHeight="1"/>
    <row r="24511" ht="12.75" customHeight="1"/>
    <row r="24575" ht="12.75" customHeight="1"/>
    <row r="24639" ht="12.75" customHeight="1"/>
    <row r="24703" ht="12.75" customHeight="1"/>
    <row r="24767" ht="12.75" customHeight="1"/>
    <row r="24831" ht="12.75" customHeight="1"/>
    <row r="24895" ht="12.75" customHeight="1"/>
    <row r="24959" ht="12.75" customHeight="1"/>
    <row r="25023" ht="12.75" customHeight="1"/>
    <row r="25087" ht="12.75" customHeight="1"/>
    <row r="25151" ht="12.75" customHeight="1"/>
    <row r="25215" ht="12.75" customHeight="1"/>
    <row r="25279" ht="12.75" customHeight="1"/>
    <row r="25343" ht="12.75" customHeight="1"/>
    <row r="25407" ht="12.75" customHeight="1"/>
    <row r="25471" ht="12.75" customHeight="1"/>
    <row r="25535" ht="12.75" customHeight="1"/>
    <row r="25599" ht="12.75" customHeight="1"/>
    <row r="25663" ht="12.75" customHeight="1"/>
    <row r="25727" ht="12.75" customHeight="1"/>
    <row r="25791" ht="12.75" customHeight="1"/>
    <row r="25855" ht="12.75" customHeight="1"/>
    <row r="25919" ht="12.75" customHeight="1"/>
    <row r="25983" ht="12.75" customHeight="1"/>
    <row r="26047" ht="12.75" customHeight="1"/>
    <row r="26111" ht="12.75" customHeight="1"/>
    <row r="26175" ht="12.75" customHeight="1"/>
    <row r="26239" ht="12.75" customHeight="1"/>
    <row r="26303" ht="12.75" customHeight="1"/>
    <row r="26367" ht="12.75" customHeight="1"/>
    <row r="26431" ht="12.75" customHeight="1"/>
    <row r="26495" ht="12.75" customHeight="1"/>
    <row r="26559" ht="12.75" customHeight="1"/>
    <row r="26623" ht="12.75" customHeight="1"/>
    <row r="26687" ht="12.75" customHeight="1"/>
    <row r="26751" ht="12.75" customHeight="1"/>
    <row r="26815" ht="12.75" customHeight="1"/>
    <row r="26879" ht="12.75" customHeight="1"/>
    <row r="26943" ht="12.75" customHeight="1"/>
    <row r="27007" ht="12.75" customHeight="1"/>
    <row r="27071" ht="12.75" customHeight="1"/>
    <row r="27135" ht="12.75" customHeight="1"/>
    <row r="27199" ht="12.75" customHeight="1"/>
    <row r="27263" ht="12.75" customHeight="1"/>
    <row r="27327" ht="12.75" customHeight="1"/>
    <row r="27391" ht="12.75" customHeight="1"/>
    <row r="27455" ht="12.75" customHeight="1"/>
    <row r="27519" ht="12.75" customHeight="1"/>
    <row r="27583" ht="12.75" customHeight="1"/>
    <row r="27647" ht="12.75" customHeight="1"/>
    <row r="27711" ht="12.75" customHeight="1"/>
    <row r="27775" ht="12.75" customHeight="1"/>
    <row r="27839" ht="12.75" customHeight="1"/>
    <row r="27903" ht="12.75" customHeight="1"/>
    <row r="27967" ht="12.75" customHeight="1"/>
    <row r="28031" ht="12.75" customHeight="1"/>
    <row r="28095" ht="12.75" customHeight="1"/>
    <row r="28159" ht="12.75" customHeight="1"/>
    <row r="28223" ht="12.75" customHeight="1"/>
    <row r="28287" ht="12.75" customHeight="1"/>
    <row r="28351" ht="12.75" customHeight="1"/>
    <row r="28415" ht="12.75" customHeight="1"/>
    <row r="28479" ht="12.75" customHeight="1"/>
    <row r="28543" ht="12.75" customHeight="1"/>
    <row r="28607" ht="12.75" customHeight="1"/>
    <row r="28671" ht="12.75" customHeight="1"/>
    <row r="28735" ht="12.75" customHeight="1"/>
    <row r="28799" ht="12.75" customHeight="1"/>
    <row r="28863" ht="12.75" customHeight="1"/>
    <row r="28927" ht="12.75" customHeight="1"/>
    <row r="28991" ht="12.75" customHeight="1"/>
    <row r="29055" ht="12.75" customHeight="1"/>
    <row r="29119" ht="12.75" customHeight="1"/>
    <row r="29183" ht="12.75" customHeight="1"/>
    <row r="29247" ht="12.75" customHeight="1"/>
    <row r="29311" ht="12.75" customHeight="1"/>
    <row r="29375" ht="12.75" customHeight="1"/>
    <row r="29439" ht="12.75" customHeight="1"/>
    <row r="29503" ht="12.75" customHeight="1"/>
    <row r="29567" ht="12.75" customHeight="1"/>
    <row r="29631" ht="12.75" customHeight="1"/>
    <row r="29695" ht="12.75" customHeight="1"/>
    <row r="29759" ht="12.75" customHeight="1"/>
    <row r="29823" ht="12.75" customHeight="1"/>
    <row r="29887" ht="12.75" customHeight="1"/>
    <row r="29951" ht="12.75" customHeight="1"/>
    <row r="30015" ht="12.75" customHeight="1"/>
    <row r="30079" ht="12.75" customHeight="1"/>
    <row r="30143" ht="12.75" customHeight="1"/>
    <row r="30207" ht="12.75" customHeight="1"/>
    <row r="30271" ht="12.75" customHeight="1"/>
    <row r="30335" ht="12.75" customHeight="1"/>
    <row r="30399" ht="12.75" customHeight="1"/>
    <row r="30463" ht="12.75" customHeight="1"/>
    <row r="30527" ht="12.75" customHeight="1"/>
    <row r="30591" ht="12.75" customHeight="1"/>
    <row r="30655" ht="12.75" customHeight="1"/>
    <row r="30719" ht="12.75" customHeight="1"/>
    <row r="30783" ht="12.75" customHeight="1"/>
    <row r="30847" ht="12.75" customHeight="1"/>
    <row r="30911" ht="12.75" customHeight="1"/>
    <row r="30975" ht="12.75" customHeight="1"/>
    <row r="31039" ht="12.75" customHeight="1"/>
    <row r="31103" ht="12.75" customHeight="1"/>
    <row r="31167" ht="12.75" customHeight="1"/>
    <row r="31231" ht="12.75" customHeight="1"/>
    <row r="31295" ht="12.75" customHeight="1"/>
    <row r="31359" ht="12.75" customHeight="1"/>
    <row r="31423" ht="12.75" customHeight="1"/>
    <row r="31487" ht="12.75" customHeight="1"/>
    <row r="31551" ht="12.75" customHeight="1"/>
    <row r="31615" ht="12.75" customHeight="1"/>
    <row r="31679" ht="12.75" customHeight="1"/>
    <row r="31743" ht="12.75" customHeight="1"/>
    <row r="31807" ht="12.75" customHeight="1"/>
    <row r="31871" ht="12.75" customHeight="1"/>
    <row r="31935" ht="12.75" customHeight="1"/>
    <row r="31999" ht="12.75" customHeight="1"/>
    <row r="32063" ht="12.75" customHeight="1"/>
    <row r="32127" ht="12.75" customHeight="1"/>
    <row r="32191" ht="12.75" customHeight="1"/>
    <row r="32255" ht="12.75" customHeight="1"/>
    <row r="32319" ht="12.75" customHeight="1"/>
    <row r="32383" ht="12.75" customHeight="1"/>
    <row r="32447" ht="12.75" customHeight="1"/>
    <row r="32511" ht="12.75" customHeight="1"/>
    <row r="32575" ht="12.75" customHeight="1"/>
    <row r="32639" ht="12.75" customHeight="1"/>
    <row r="32703" ht="12.75" customHeight="1"/>
    <row r="32767" ht="12.75" customHeight="1"/>
    <row r="32831" ht="12.75" customHeight="1"/>
    <row r="32895" ht="12.75" customHeight="1"/>
    <row r="32959" ht="12.75" customHeight="1"/>
    <row r="33023" ht="12.75" customHeight="1"/>
    <row r="33087" ht="12.75" customHeight="1"/>
    <row r="33151" ht="12.75" customHeight="1"/>
    <row r="33215" ht="12.75" customHeight="1"/>
    <row r="33279" ht="12.75" customHeight="1"/>
    <row r="33343" ht="12.75" customHeight="1"/>
    <row r="33407" ht="12.75" customHeight="1"/>
    <row r="33471" ht="12.75" customHeight="1"/>
    <row r="33535" ht="12.75" customHeight="1"/>
    <row r="33599" ht="12.75" customHeight="1"/>
    <row r="33663" ht="12.75" customHeight="1"/>
    <row r="33727" ht="12.75" customHeight="1"/>
    <row r="33791" ht="12.75" customHeight="1"/>
    <row r="33855" ht="12.75" customHeight="1"/>
    <row r="33919" ht="12.75" customHeight="1"/>
    <row r="33983" ht="12.75" customHeight="1"/>
    <row r="34047" ht="12.75" customHeight="1"/>
    <row r="34111" ht="12.75" customHeight="1"/>
    <row r="34175" ht="12.75" customHeight="1"/>
    <row r="34239" ht="12.75" customHeight="1"/>
    <row r="34303" ht="12.75" customHeight="1"/>
    <row r="34367" ht="12.75" customHeight="1"/>
    <row r="34431" ht="12.75" customHeight="1"/>
    <row r="34495" ht="12.75" customHeight="1"/>
    <row r="34559" ht="12.75" customHeight="1"/>
    <row r="34623" ht="12.75" customHeight="1"/>
    <row r="34687" ht="12.75" customHeight="1"/>
    <row r="34751" ht="12.75" customHeight="1"/>
    <row r="34815" ht="12.75" customHeight="1"/>
    <row r="34879" ht="12.75" customHeight="1"/>
    <row r="34943" ht="12.75" customHeight="1"/>
    <row r="35007" ht="12.75" customHeight="1"/>
    <row r="35071" ht="12.75" customHeight="1"/>
    <row r="35135" ht="12.75" customHeight="1"/>
    <row r="35199" ht="12.75" customHeight="1"/>
    <row r="35263" ht="12.75" customHeight="1"/>
    <row r="35327" ht="12.75" customHeight="1"/>
    <row r="35391" ht="12.75" customHeight="1"/>
    <row r="35455" ht="12.75" customHeight="1"/>
    <row r="35519" ht="12.75" customHeight="1"/>
    <row r="35583" ht="12.75" customHeight="1"/>
    <row r="35647" ht="12.75" customHeight="1"/>
    <row r="35711" ht="12.75" customHeight="1"/>
    <row r="35775" ht="12.75" customHeight="1"/>
    <row r="35839" ht="12.75" customHeight="1"/>
    <row r="35903" ht="12.75" customHeight="1"/>
    <row r="35967" ht="12.75" customHeight="1"/>
    <row r="36031" ht="12.75" customHeight="1"/>
    <row r="36095" ht="12.75" customHeight="1"/>
    <row r="36159" ht="12.75" customHeight="1"/>
    <row r="36223" ht="12.75" customHeight="1"/>
    <row r="36287" ht="12.75" customHeight="1"/>
    <row r="36351" ht="12.75" customHeight="1"/>
    <row r="36415" ht="12.75" customHeight="1"/>
    <row r="36479" ht="12.75" customHeight="1"/>
    <row r="36543" ht="12.75" customHeight="1"/>
    <row r="36607" ht="12.75" customHeight="1"/>
    <row r="36671" ht="12.75" customHeight="1"/>
    <row r="36735" ht="12.75" customHeight="1"/>
    <row r="36799" ht="12.75" customHeight="1"/>
    <row r="36863" ht="12.75" customHeight="1"/>
    <row r="36927" ht="12.75" customHeight="1"/>
    <row r="36991" ht="12.75" customHeight="1"/>
    <row r="37055" ht="12.75" customHeight="1"/>
    <row r="37119" ht="12.75" customHeight="1"/>
    <row r="37183" ht="12.75" customHeight="1"/>
    <row r="37247" ht="12.75" customHeight="1"/>
    <row r="37311" ht="12.75" customHeight="1"/>
    <row r="37375" ht="12.75" customHeight="1"/>
    <row r="37439" ht="12.75" customHeight="1"/>
    <row r="37503" ht="12.75" customHeight="1"/>
    <row r="37567" ht="12.75" customHeight="1"/>
    <row r="37631" ht="12.75" customHeight="1"/>
    <row r="37695" ht="12.75" customHeight="1"/>
    <row r="37759" ht="12.75" customHeight="1"/>
    <row r="37823" ht="12.75" customHeight="1"/>
    <row r="37887" ht="12.75" customHeight="1"/>
    <row r="37951" ht="12.75" customHeight="1"/>
    <row r="38015" ht="12.75" customHeight="1"/>
    <row r="38079" ht="12.75" customHeight="1"/>
    <row r="38143" ht="12.75" customHeight="1"/>
    <row r="38207" ht="12.75" customHeight="1"/>
    <row r="38271" ht="12.75" customHeight="1"/>
    <row r="38335" ht="12.75" customHeight="1"/>
    <row r="38399" ht="12.75" customHeight="1"/>
    <row r="38463" ht="12.75" customHeight="1"/>
    <row r="38527" ht="12.75" customHeight="1"/>
    <row r="38591" ht="12.75" customHeight="1"/>
    <row r="38655" ht="12.75" customHeight="1"/>
    <row r="38719" ht="12.75" customHeight="1"/>
    <row r="38783" ht="12.75" customHeight="1"/>
    <row r="38847" ht="12.75" customHeight="1"/>
    <row r="38911" ht="12.75" customHeight="1"/>
    <row r="38975" ht="12.75" customHeight="1"/>
    <row r="39039" ht="12.75" customHeight="1"/>
    <row r="39103" ht="12.75" customHeight="1"/>
    <row r="39167" ht="12.75" customHeight="1"/>
    <row r="39231" ht="12.75" customHeight="1"/>
    <row r="39295" ht="12.75" customHeight="1"/>
    <row r="39359" ht="12.75" customHeight="1"/>
    <row r="39423" ht="12.75" customHeight="1"/>
    <row r="39487" ht="12.75" customHeight="1"/>
    <row r="39551" ht="12.75" customHeight="1"/>
    <row r="39615" ht="12.75" customHeight="1"/>
    <row r="39679" ht="12.75" customHeight="1"/>
    <row r="39743" ht="12.75" customHeight="1"/>
    <row r="39807" ht="12.75" customHeight="1"/>
    <row r="39871" ht="12.75" customHeight="1"/>
    <row r="39935" ht="12.75" customHeight="1"/>
    <row r="39999" ht="12.75" customHeight="1"/>
    <row r="40063" ht="12.75" customHeight="1"/>
    <row r="40127" ht="12.75" customHeight="1"/>
    <row r="40191" ht="12.75" customHeight="1"/>
    <row r="40255" ht="12.75" customHeight="1"/>
    <row r="40319" ht="12.75" customHeight="1"/>
    <row r="40383" ht="12.75" customHeight="1"/>
    <row r="40447" ht="12.75" customHeight="1"/>
    <row r="40511" ht="12.75" customHeight="1"/>
    <row r="40575" ht="12.75" customHeight="1"/>
    <row r="40639" ht="12.75" customHeight="1"/>
    <row r="40703" ht="12.75" customHeight="1"/>
    <row r="40767" ht="12.75" customHeight="1"/>
    <row r="40831" ht="12.75" customHeight="1"/>
    <row r="40895" ht="12.75" customHeight="1"/>
    <row r="40959" ht="12.75" customHeight="1"/>
    <row r="41023" ht="12.75" customHeight="1"/>
    <row r="41087" ht="12.75" customHeight="1"/>
    <row r="41151" ht="12.75" customHeight="1"/>
    <row r="41215" ht="12.75" customHeight="1"/>
    <row r="41279" ht="12.75" customHeight="1"/>
    <row r="41343" ht="12.75" customHeight="1"/>
    <row r="41407" ht="12.75" customHeight="1"/>
    <row r="41471" ht="12.75" customHeight="1"/>
    <row r="41535" ht="12.75" customHeight="1"/>
    <row r="41599" ht="12.75" customHeight="1"/>
    <row r="41663" ht="12.75" customHeight="1"/>
    <row r="41727" ht="12.75" customHeight="1"/>
    <row r="41791" ht="12.75" customHeight="1"/>
    <row r="41855" ht="12.75" customHeight="1"/>
    <row r="41919" ht="12.75" customHeight="1"/>
    <row r="41983" ht="12.75" customHeight="1"/>
    <row r="42047" ht="12.75" customHeight="1"/>
    <row r="42111" ht="12.75" customHeight="1"/>
    <row r="42175" ht="12.75" customHeight="1"/>
    <row r="42239" ht="12.75" customHeight="1"/>
    <row r="42303" ht="12.75" customHeight="1"/>
    <row r="42367" ht="12.75" customHeight="1"/>
    <row r="42431" ht="12.75" customHeight="1"/>
    <row r="42495" ht="12.75" customHeight="1"/>
    <row r="42559" ht="12.75" customHeight="1"/>
    <row r="42623" ht="12.75" customHeight="1"/>
    <row r="42687" ht="12.75" customHeight="1"/>
    <row r="42751" ht="12.75" customHeight="1"/>
    <row r="42815" ht="12.75" customHeight="1"/>
    <row r="42879" ht="12.75" customHeight="1"/>
    <row r="42943" ht="12.75" customHeight="1"/>
    <row r="43007" ht="12.75" customHeight="1"/>
    <row r="43071" ht="12.75" customHeight="1"/>
    <row r="43135" ht="12.75" customHeight="1"/>
    <row r="43199" ht="12.75" customHeight="1"/>
    <row r="43263" ht="12.75" customHeight="1"/>
    <row r="43327" ht="12.75" customHeight="1"/>
    <row r="43391" ht="12.75" customHeight="1"/>
    <row r="43455" ht="12.75" customHeight="1"/>
    <row r="43519" ht="12.75" customHeight="1"/>
    <row r="43583" ht="12.75" customHeight="1"/>
    <row r="43647" ht="12.75" customHeight="1"/>
    <row r="43711" ht="12.75" customHeight="1"/>
    <row r="43775" ht="12.75" customHeight="1"/>
    <row r="43839" ht="12.75" customHeight="1"/>
    <row r="43903" ht="12.75" customHeight="1"/>
    <row r="43967" ht="12.75" customHeight="1"/>
    <row r="44031" ht="12.75" customHeight="1"/>
    <row r="44095" ht="12.75" customHeight="1"/>
    <row r="44159" ht="12.75" customHeight="1"/>
    <row r="44223" ht="12.75" customHeight="1"/>
    <row r="44287" ht="12.75" customHeight="1"/>
    <row r="44351" ht="12.75" customHeight="1"/>
    <row r="44415" ht="12.75" customHeight="1"/>
    <row r="44479" ht="12.75" customHeight="1"/>
    <row r="44543" ht="12.75" customHeight="1"/>
    <row r="44607" ht="12.75" customHeight="1"/>
    <row r="44671" ht="12.75" customHeight="1"/>
    <row r="44735" ht="12.75" customHeight="1"/>
    <row r="44799" ht="12.75" customHeight="1"/>
    <row r="44863" ht="12.75" customHeight="1"/>
    <row r="44927" ht="12.75" customHeight="1"/>
    <row r="44991" ht="12.75" customHeight="1"/>
    <row r="45055" ht="12.75" customHeight="1"/>
    <row r="45119" ht="12.75" customHeight="1"/>
    <row r="45183" ht="12.75" customHeight="1"/>
    <row r="45247" ht="12.75" customHeight="1"/>
    <row r="45311" ht="12.75" customHeight="1"/>
    <row r="45375" ht="12.75" customHeight="1"/>
    <row r="45439" ht="12.75" customHeight="1"/>
    <row r="45503" ht="12.75" customHeight="1"/>
    <row r="45567" ht="12.75" customHeight="1"/>
    <row r="45631" ht="12.75" customHeight="1"/>
    <row r="45695" ht="12.75" customHeight="1"/>
    <row r="45759" ht="12.75" customHeight="1"/>
    <row r="45823" ht="12.75" customHeight="1"/>
    <row r="45887" ht="12.75" customHeight="1"/>
    <row r="45951" ht="12.75" customHeight="1"/>
    <row r="46015" ht="12.75" customHeight="1"/>
    <row r="46079" ht="12.75" customHeight="1"/>
    <row r="46143" ht="12.75" customHeight="1"/>
    <row r="46207" ht="12.75" customHeight="1"/>
    <row r="46271" ht="12.75" customHeight="1"/>
    <row r="46335" ht="12.75" customHeight="1"/>
    <row r="46399" ht="12.75" customHeight="1"/>
    <row r="46463" ht="12.75" customHeight="1"/>
    <row r="46527" ht="12.75" customHeight="1"/>
    <row r="46591" ht="12.75" customHeight="1"/>
    <row r="46655" ht="12.75" customHeight="1"/>
    <row r="46719" ht="12.75" customHeight="1"/>
    <row r="46783" ht="12.75" customHeight="1"/>
    <row r="46847" ht="12.75" customHeight="1"/>
    <row r="46911" ht="12.75" customHeight="1"/>
    <row r="46975" ht="12.75" customHeight="1"/>
    <row r="47039" ht="12.75" customHeight="1"/>
    <row r="47103" ht="12.75" customHeight="1"/>
    <row r="47167" ht="12.75" customHeight="1"/>
    <row r="47231" ht="12.75" customHeight="1"/>
    <row r="47295" ht="12.75" customHeight="1"/>
    <row r="47359" ht="12.75" customHeight="1"/>
    <row r="47423" ht="12.75" customHeight="1"/>
    <row r="47487" ht="12.75" customHeight="1"/>
    <row r="47551" ht="12.75" customHeight="1"/>
    <row r="47615" ht="12.75" customHeight="1"/>
    <row r="47679" ht="12.75" customHeight="1"/>
    <row r="47743" ht="12.75" customHeight="1"/>
    <row r="47807" ht="12.75" customHeight="1"/>
    <row r="47871" ht="12.75" customHeight="1"/>
    <row r="47935" ht="12.75" customHeight="1"/>
    <row r="47999" ht="12.75" customHeight="1"/>
    <row r="48063" ht="12.75" customHeight="1"/>
    <row r="48127" ht="12.75" customHeight="1"/>
    <row r="48191" ht="12.75" customHeight="1"/>
    <row r="48255" ht="12.75" customHeight="1"/>
    <row r="48319" ht="12.75" customHeight="1"/>
    <row r="48383" ht="12.75" customHeight="1"/>
    <row r="48447" ht="12.75" customHeight="1"/>
    <row r="48511" ht="12.75" customHeight="1"/>
    <row r="48575" ht="12.75" customHeight="1"/>
    <row r="48639" ht="12.75" customHeight="1"/>
    <row r="48703" ht="12.75" customHeight="1"/>
    <row r="48767" ht="12.75" customHeight="1"/>
    <row r="48831" ht="12.75" customHeight="1"/>
    <row r="48895" ht="12.75" customHeight="1"/>
    <row r="48959" ht="12.75" customHeight="1"/>
    <row r="49023" ht="12.75" customHeight="1"/>
    <row r="49087" ht="12.75" customHeight="1"/>
    <row r="49151" ht="12.75" customHeight="1"/>
    <row r="49215" ht="12.75" customHeight="1"/>
    <row r="49279" ht="12.75" customHeight="1"/>
    <row r="49343" ht="12.75" customHeight="1"/>
    <row r="49407" ht="12.75" customHeight="1"/>
    <row r="49471" ht="12.75" customHeight="1"/>
    <row r="49535" ht="12.75" customHeight="1"/>
    <row r="49599" ht="12.75" customHeight="1"/>
    <row r="49663" ht="12.75" customHeight="1"/>
    <row r="49727" ht="12.75" customHeight="1"/>
    <row r="49791" ht="12.75" customHeight="1"/>
    <row r="49855" ht="12.75" customHeight="1"/>
    <row r="49919" ht="12.75" customHeight="1"/>
    <row r="49983" ht="12.75" customHeight="1"/>
    <row r="50047" ht="12.75" customHeight="1"/>
    <row r="50111" ht="12.75" customHeight="1"/>
    <row r="50175" ht="12.75" customHeight="1"/>
    <row r="50239" ht="12.75" customHeight="1"/>
    <row r="50303" ht="12.75" customHeight="1"/>
    <row r="50367" ht="12.75" customHeight="1"/>
    <row r="50431" ht="12.75" customHeight="1"/>
    <row r="50495" ht="12.75" customHeight="1"/>
    <row r="50559" ht="12.75" customHeight="1"/>
    <row r="50623" ht="12.75" customHeight="1"/>
    <row r="50687" ht="12.75" customHeight="1"/>
    <row r="50751" ht="12.75" customHeight="1"/>
    <row r="50815" ht="12.75" customHeight="1"/>
    <row r="50879" ht="12.75" customHeight="1"/>
    <row r="50943" ht="12.75" customHeight="1"/>
    <row r="51007" ht="12.75" customHeight="1"/>
    <row r="51071" ht="12.75" customHeight="1"/>
    <row r="51135" ht="12.75" customHeight="1"/>
    <row r="51199" ht="12.75" customHeight="1"/>
    <row r="51263" ht="12.75" customHeight="1"/>
    <row r="51327" ht="12.75" customHeight="1"/>
    <row r="51391" ht="12.75" customHeight="1"/>
    <row r="51455" ht="12.75" customHeight="1"/>
    <row r="51519" ht="12.75" customHeight="1"/>
    <row r="51583" ht="12.75" customHeight="1"/>
    <row r="51647" ht="12.75" customHeight="1"/>
    <row r="51711" ht="12.75" customHeight="1"/>
    <row r="51775" ht="12.75" customHeight="1"/>
    <row r="51839" ht="12.75" customHeight="1"/>
    <row r="51903" ht="12.75" customHeight="1"/>
    <row r="51967" ht="12.75" customHeight="1"/>
    <row r="52031" ht="12.75" customHeight="1"/>
    <row r="52095" ht="12.75" customHeight="1"/>
    <row r="52159" ht="12.75" customHeight="1"/>
    <row r="52223" ht="12.75" customHeight="1"/>
    <row r="52287" ht="12.75" customHeight="1"/>
    <row r="52351" ht="12.75" customHeight="1"/>
    <row r="52415" ht="12.75" customHeight="1"/>
    <row r="52479" ht="12.75" customHeight="1"/>
    <row r="52543" ht="12.75" customHeight="1"/>
    <row r="52607" ht="12.75" customHeight="1"/>
    <row r="52671" ht="12.75" customHeight="1"/>
    <row r="52735" ht="12.75" customHeight="1"/>
    <row r="52799" ht="12.75" customHeight="1"/>
    <row r="52863" ht="12.75" customHeight="1"/>
    <row r="52927" ht="12.75" customHeight="1"/>
    <row r="52991" ht="12.75" customHeight="1"/>
    <row r="53055" ht="12.75" customHeight="1"/>
    <row r="53119" ht="12.75" customHeight="1"/>
    <row r="53183" ht="12.75" customHeight="1"/>
    <row r="53247" ht="12.75" customHeight="1"/>
    <row r="53311" ht="12.75" customHeight="1"/>
    <row r="53375" ht="12.75" customHeight="1"/>
    <row r="53439" ht="12.75" customHeight="1"/>
    <row r="53503" ht="12.75" customHeight="1"/>
    <row r="53567" ht="12.75" customHeight="1"/>
    <row r="53631" ht="12.75" customHeight="1"/>
    <row r="53695" ht="12.75" customHeight="1"/>
    <row r="53759" ht="12.75" customHeight="1"/>
    <row r="53823" ht="12.75" customHeight="1"/>
    <row r="53887" ht="12.75" customHeight="1"/>
    <row r="53951" ht="12.75" customHeight="1"/>
    <row r="54015" ht="12.75" customHeight="1"/>
    <row r="54079" ht="12.75" customHeight="1"/>
    <row r="54143" ht="12.75" customHeight="1"/>
    <row r="54207" ht="12.75" customHeight="1"/>
    <row r="54271" ht="12.75" customHeight="1"/>
    <row r="54335" ht="12.75" customHeight="1"/>
    <row r="54399" ht="12.75" customHeight="1"/>
    <row r="54463" ht="12.75" customHeight="1"/>
    <row r="54527" ht="12.75" customHeight="1"/>
    <row r="54591" ht="12.75" customHeight="1"/>
    <row r="54655" ht="12.75" customHeight="1"/>
    <row r="54719" ht="12.75" customHeight="1"/>
    <row r="54783" ht="12.75" customHeight="1"/>
    <row r="54847" ht="12.75" customHeight="1"/>
    <row r="54911" ht="12.75" customHeight="1"/>
    <row r="54975" ht="12.75" customHeight="1"/>
    <row r="55039" ht="12.75" customHeight="1"/>
    <row r="55103" ht="12.75" customHeight="1"/>
    <row r="55167" ht="12.75" customHeight="1"/>
    <row r="55231" ht="12.75" customHeight="1"/>
    <row r="55295" ht="12.75" customHeight="1"/>
    <row r="55359" ht="12.75" customHeight="1"/>
    <row r="55423" ht="12.75" customHeight="1"/>
    <row r="55487" ht="12.75" customHeight="1"/>
    <row r="55551" ht="12.75" customHeight="1"/>
    <row r="55615" ht="12.75" customHeight="1"/>
    <row r="55679" ht="12.75" customHeight="1"/>
    <row r="55743" ht="12.75" customHeight="1"/>
    <row r="55807" ht="12.75" customHeight="1"/>
    <row r="55871" ht="12.75" customHeight="1"/>
    <row r="55935" ht="12.75" customHeight="1"/>
    <row r="55999" ht="12.75" customHeight="1"/>
    <row r="56063" ht="12.75" customHeight="1"/>
    <row r="56127" ht="12.75" customHeight="1"/>
    <row r="56191" ht="12.75" customHeight="1"/>
    <row r="56255" ht="12.75" customHeight="1"/>
    <row r="56319" ht="12.75" customHeight="1"/>
    <row r="56383" ht="12.75" customHeight="1"/>
    <row r="56447" ht="12.75" customHeight="1"/>
    <row r="56511" ht="12.75" customHeight="1"/>
    <row r="56575" ht="12.75" customHeight="1"/>
    <row r="56639" ht="12.75" customHeight="1"/>
    <row r="56703" ht="12.75" customHeight="1"/>
    <row r="56767" ht="12.75" customHeight="1"/>
    <row r="56831" ht="12.75" customHeight="1"/>
    <row r="56895" ht="12.75" customHeight="1"/>
    <row r="56959" ht="12.75" customHeight="1"/>
    <row r="57023" ht="12.75" customHeight="1"/>
    <row r="57087" ht="12.75" customHeight="1"/>
    <row r="57151" ht="12.75" customHeight="1"/>
    <row r="57215" ht="12.75" customHeight="1"/>
    <row r="57279" ht="12.75" customHeight="1"/>
    <row r="57343" ht="12.75" customHeight="1"/>
    <row r="57407" ht="12.75" customHeight="1"/>
    <row r="57471" ht="12.75" customHeight="1"/>
    <row r="57535" ht="12.75" customHeight="1"/>
    <row r="57599" ht="12.75" customHeight="1"/>
    <row r="57663" ht="12.75" customHeight="1"/>
    <row r="57727" ht="12.75" customHeight="1"/>
    <row r="57791" ht="12.75" customHeight="1"/>
    <row r="57855" ht="12.75" customHeight="1"/>
    <row r="57919" ht="12.75" customHeight="1"/>
    <row r="57983" ht="12.75" customHeight="1"/>
    <row r="58047" ht="12.75" customHeight="1"/>
    <row r="58111" ht="12.75" customHeight="1"/>
    <row r="58175" ht="12.75" customHeight="1"/>
    <row r="58239" ht="12.75" customHeight="1"/>
    <row r="58303" ht="12.75" customHeight="1"/>
    <row r="58367" ht="12.75" customHeight="1"/>
    <row r="58431" ht="12.75" customHeight="1"/>
    <row r="58495" ht="12.75" customHeight="1"/>
    <row r="58559" ht="12.75" customHeight="1"/>
    <row r="58623" ht="12.75" customHeight="1"/>
    <row r="58687" ht="12.75" customHeight="1"/>
    <row r="58751" ht="12.75" customHeight="1"/>
    <row r="58815" ht="12.75" customHeight="1"/>
    <row r="58879" ht="12.75" customHeight="1"/>
    <row r="58943" ht="12.75" customHeight="1"/>
    <row r="59007" ht="12.75" customHeight="1"/>
    <row r="59071" ht="12.75" customHeight="1"/>
    <row r="59135" ht="12.75" customHeight="1"/>
    <row r="59199" ht="12.75" customHeight="1"/>
    <row r="59263" ht="12.75" customHeight="1"/>
    <row r="59327" ht="12.75" customHeight="1"/>
    <row r="59391" ht="12.75" customHeight="1"/>
    <row r="59455" ht="12.75" customHeight="1"/>
    <row r="59519" ht="12.75" customHeight="1"/>
    <row r="59583" ht="12.75" customHeight="1"/>
    <row r="59647" ht="12.75" customHeight="1"/>
    <row r="59711" ht="12.75" customHeight="1"/>
    <row r="59775" ht="12.75" customHeight="1"/>
    <row r="59839" ht="12.75" customHeight="1"/>
    <row r="59903" ht="12.75" customHeight="1"/>
    <row r="59967" ht="12.75" customHeight="1"/>
    <row r="60031" ht="12.75" customHeight="1"/>
    <row r="60095" ht="12.75" customHeight="1"/>
    <row r="60159" ht="12.75" customHeight="1"/>
    <row r="60223" ht="12.75" customHeight="1"/>
    <row r="60287" ht="12.75" customHeight="1"/>
    <row r="60351" ht="12.75" customHeight="1"/>
    <row r="60415" ht="12.75" customHeight="1"/>
    <row r="60479" ht="12.75" customHeight="1"/>
    <row r="60543" ht="12.75" customHeight="1"/>
    <row r="60607" ht="12.75" customHeight="1"/>
    <row r="60671" ht="12.75" customHeight="1"/>
    <row r="60735" ht="12.75" customHeight="1"/>
    <row r="60799" ht="12.75" customHeight="1"/>
    <row r="60863" ht="12.75" customHeight="1"/>
    <row r="60927" ht="12.75" customHeight="1"/>
    <row r="60991" ht="12.75" customHeight="1"/>
    <row r="61055" ht="12.75" customHeight="1"/>
    <row r="61119" ht="12.75" customHeight="1"/>
    <row r="61183" ht="12.75" customHeight="1"/>
    <row r="61247" ht="12.75" customHeight="1"/>
    <row r="61311" ht="12.75" customHeight="1"/>
    <row r="61375" ht="12.75" customHeight="1"/>
    <row r="61439" ht="12.75" customHeight="1"/>
    <row r="61503" ht="12.75" customHeight="1"/>
    <row r="61567" ht="12.75" customHeight="1"/>
    <row r="61631" ht="12.75" customHeight="1"/>
    <row r="61695" ht="12.75" customHeight="1"/>
    <row r="61759" ht="12.75" customHeight="1"/>
    <row r="61823" ht="12.75" customHeight="1"/>
    <row r="61887" ht="12.75" customHeight="1"/>
    <row r="61951" ht="12.75" customHeight="1"/>
    <row r="62015" ht="12.75" customHeight="1"/>
    <row r="62079" ht="12.75" customHeight="1"/>
    <row r="62143" ht="12.75" customHeight="1"/>
    <row r="62207" ht="12.75" customHeight="1"/>
    <row r="62271" ht="12.75" customHeight="1"/>
    <row r="62335" ht="12.75" customHeight="1"/>
    <row r="62399" ht="12.75" customHeight="1"/>
    <row r="62463" ht="12.75" customHeight="1"/>
    <row r="62527" ht="12.75" customHeight="1"/>
    <row r="62591" ht="12.75" customHeight="1"/>
    <row r="62655" ht="12.75" customHeight="1"/>
    <row r="62719" ht="12.75" customHeight="1"/>
    <row r="62783" ht="12.75" customHeight="1"/>
    <row r="62847" ht="12.75" customHeight="1"/>
    <row r="62911" ht="12.75" customHeight="1"/>
    <row r="62975" ht="12.75" customHeight="1"/>
    <row r="63039" ht="12.75" customHeight="1"/>
    <row r="63103" ht="12.75" customHeight="1"/>
    <row r="63167" ht="12.75" customHeight="1"/>
    <row r="63231" ht="12.75" customHeight="1"/>
    <row r="63295" ht="12.75" customHeight="1"/>
    <row r="63359" ht="12.75" customHeight="1"/>
    <row r="63423" ht="12.75" customHeight="1"/>
    <row r="63487" ht="12.75" customHeight="1"/>
    <row r="63551" ht="12.75" customHeight="1"/>
    <row r="63615" ht="12.75" customHeight="1"/>
    <row r="63679" ht="12.75" customHeight="1"/>
    <row r="63743" ht="12.75" customHeight="1"/>
    <row r="63807" ht="12.75" customHeight="1"/>
    <row r="63871" ht="12.75" customHeight="1"/>
    <row r="63935" ht="12.75" customHeight="1"/>
    <row r="63999" ht="12.75" customHeight="1"/>
    <row r="64063" ht="12.75" customHeight="1"/>
    <row r="64127" ht="12.75" customHeight="1"/>
    <row r="64191" ht="12.75" customHeight="1"/>
    <row r="64255" ht="12.75" customHeight="1"/>
    <row r="64319" ht="12.75" customHeight="1"/>
    <row r="64383" ht="12.75" customHeight="1"/>
    <row r="64447" ht="12.75" customHeight="1"/>
    <row r="64511" ht="12.75" customHeight="1"/>
    <row r="64575" ht="12.75" customHeight="1"/>
    <row r="64639" ht="12.75" customHeight="1"/>
    <row r="64703" ht="12.75" customHeight="1"/>
    <row r="64767" ht="12.75" customHeight="1"/>
    <row r="64831" ht="12.75" customHeight="1"/>
    <row r="64895" ht="12.75" customHeight="1"/>
    <row r="64959" ht="12.75" customHeight="1"/>
    <row r="65023" ht="12.75" customHeight="1"/>
    <row r="65087" ht="12.75" customHeight="1"/>
    <row r="65151" ht="12.75" customHeight="1"/>
  </sheetData>
  <sheetProtection/>
  <mergeCells count="23">
    <mergeCell ref="F7:F8"/>
    <mergeCell ref="N5:S5"/>
    <mergeCell ref="N6:S6"/>
    <mergeCell ref="L7:L8"/>
    <mergeCell ref="N7:N8"/>
    <mergeCell ref="J7:J8"/>
    <mergeCell ref="G7:G8"/>
    <mergeCell ref="H7:H8"/>
    <mergeCell ref="V4:V8"/>
    <mergeCell ref="P7:P8"/>
    <mergeCell ref="Q7:Q8"/>
    <mergeCell ref="U4:U8"/>
    <mergeCell ref="O7:O8"/>
    <mergeCell ref="W4:W8"/>
    <mergeCell ref="B5:L5"/>
    <mergeCell ref="E6:L6"/>
    <mergeCell ref="R7:R8"/>
    <mergeCell ref="S7:S8"/>
    <mergeCell ref="B4:S4"/>
    <mergeCell ref="C6:C8"/>
    <mergeCell ref="I7:I8"/>
    <mergeCell ref="K7:K8"/>
    <mergeCell ref="D6:D8"/>
  </mergeCells>
  <printOptions/>
  <pageMargins left="0.1968503937007874" right="0.15748031496062992" top="0.28" bottom="0.7086614173228347" header="0.11811023622047245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zuzana.surovcikova</cp:lastModifiedBy>
  <cp:lastPrinted>2011-11-22T17:06:01Z</cp:lastPrinted>
  <dcterms:created xsi:type="dcterms:W3CDTF">2006-06-21T07:20:26Z</dcterms:created>
  <dcterms:modified xsi:type="dcterms:W3CDTF">2011-12-08T08:57:34Z</dcterms:modified>
  <cp:category/>
  <cp:version/>
  <cp:contentType/>
  <cp:contentStatus/>
</cp:coreProperties>
</file>