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010" tabRatio="910" activeTab="0"/>
  </bookViews>
  <sheets>
    <sheet name="BP" sheetId="1" r:id="rId1"/>
    <sheet name="KP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P9" sheetId="11" r:id="rId11"/>
    <sheet name="P10" sheetId="12" r:id="rId12"/>
    <sheet name="P11" sheetId="13" r:id="rId13"/>
    <sheet name="P12" sheetId="14" r:id="rId14"/>
    <sheet name="SUM" sheetId="15" r:id="rId15"/>
  </sheets>
  <definedNames>
    <definedName name="_xlnm.Print_Area" localSheetId="0">'BP'!$B$1:$M$139</definedName>
    <definedName name="_xlnm.Print_Area" localSheetId="1">'KP'!$B$3:$K$36</definedName>
    <definedName name="_xlnm.Print_Area" localSheetId="2">'P1'!$B$2:$V$34</definedName>
    <definedName name="_xlnm.Print_Area" localSheetId="11">'P10'!$B$2:$X$30</definedName>
    <definedName name="_xlnm.Print_Area" localSheetId="12">'P11'!$B$2:$U$39</definedName>
    <definedName name="_xlnm.Print_Area" localSheetId="13">'P12'!$B$2:$Y$23</definedName>
    <definedName name="_xlnm.Print_Area" localSheetId="3">'P2'!$B$2:$T$16</definedName>
    <definedName name="_xlnm.Print_Area" localSheetId="4">'P3'!$B$2:$X$39</definedName>
    <definedName name="_xlnm.Print_Area" localSheetId="5">'P4'!$B$2:$X$34</definedName>
    <definedName name="_xlnm.Print_Area" localSheetId="6">'P5'!$B$2:$X$25</definedName>
    <definedName name="_xlnm.Print_Area" localSheetId="7">'P6'!$B$2:$W$20</definedName>
    <definedName name="_xlnm.Print_Area" localSheetId="8">'P7'!$B$2:$X$64</definedName>
    <definedName name="_xlnm.Print_Area" localSheetId="9">'P8'!$B$2:$X$48</definedName>
    <definedName name="_xlnm.Print_Area" localSheetId="10">'P9'!$B$2:$X$38</definedName>
    <definedName name="_xlnm.Print_Area" localSheetId="14">'SUM'!$B$2:$L$43</definedName>
  </definedNames>
  <calcPr fullCalcOnLoad="1"/>
</workbook>
</file>

<file path=xl/comments14.xml><?xml version="1.0" encoding="utf-8"?>
<comments xmlns="http://schemas.openxmlformats.org/spreadsheetml/2006/main">
  <authors>
    <author>Capova</author>
  </authors>
  <commentList>
    <comment ref="K11" authorId="0">
      <text>
        <r>
          <rPr>
            <b/>
            <sz val="9"/>
            <rFont val="Tahoma"/>
            <family val="2"/>
          </rPr>
          <t>Capova:</t>
        </r>
        <r>
          <rPr>
            <sz val="9"/>
            <rFont val="Tahoma"/>
            <family val="2"/>
          </rPr>
          <t xml:space="preserve">
vrátenie zábezpeky za nezrealizovaný predaj
</t>
        </r>
      </text>
    </comment>
  </commentList>
</comments>
</file>

<file path=xl/sharedStrings.xml><?xml version="1.0" encoding="utf-8"?>
<sst xmlns="http://schemas.openxmlformats.org/spreadsheetml/2006/main" count="924" uniqueCount="505">
  <si>
    <t xml:space="preserve">         - za služby technickej dokumentácie</t>
  </si>
  <si>
    <t>Verejná zeleň</t>
  </si>
  <si>
    <t>Hlásenie pobytu občanov a register obyvateľov</t>
  </si>
  <si>
    <t>Príspevky neštátnym subjektom</t>
  </si>
  <si>
    <t xml:space="preserve">         - prostriedky z recyklačného fondu a za vysepar.KO</t>
  </si>
  <si>
    <t>ukazovateľ</t>
  </si>
  <si>
    <t>1</t>
  </si>
  <si>
    <t>2</t>
  </si>
  <si>
    <t>3</t>
  </si>
  <si>
    <t>4</t>
  </si>
  <si>
    <t>5</t>
  </si>
  <si>
    <t>ekonomická klasifikácia</t>
  </si>
  <si>
    <t>Bežné výdavky</t>
  </si>
  <si>
    <t>Bežné príjmy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</si>
  <si>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</si>
  <si>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</si>
  <si>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</si>
  <si>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</si>
  <si>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</si>
  <si>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</si>
  <si>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</si>
  <si>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</si>
  <si>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</si>
  <si>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</si>
  <si>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</si>
  <si>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</si>
  <si>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</si>
  <si>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</si>
  <si>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</si>
  <si>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</si>
  <si>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</si>
  <si>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</si>
  <si>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</si>
  <si>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</si>
  <si>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</si>
  <si>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</si>
  <si>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</si>
  <si>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</si>
  <si>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</si>
  <si>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</si>
  <si>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</si>
  <si>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</si>
  <si>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</si>
  <si>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</si>
  <si>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</si>
  <si>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</si>
  <si>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</si>
  <si>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</si>
  <si>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</si>
  <si>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 xml:space="preserve"> - prenájom bytových a nebytových priestorov</t>
  </si>
  <si>
    <t>220</t>
  </si>
  <si>
    <t>Administratívne a iné poplatky a platby</t>
  </si>
  <si>
    <t>221</t>
  </si>
  <si>
    <t>004</t>
  </si>
  <si>
    <t>administratívne poplatky - ostatné</t>
  </si>
  <si>
    <t xml:space="preserve"> - ostatné poplatky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</si>
  <si>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</si>
  <si>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</si>
  <si>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</si>
  <si>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</si>
  <si>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</si>
  <si>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</si>
  <si>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</si>
  <si>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</si>
  <si>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290</t>
  </si>
  <si>
    <t>Iné nedaňové príjmy</t>
  </si>
  <si>
    <t>292</t>
  </si>
  <si>
    <t>008</t>
  </si>
  <si>
    <t>z výťažkov z lotérií a iných podobných hier</t>
  </si>
  <si>
    <t>ostatné</t>
  </si>
  <si>
    <t>MESTSKÉ HOSPODÁRSTVO A SPRÁVA LESOV m.r.o.</t>
  </si>
  <si>
    <t xml:space="preserve">   - za predaj výrobkov, tovarov a služieb </t>
  </si>
  <si>
    <t>iné príjmy z činnosti</t>
  </si>
  <si>
    <t>SOCIÁLNE SLUŽBY MESTA TRENČÍN   m.r.o.</t>
  </si>
  <si>
    <t xml:space="preserve">Detské jasle </t>
  </si>
  <si>
    <t>Zariadenie opatrovateľskej služby</t>
  </si>
  <si>
    <t>Opatrovateľská služba</t>
  </si>
  <si>
    <t>rozvoz stravy</t>
  </si>
  <si>
    <t>príjmy z prenajatých budov, priestorov a objektov</t>
  </si>
  <si>
    <r>
      <t>ŠKOLSKÉ ZARIADENIA MESTA TRENČÍN m.r.o</t>
    </r>
    <r>
      <rPr>
        <b/>
        <i/>
        <sz val="10"/>
        <rFont val="Arial CE"/>
        <family val="2"/>
      </rPr>
      <t>.</t>
    </r>
  </si>
  <si>
    <t>za stravovanie</t>
  </si>
  <si>
    <t>Spoločný stavebný úrad</t>
  </si>
  <si>
    <t>Zimný štadión</t>
  </si>
  <si>
    <t>Stavebný poriadok, vyvlastňovacie konanie, doprava</t>
  </si>
  <si>
    <t>z prenajatých budov,garáží a objektov</t>
  </si>
  <si>
    <t>za materské školy a školské družiny</t>
  </si>
  <si>
    <t>poplatky za školské družiny</t>
  </si>
  <si>
    <t>poplatky a platby za bývanie a zaopatrenie</t>
  </si>
  <si>
    <t>300</t>
  </si>
  <si>
    <t>GRANTY  A  TRANSFERY</t>
  </si>
  <si>
    <t>312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</si>
  <si>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</si>
  <si>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</si>
  <si>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</si>
  <si>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</si>
  <si>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</si>
  <si>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Školský úrad</t>
  </si>
  <si>
    <t>ŠFRB</t>
  </si>
  <si>
    <t>BEŽNÉ PRÍJMY SPOLU:</t>
  </si>
  <si>
    <t>príjmy z vlastníctva</t>
  </si>
  <si>
    <t xml:space="preserve"> - výherné prístroje</t>
  </si>
  <si>
    <t>poplatok za znečisťovanie ovzdušia</t>
  </si>
  <si>
    <t>z trhovísk</t>
  </si>
  <si>
    <t>za vodné, stočné, el.energiu, paru, plyn a teplo</t>
  </si>
  <si>
    <t>Správa a údržba pozemných komunikácií</t>
  </si>
  <si>
    <t xml:space="preserve">        Program 4:   Služby občanom</t>
  </si>
  <si>
    <t xml:space="preserve">        Program 3:   Interné služby mesta</t>
  </si>
  <si>
    <t>Výkon funkcie primátora</t>
  </si>
  <si>
    <t>Zasadnutia orgánov mesta</t>
  </si>
  <si>
    <t>Ochrana pred požiarmi</t>
  </si>
  <si>
    <t>Právne služby</t>
  </si>
  <si>
    <t>Verejné osvetlenie</t>
  </si>
  <si>
    <t>Detské jasle</t>
  </si>
  <si>
    <t>Kluby dôchodcov</t>
  </si>
  <si>
    <t>Pochovanie občana</t>
  </si>
  <si>
    <t>Organizácia občianskych obradov</t>
  </si>
  <si>
    <t>Činnosť matriky</t>
  </si>
  <si>
    <t>Verejné toalety</t>
  </si>
  <si>
    <t>Civilná ochrana</t>
  </si>
  <si>
    <t>Zneškodňovanie odpadu</t>
  </si>
  <si>
    <t>Materské školy</t>
  </si>
  <si>
    <t>Základné školy</t>
  </si>
  <si>
    <t>Školské jedálne</t>
  </si>
  <si>
    <t>Podpora kultúrnych podujatí</t>
  </si>
  <si>
    <t>Podpora kultúrnych stredísk</t>
  </si>
  <si>
    <t>Organizácia kultúrnych aktivít</t>
  </si>
  <si>
    <t>Kultúrna spolupráca</t>
  </si>
  <si>
    <t>Bazovského galéria</t>
  </si>
  <si>
    <t>Podpora športových podujatí</t>
  </si>
  <si>
    <t>Dotácie na šport</t>
  </si>
  <si>
    <t>Športová hala</t>
  </si>
  <si>
    <t>Futbalový štadión</t>
  </si>
  <si>
    <t>Plavárne</t>
  </si>
  <si>
    <t>Mobilná ľadová plocha</t>
  </si>
  <si>
    <t>Karanténna stanica</t>
  </si>
  <si>
    <t>Fontány</t>
  </si>
  <si>
    <t>Výkon funkcie prednostu</t>
  </si>
  <si>
    <t xml:space="preserve"> - vzdelávacie poukazy</t>
  </si>
  <si>
    <t>243</t>
  </si>
  <si>
    <t>z účtov z finančného hospodárenia</t>
  </si>
  <si>
    <t>Základná umelecká škola m.r.o.</t>
  </si>
  <si>
    <t xml:space="preserve">ZÁKLADNÉ ŠKOLY, ZARIADENIA PRE ZÁUJMOVÉ </t>
  </si>
  <si>
    <t>VZDELÁVANIE A ŠKOLSKÉ JEDÁLNE s p.s.</t>
  </si>
  <si>
    <t>poplatky - cudzí stravníci</t>
  </si>
  <si>
    <t xml:space="preserve"> - ostatné</t>
  </si>
  <si>
    <t xml:space="preserve"> - prenesené kompetencie</t>
  </si>
  <si>
    <t>daň za psa</t>
  </si>
  <si>
    <t>Prepravná služba</t>
  </si>
  <si>
    <t>Podprogram</t>
  </si>
  <si>
    <t>Prvok/Projekt</t>
  </si>
  <si>
    <t>Manažment mesta</t>
  </si>
  <si>
    <t>Normotvorná činnosť mesta</t>
  </si>
  <si>
    <t>Kontrola činnosti samosprávy</t>
  </si>
  <si>
    <t>Zabezpečovanie volieb</t>
  </si>
  <si>
    <t>Hnuteľný majetok mesta</t>
  </si>
  <si>
    <t>Nebytové priestory</t>
  </si>
  <si>
    <t>Pozemky</t>
  </si>
  <si>
    <t>Verejné obstarávanie</t>
  </si>
  <si>
    <t>Prevádzka a údržba budov</t>
  </si>
  <si>
    <t>Vzdelávanie zamestnancov mesta</t>
  </si>
  <si>
    <t>Mestský informačný systém</t>
  </si>
  <si>
    <t>Autodoprava</t>
  </si>
  <si>
    <t>Preventívna ochrana zamestnancov</t>
  </si>
  <si>
    <t>Klientské centrum</t>
  </si>
  <si>
    <t xml:space="preserve">PROGRAM 3:  INTERNÉ   SLUŽBY </t>
  </si>
  <si>
    <t xml:space="preserve">PROGRAM 3:     Interné služby </t>
  </si>
  <si>
    <t xml:space="preserve">PROGRAM 4:  SLUŽBY  OBČANOM </t>
  </si>
  <si>
    <t xml:space="preserve">PROGRAM 4:     Služby občanom </t>
  </si>
  <si>
    <t>Prevádzka mestských trhovísk</t>
  </si>
  <si>
    <t>PROGRAM 5:  BEZPEČNOSŤ</t>
  </si>
  <si>
    <t>PROGRAM 5:     Bezpečnosť</t>
  </si>
  <si>
    <t>Zabezpečovanie verejného poriadku</t>
  </si>
  <si>
    <t>Kamerový systém mesta</t>
  </si>
  <si>
    <t>Výstavba a rekonštrukcia pozemných komunikácií</t>
  </si>
  <si>
    <t>Voľno časové vzdelávanie</t>
  </si>
  <si>
    <t>Športová infraštruktúra</t>
  </si>
  <si>
    <t>Ochrana prostredia pre život</t>
  </si>
  <si>
    <t>Jednorazová pomoc občanom v hmotnej núdzi</t>
  </si>
  <si>
    <t>Krízové centrum</t>
  </si>
  <si>
    <t>Podpora seniorov</t>
  </si>
  <si>
    <t>Terénna opatrovateľská služba</t>
  </si>
  <si>
    <t>Obnova rodinných pomerov</t>
  </si>
  <si>
    <t xml:space="preserve">            - Trenčianske hradné slávnosti</t>
  </si>
  <si>
    <t xml:space="preserve">            - Trenčianske historické slávnosti</t>
  </si>
  <si>
    <t>poplatok za opatrovateľskú službu - matky s deťmi</t>
  </si>
  <si>
    <t>poplatok za jasle</t>
  </si>
  <si>
    <t>stravovanie v detských jasliach</t>
  </si>
  <si>
    <t>stravovanie v materskej škole</t>
  </si>
  <si>
    <t>Poradenstvo - bytové problémy</t>
  </si>
  <si>
    <t>poplatok za opatrovateľskú službu - choroba</t>
  </si>
  <si>
    <t>ubytovanie, zaopatrenie, stravovanie -  celoročný pobyt</t>
  </si>
  <si>
    <t>ubytovanie, zaopatrenie, stravovanie - denný a týžd.pobyt</t>
  </si>
  <si>
    <t>Komunikácia s verejnými inštitúciami v mene mesta</t>
  </si>
  <si>
    <t xml:space="preserve">   - Dotácie na činnosť </t>
  </si>
  <si>
    <t xml:space="preserve">   - Dotácie na reprezentáciu a výnimočné akcie</t>
  </si>
  <si>
    <t>poplatok za opatrovateľskú službu - staroba</t>
  </si>
  <si>
    <t>poplatok za opatrovateľskú službu - invalidita</t>
  </si>
  <si>
    <t>Manažment SSMT m.r.o.</t>
  </si>
  <si>
    <t xml:space="preserve">  - SSMT m.r.o.  </t>
  </si>
  <si>
    <t xml:space="preserve">  - Dotácia na prevádzku a činnosť </t>
  </si>
  <si>
    <t>Centrum seniorov Sihoť</t>
  </si>
  <si>
    <t xml:space="preserve"> - materiálno technické vybavenie</t>
  </si>
  <si>
    <t xml:space="preserve"> - vzdelávacie poukazy, doprava žiakov</t>
  </si>
  <si>
    <t xml:space="preserve"> - asistent učiteľa</t>
  </si>
  <si>
    <t>Centrum voľného času mr.o.</t>
  </si>
  <si>
    <t xml:space="preserve">Politika vzdelávania </t>
  </si>
  <si>
    <t>Manažment ŠZMT m.r.o.</t>
  </si>
  <si>
    <t xml:space="preserve"> - štátná dotácia - predškolský vek</t>
  </si>
  <si>
    <t xml:space="preserve"> - materiálno - technické vybavenie</t>
  </si>
  <si>
    <t>ŠSZČ sv. Andreja Svorada a Benedikta</t>
  </si>
  <si>
    <t>SZUŠ - Bebjaková, L.Novomeského</t>
  </si>
  <si>
    <t>SZUŠ - Berecová, Gagarinova ul.</t>
  </si>
  <si>
    <t>ŠKD sv. Andreja Svorada a Benedikta</t>
  </si>
  <si>
    <t xml:space="preserve"> - ŠJ pri Piaristické gymnázium J.Braneckého </t>
  </si>
  <si>
    <t xml:space="preserve"> - ŠJ pri ZŠ sv. Andrea Svorada a Benedikta</t>
  </si>
  <si>
    <t>Dotácia - predškolský vek</t>
  </si>
  <si>
    <t>Grantová podpora v oblasti cestovného ruchu</t>
  </si>
  <si>
    <t>PROGRAM 1:  MANAŽMENT A PLÁNOVANIE</t>
  </si>
  <si>
    <t>PROGRAM 1:     Manažment a plánovanie</t>
  </si>
  <si>
    <t>Marketingové plánovanie</t>
  </si>
  <si>
    <t>Cestovný ruch</t>
  </si>
  <si>
    <t>Kultúrno-informačné centrum n.o.</t>
  </si>
  <si>
    <t>Bývanie</t>
  </si>
  <si>
    <t>Správa bytového fondu</t>
  </si>
  <si>
    <t>Štátny fond rozvoja bývania</t>
  </si>
  <si>
    <t>Výstavba RD v súvislosti s MŽT</t>
  </si>
  <si>
    <t xml:space="preserve">  - SSMT m.r.o. </t>
  </si>
  <si>
    <t xml:space="preserve">SSMT m.r.o. </t>
  </si>
  <si>
    <t xml:space="preserve">  - SSMT m.r.o.</t>
  </si>
  <si>
    <t xml:space="preserve">  - z toho: MHSL m.r.o. </t>
  </si>
  <si>
    <t xml:space="preserve">  - z toho: Dotácia na prevádzku a činnosť</t>
  </si>
  <si>
    <t>Autobusová doprava</t>
  </si>
  <si>
    <t>Zvoz a odvoz odpadu</t>
  </si>
  <si>
    <t>Cintorínske a pohrebné služby</t>
  </si>
  <si>
    <t>Miestne médiá</t>
  </si>
  <si>
    <t>PROGRAM 2:  PROPAGÁCIA  A  CESTOVNÝ  RUCH</t>
  </si>
  <si>
    <t>PROGRAM 6:   DOPRAVA</t>
  </si>
  <si>
    <t>PROGRAM 6:     Doprava</t>
  </si>
  <si>
    <t>PROGRAM 7:   VZDELÁVANIE</t>
  </si>
  <si>
    <t>PROGRAM 7:     Vzdelávanie</t>
  </si>
  <si>
    <t>PROGRAM 8:  ŠPORT</t>
  </si>
  <si>
    <t>PROGRAM 8:     Šport</t>
  </si>
  <si>
    <t xml:space="preserve">     - z toho:</t>
  </si>
  <si>
    <t xml:space="preserve">      - z toho:</t>
  </si>
  <si>
    <t xml:space="preserve">    z toho:</t>
  </si>
  <si>
    <t xml:space="preserve"> - Grantový program-dotácie na kult.podujatia a činnosť</t>
  </si>
  <si>
    <t xml:space="preserve">  - z toho: Dotácie v oblasti ochrany ŽP</t>
  </si>
  <si>
    <t xml:space="preserve">        Program 1:   Manažment a plánovanie</t>
  </si>
  <si>
    <t xml:space="preserve">        Program 2:   Propagácia a cestovný ruch </t>
  </si>
  <si>
    <t xml:space="preserve">        Program 5:   Bezpečnosť</t>
  </si>
  <si>
    <t xml:space="preserve">        Program 6:   Doprava</t>
  </si>
  <si>
    <t xml:space="preserve">        Program 7:   Vzdelávanie</t>
  </si>
  <si>
    <t xml:space="preserve">        Program 8: Šport</t>
  </si>
  <si>
    <t xml:space="preserve">        Program 9: Kultúra</t>
  </si>
  <si>
    <t>PROGRAM 9:  KULTÚRA</t>
  </si>
  <si>
    <t>PROGRAM  9:     Kultúra</t>
  </si>
  <si>
    <t>PROGRAM 10:     Životné prostredie</t>
  </si>
  <si>
    <t xml:space="preserve">        Program 10: Životné prostredie</t>
  </si>
  <si>
    <t>PROGRAM 11:  SOCIÁLNE  SLUŽBY</t>
  </si>
  <si>
    <t>PROGRAM 11:     Sociálne služby</t>
  </si>
  <si>
    <t xml:space="preserve">        Program 11: Sociálne služby</t>
  </si>
  <si>
    <t>PROGRAM 12:  ROZVOJ  MESTA  A  BÝVANIE</t>
  </si>
  <si>
    <t>PROGRAM 12:     Rozvoj mesta a bývanie</t>
  </si>
  <si>
    <t xml:space="preserve">        Program 12: Rozvoj mesta a bývanie</t>
  </si>
  <si>
    <t>Daňová a rozpočtová agenda mesta a účtovníctvo</t>
  </si>
  <si>
    <t>Strategické plánovanie</t>
  </si>
  <si>
    <t>ŠSZČ Piaristické gymnázium J. Braneckého</t>
  </si>
  <si>
    <t>Manažérstvo kvality</t>
  </si>
  <si>
    <t>Odpadové a vodné hospodárstvo</t>
  </si>
  <si>
    <t>Rozvoj mesta</t>
  </si>
  <si>
    <t>Domov - penzión pre dôchodcov</t>
  </si>
  <si>
    <t xml:space="preserve">Mobiliár mesta a detské ihriská </t>
  </si>
  <si>
    <t>6</t>
  </si>
  <si>
    <t xml:space="preserve">Externá komunikácia mesta </t>
  </si>
  <si>
    <t>Prezentácia mesta</t>
  </si>
  <si>
    <t>Príjmy</t>
  </si>
  <si>
    <t>7</t>
  </si>
  <si>
    <t>Územné plánovanie mesta</t>
  </si>
  <si>
    <t>Podporná činnosť MHSL m.r.o.</t>
  </si>
  <si>
    <t xml:space="preserve">  - Dotácia na prevádzku a činnosť letnej plavárne</t>
  </si>
  <si>
    <t>ubytovanie, zaopatrenie, stravovanie - 24 hod.starostlivosť</t>
  </si>
  <si>
    <t xml:space="preserve"> - Dotácie na podujatia nad 6 638 €:</t>
  </si>
  <si>
    <t>poplatok za komunálne odpady a drobné stavebné odpady</t>
  </si>
  <si>
    <t>Kapitálové príjmy</t>
  </si>
  <si>
    <t>230</t>
  </si>
  <si>
    <t>231</t>
  </si>
  <si>
    <t>príjem z predaja kapitálových aktív</t>
  </si>
  <si>
    <t xml:space="preserve">  - budov</t>
  </si>
  <si>
    <t xml:space="preserve">  - byty </t>
  </si>
  <si>
    <t>233</t>
  </si>
  <si>
    <t>Príjem z predaja pozemkov a nehmotných aktív</t>
  </si>
  <si>
    <t xml:space="preserve"> - pozemkov</t>
  </si>
  <si>
    <t xml:space="preserve"> - pozemkov v priemyselnej zóne Zámostie</t>
  </si>
  <si>
    <t xml:space="preserve"> </t>
  </si>
  <si>
    <t>GRANTY A TRANSFERY</t>
  </si>
  <si>
    <t>KAPITÁLOVÉ PRÍJMY SPOLU:</t>
  </si>
  <si>
    <t>PRÍJMY SPOLU:</t>
  </si>
  <si>
    <t>Kapitálové výdavky</t>
  </si>
  <si>
    <t>PROGRAM 2:  Propagácia a cestovný ruch</t>
  </si>
  <si>
    <t xml:space="preserve"> - MHaSL m.r.o.</t>
  </si>
  <si>
    <t xml:space="preserve">   - Rekonštrukcia VO </t>
  </si>
  <si>
    <t>Súkromná MŠ Masariková</t>
  </si>
  <si>
    <t>Súkromná MŠ Valachová</t>
  </si>
  <si>
    <t>ŠZMT m.r.o. - ŠKD</t>
  </si>
  <si>
    <t>Školy a šk.zariadenia s p.s.  - ŠKD</t>
  </si>
  <si>
    <t>Školy a školské zariadenia s p.s.</t>
  </si>
  <si>
    <t xml:space="preserve">ŠZMT m.r.o. </t>
  </si>
  <si>
    <t xml:space="preserve">  - Dotácia na prevádzku a činnosť krytej plavárne</t>
  </si>
  <si>
    <r>
      <t xml:space="preserve">F I N A N Č N É   O P E R Á C I E </t>
    </r>
    <r>
      <rPr>
        <b/>
        <i/>
        <vertAlign val="superscript"/>
        <sz val="12"/>
        <rFont val="Arial CE"/>
        <family val="0"/>
      </rPr>
      <t>*</t>
    </r>
  </si>
  <si>
    <t>Výsledok hospodárenia</t>
  </si>
  <si>
    <t xml:space="preserve">            - Sám na javisku</t>
  </si>
  <si>
    <t>027</t>
  </si>
  <si>
    <t>finančná náhrada za vyrúbané dreviny</t>
  </si>
  <si>
    <t>R O Z  P O Č E T      2 0 1 1</t>
  </si>
  <si>
    <t>Zariadenie pre seniorov</t>
  </si>
  <si>
    <t xml:space="preserve"> - oprávnené ekonomické náklady DD</t>
  </si>
  <si>
    <t xml:space="preserve"> - posudková činnosť</t>
  </si>
  <si>
    <t xml:space="preserve">  - z toho: Dotácia na prevádzku a činnosť - FŠ Opatová</t>
  </si>
  <si>
    <t>Reprentácia mesta v zahraničí</t>
  </si>
  <si>
    <t xml:space="preserve">            - Art kino metro</t>
  </si>
  <si>
    <t xml:space="preserve">            - Ora et Ars</t>
  </si>
  <si>
    <t xml:space="preserve">            - Čaro Vianoc</t>
  </si>
  <si>
    <t>Súkromná MŠ Slimáčik</t>
  </si>
  <si>
    <t xml:space="preserve"> - z toho: MHSL m.r.o. </t>
  </si>
  <si>
    <t xml:space="preserve">            - Jazz pod hradom</t>
  </si>
  <si>
    <t xml:space="preserve">  - z toho:dotácia na činnosť Centra seniorov Sihoť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</si>
  <si>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</si>
  <si>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Výkon funkcie zástupcov primátora</t>
  </si>
  <si>
    <t>PRÍJMY spolu</t>
  </si>
  <si>
    <t xml:space="preserve"> - SSMT m.r.o. </t>
  </si>
  <si>
    <t xml:space="preserve"> - údržba MsÚ</t>
  </si>
  <si>
    <t>Kapitálové  výdavky</t>
  </si>
  <si>
    <t xml:space="preserve"> - úroky + poplatky</t>
  </si>
  <si>
    <t xml:space="preserve">  - prevádzka </t>
  </si>
  <si>
    <t xml:space="preserve"> - ŠJ Gymázium FUTURUM</t>
  </si>
  <si>
    <t xml:space="preserve"> - ŠJ ZŠ FUTURUM</t>
  </si>
  <si>
    <t xml:space="preserve">            - Artcentrum Synagóga</t>
  </si>
  <si>
    <t xml:space="preserve"> - ZŠ Na dolinách - statika</t>
  </si>
  <si>
    <t xml:space="preserve"> - KS Istebník - Z2010</t>
  </si>
  <si>
    <t xml:space="preserve"> - KS Hviezda - Z2010</t>
  </si>
  <si>
    <t xml:space="preserve">  - Rekultivácia skládky odpadu-splátka MP</t>
  </si>
  <si>
    <t xml:space="preserve"> - výstavba RD - Z2010</t>
  </si>
  <si>
    <t xml:space="preserve"> - výstavba RD - Z2010 - SLSP</t>
  </si>
  <si>
    <t xml:space="preserve"> - výkup RD - Z2010</t>
  </si>
  <si>
    <t>PROGRAM 10:  PROSTREDIE PRE ŽIVOT</t>
  </si>
  <si>
    <t xml:space="preserve"> - mzdy</t>
  </si>
  <si>
    <t xml:space="preserve"> - odvody</t>
  </si>
  <si>
    <t xml:space="preserve"> - záväzky 2010</t>
  </si>
  <si>
    <t xml:space="preserve"> - INFO</t>
  </si>
  <si>
    <t xml:space="preserve"> - TVT</t>
  </si>
  <si>
    <t xml:space="preserve"> - výstavba RD - nevyfakt.časť zo zml.+ obj.</t>
  </si>
  <si>
    <t xml:space="preserve"> - energie</t>
  </si>
  <si>
    <t xml:space="preserve"> - ZÁVAZKY  2010</t>
  </si>
  <si>
    <t xml:space="preserve"> - POHODA festival</t>
  </si>
  <si>
    <t xml:space="preserve"> - Nová letná plaváreň - elektrina</t>
  </si>
  <si>
    <t xml:space="preserve"> - Nová letná plaváreň - stráženie a poistenie</t>
  </si>
  <si>
    <t xml:space="preserve">  - z toho: MHSL m.r.o. - prevádzka KS</t>
  </si>
  <si>
    <t xml:space="preserve"> - výstavba RD - Hamaj a Dorušinec</t>
  </si>
  <si>
    <t xml:space="preserve"> -  Nová letná plaváreň - fakt.2011 - KR</t>
  </si>
  <si>
    <t xml:space="preserve"> - z toho elektronické aukcie</t>
  </si>
  <si>
    <t xml:space="preserve"> - ZÁVAZKY 2010</t>
  </si>
  <si>
    <r>
      <t xml:space="preserve">  - ZÁVAZKY 2010: </t>
    </r>
    <r>
      <rPr>
        <sz val="9"/>
        <rFont val="Arial CE"/>
        <family val="0"/>
      </rPr>
      <t>Rozšírenie cintorína TN-Kubra</t>
    </r>
  </si>
  <si>
    <r>
      <t xml:space="preserve">  - ZÁVAZKY 2010: </t>
    </r>
    <r>
      <rPr>
        <sz val="9"/>
        <rFont val="Arial CE"/>
        <family val="0"/>
      </rPr>
      <t>Nový mestský cintorín</t>
    </r>
  </si>
  <si>
    <t xml:space="preserve"> - DOPLATOK STRATY ZA ROK 2010</t>
  </si>
  <si>
    <t xml:space="preserve"> - zálohy na rok 2O11</t>
  </si>
  <si>
    <t xml:space="preserve"> - údržba komunikácií v roku 2011</t>
  </si>
  <si>
    <t xml:space="preserve"> - Výkup pozemkov JVO</t>
  </si>
  <si>
    <r>
      <t xml:space="preserve"> - ZÁVAZKY 2010: </t>
    </r>
    <r>
      <rPr>
        <sz val="9"/>
        <rFont val="Arial CE"/>
        <family val="0"/>
      </rPr>
      <t>komunikácie a križovatky</t>
    </r>
  </si>
  <si>
    <t xml:space="preserve"> - ODPAD 2011</t>
  </si>
  <si>
    <t xml:space="preserve"> - Verejná zeleň 2011</t>
  </si>
  <si>
    <r>
      <t xml:space="preserve"> - ZÁVAZKY 2010:</t>
    </r>
    <r>
      <rPr>
        <i/>
        <sz val="9"/>
        <rFont val="Arial CE"/>
        <family val="0"/>
      </rPr>
      <t>Rekonštrukcia VO</t>
    </r>
  </si>
  <si>
    <r>
      <t xml:space="preserve"> - ZÁVAZKY 2010:</t>
    </r>
    <r>
      <rPr>
        <sz val="9"/>
        <rFont val="Arial CE"/>
        <family val="0"/>
      </rPr>
      <t>Riešenie bioodpadov</t>
    </r>
  </si>
  <si>
    <r>
      <t xml:space="preserve"> - ZÁVAZKY 2010: </t>
    </r>
    <r>
      <rPr>
        <sz val="9"/>
        <rFont val="Arial CE"/>
        <family val="0"/>
      </rPr>
      <t>Rekultivácia sklády</t>
    </r>
  </si>
  <si>
    <r>
      <t xml:space="preserve"> - ZÁVAZKY 2010: </t>
    </r>
    <r>
      <rPr>
        <sz val="9"/>
        <rFont val="Arial CE"/>
        <family val="0"/>
      </rPr>
      <t>Tepel.zdroje-SLSP</t>
    </r>
  </si>
  <si>
    <r>
      <t xml:space="preserve"> - ZÁVAZKY 2010:  </t>
    </r>
    <r>
      <rPr>
        <sz val="9"/>
        <rFont val="Arial CE"/>
        <family val="0"/>
      </rPr>
      <t>Rekonštrukcia 3 ZŠ</t>
    </r>
  </si>
  <si>
    <r>
      <t xml:space="preserve"> - ZÁVAZKY  2010: </t>
    </r>
    <r>
      <rPr>
        <sz val="9"/>
        <rFont val="Arial CE"/>
        <family val="0"/>
      </rPr>
      <t>Nová letná plaváreň</t>
    </r>
  </si>
  <si>
    <r>
      <t xml:space="preserve"> - ZÁVAZKY  2010: </t>
    </r>
    <r>
      <rPr>
        <sz val="9"/>
        <rFont val="Arial CE"/>
        <family val="0"/>
      </rPr>
      <t>Nová letná plaváreň - SLSP</t>
    </r>
  </si>
  <si>
    <r>
      <t xml:space="preserve"> - ZÁVAZKY  2010</t>
    </r>
    <r>
      <rPr>
        <sz val="9"/>
        <rFont val="Arial CE"/>
        <family val="0"/>
      </rPr>
      <t>: Park Pod Juhom</t>
    </r>
  </si>
  <si>
    <t xml:space="preserve"> - NOVÝ ÚZEMNÝ PLÁN + arch.štúdia</t>
  </si>
  <si>
    <t xml:space="preserve"> - ZáVAZKY  2010: Tepelné zdroje</t>
  </si>
  <si>
    <t>Prebytok bežného rozpočtu</t>
  </si>
  <si>
    <t>Prebytok kapitálového rozpočtu</t>
  </si>
  <si>
    <t>Prebytok rozpočtu spolu</t>
  </si>
  <si>
    <t xml:space="preserve"> - Modernizácia železničnej trate</t>
  </si>
  <si>
    <t xml:space="preserve"> - Juhovýchodný obchvat  - LOT</t>
  </si>
  <si>
    <t xml:space="preserve"> - Nový most - pozemky </t>
  </si>
  <si>
    <t>Rekonštrukcia 3 Základných škôl - refundácia z EÚ</t>
  </si>
  <si>
    <t xml:space="preserve"> - ostatná prezentácia </t>
  </si>
  <si>
    <t>Dexia banka Slovensko a.s. - istina z poskytnutých úverov</t>
  </si>
  <si>
    <t>Slovenská sporiteľňa a.s. - istina z poskytnutých úverov</t>
  </si>
  <si>
    <t xml:space="preserve"> - Rok 2011</t>
  </si>
  <si>
    <t xml:space="preserve"> - Dotácia na činnosť DHZ</t>
  </si>
  <si>
    <t xml:space="preserve"> - Rekonštrukcia 3 ZŠ - nevyfakt.časť zo ZoD</t>
  </si>
  <si>
    <t xml:space="preserve">  - z toho: Poistenie</t>
  </si>
  <si>
    <t xml:space="preserve">  - z toho: Prevádzka zimného štadióna</t>
  </si>
  <si>
    <t xml:space="preserve">  - Prevádzka krytej a letnej plavárne</t>
  </si>
  <si>
    <t xml:space="preserve">  - Poistenie</t>
  </si>
  <si>
    <t xml:space="preserve">  - z toho: MsÚ</t>
  </si>
  <si>
    <t xml:space="preserve">  - domov - Modernizácia železničnej trate</t>
  </si>
  <si>
    <t xml:space="preserve"> - tovary a služby</t>
  </si>
  <si>
    <t xml:space="preserve">821 005 - Splácanie istín z bankových úverov dlhodobých,    z toho: </t>
  </si>
  <si>
    <t>821 007 - Splácanie istín z ostatných úverov  dlhodobých - ŠFRB</t>
  </si>
  <si>
    <t xml:space="preserve">821 004 - Splácanie istín z bankových úverov krátkodobých,    z toho: </t>
  </si>
  <si>
    <t xml:space="preserve">  - splatenie krátkodobého úveru z Dexia banky Slovensko a.s.</t>
  </si>
  <si>
    <r>
      <rPr>
        <sz val="10"/>
        <rFont val="Arial CE"/>
        <family val="0"/>
      </rPr>
      <t>513 001: Bankové úvery krátkodobé</t>
    </r>
    <r>
      <rPr>
        <b/>
        <sz val="11"/>
        <rFont val="Arial CE"/>
        <family val="0"/>
      </rPr>
      <t>: Prekleňovací úver na rekonštrukciu 3 ZŠ zo SLSP a.s.</t>
    </r>
  </si>
  <si>
    <t>P r í j m y *</t>
  </si>
  <si>
    <t>V ý d a v k y *</t>
  </si>
  <si>
    <t>* - na preklenutie časového nesúladu medzi príjmami a výdavkami rozpočtu sa môže čerpať kontokorentný úver spolu vo výške 6 000 tis. € (z toho vo výške 4 000 tis. € z ČSOB a.s. a vo výške 2 000 tis. € z Dexia banky Slovensko a.s.)  s tým, že do konca roka 2011 bude predmetný úver splatený</t>
  </si>
  <si>
    <t>Tatra banka a.s. - istina z poskytnutých úverov</t>
  </si>
  <si>
    <t xml:space="preserve">  - splatenie preklenovacieho úveru na rekonštrukciu 3 Základných škôl: SLSP a.s.</t>
  </si>
  <si>
    <t>Schválený rozpočet na rok 2011</t>
  </si>
  <si>
    <t>Schválený rozpočet Mesta Trenčín na rok 2011</t>
  </si>
  <si>
    <t xml:space="preserve">            - MDD</t>
  </si>
  <si>
    <t xml:space="preserve">            - Považský pohár</t>
  </si>
  <si>
    <t xml:space="preserve">            - Pri trenčianskej bráne</t>
  </si>
  <si>
    <t>Upravený rozpočet 2011</t>
  </si>
  <si>
    <t>Členstvo v samosprávnych org.a zdr.</t>
  </si>
  <si>
    <t>Návrh na zmenu rozpočtu +/-</t>
  </si>
  <si>
    <t>Skutočnosť k 31.5.2011</t>
  </si>
  <si>
    <t>Odm.žiakov, učiteľov, knihy pre prvákov</t>
  </si>
  <si>
    <t>Dotácie v oblasti školstva, výchovy a vzdel.</t>
  </si>
  <si>
    <t>Schválený bežný rozpočet na rok 2011</t>
  </si>
  <si>
    <t>Upravený bežný rozpočet na rok 2011</t>
  </si>
  <si>
    <t>Schválený kapitálový rozpočet na rok 2011</t>
  </si>
  <si>
    <t>Upravený kapitálový rozpočet na rok 2011</t>
  </si>
  <si>
    <t>Vojnové hroby</t>
  </si>
  <si>
    <t xml:space="preserve"> - Vojnové hroby - dotácia</t>
  </si>
  <si>
    <t>Upravený rozpočet na rok 2011 spolu</t>
  </si>
  <si>
    <t xml:space="preserve">Schválený Rozpočet na rok 2011     spolu </t>
  </si>
  <si>
    <t xml:space="preserve"> - nevyčerpané dotácie za rok 2010</t>
  </si>
  <si>
    <t xml:space="preserve"> -nevyčerpaná dotácia za rok 2010-prídavky na deti</t>
  </si>
  <si>
    <t xml:space="preserve">         - prenájom hrobových miest</t>
  </si>
  <si>
    <t>S P O L U:</t>
  </si>
  <si>
    <t xml:space="preserve"> - ZŠ Na dolinách - jedáleň + kúpa objektu</t>
  </si>
  <si>
    <t xml:space="preserve"> - Záblatie - Brnianska: geometrický plán</t>
  </si>
  <si>
    <t xml:space="preserve"> - Nová letná plaváreň - SLSP 2011</t>
  </si>
  <si>
    <t xml:space="preserve"> - Nová letná plaváreň - geometrický plán</t>
  </si>
  <si>
    <t>ostatné príjmy (dobropisy, preplatky, dary)</t>
  </si>
  <si>
    <t xml:space="preserve">  - MHSL m.r.o. - krytá plaváreň: poistenie</t>
  </si>
  <si>
    <t xml:space="preserve">  - MHSL m.r.o. - krytá plaváreň: prevádzka</t>
  </si>
  <si>
    <t xml:space="preserve">  - MHSL m.r.o. - letná plaváreň: prevádzka</t>
  </si>
  <si>
    <t>krytá plaváreň: vstupné</t>
  </si>
  <si>
    <t>letná plaváreň: vstupné</t>
  </si>
  <si>
    <t xml:space="preserve"> - krytá plaváreň - vstupné: lístky+pernamentky</t>
  </si>
  <si>
    <t>z mestských lesov - stredisko Soblahov + Brezina</t>
  </si>
  <si>
    <t>Centrum voľného času m.r.o.</t>
  </si>
  <si>
    <t>Prídavky na deti</t>
  </si>
  <si>
    <t>Dotácia na sčítanie obyvateľstva</t>
  </si>
  <si>
    <t>VPP</t>
  </si>
  <si>
    <t>MF SR - samosprávne funkcie</t>
  </si>
  <si>
    <t>% plnenia oproti upr. rozpočtu</t>
  </si>
  <si>
    <t xml:space="preserve"> - príjmy za 8-12/2011: činnosti KIC n.o.</t>
  </si>
  <si>
    <t xml:space="preserve">  - dotácia KS Juh a KS Dlhé Hony</t>
  </si>
  <si>
    <t>plnenie k 31.5.</t>
  </si>
  <si>
    <t>v tom 2010: 3 101 €</t>
  </si>
  <si>
    <t>1.7.1.</t>
  </si>
  <si>
    <t>Dňa</t>
  </si>
  <si>
    <t>dodávateľ</t>
  </si>
  <si>
    <t>suma obj.</t>
  </si>
  <si>
    <t>Predmet objednávky</t>
  </si>
  <si>
    <t>ZČ</t>
  </si>
  <si>
    <t>suma</t>
  </si>
  <si>
    <t>Alfa Print</t>
  </si>
  <si>
    <t>tlačiva dane</t>
  </si>
  <si>
    <t>4847/10</t>
  </si>
  <si>
    <t>10.1.</t>
  </si>
  <si>
    <t>European rating agency</t>
  </si>
  <si>
    <t>analýza</t>
  </si>
  <si>
    <t xml:space="preserve">4898/10 </t>
  </si>
  <si>
    <t>1.2.</t>
  </si>
  <si>
    <t>EUROON</t>
  </si>
  <si>
    <t>toner</t>
  </si>
  <si>
    <t>466/11</t>
  </si>
  <si>
    <t>20.6.</t>
  </si>
  <si>
    <t>Petrex</t>
  </si>
  <si>
    <t xml:space="preserve">lepidlá, </t>
  </si>
  <si>
    <t>814/11</t>
  </si>
  <si>
    <t>6.4.</t>
  </si>
  <si>
    <t>UNIPAP</t>
  </si>
  <si>
    <t>papier</t>
  </si>
  <si>
    <t>56/11 UIS</t>
  </si>
  <si>
    <t>2.2.</t>
  </si>
  <si>
    <t>obálky, etikety</t>
  </si>
  <si>
    <t>60/11 UIS</t>
  </si>
  <si>
    <t>Slovenská pošta</t>
  </si>
  <si>
    <t>výplatné-úver, poštovné</t>
  </si>
  <si>
    <t>1049/11 UIS</t>
  </si>
  <si>
    <t>20.4.</t>
  </si>
  <si>
    <t>APX</t>
  </si>
  <si>
    <t>ekonomický audit</t>
  </si>
  <si>
    <t>1050/11</t>
  </si>
  <si>
    <t>3.5.</t>
  </si>
  <si>
    <t>doručovanie obálok</t>
  </si>
  <si>
    <t>dohody</t>
  </si>
  <si>
    <t>19.5.</t>
  </si>
  <si>
    <t>Tóthová</t>
  </si>
  <si>
    <t>453:      Prevod hospodárskeho výsledku za rok 2010</t>
  </si>
  <si>
    <t>454:      Nevyčerpané dotácie za rok 2010</t>
  </si>
  <si>
    <t xml:space="preserve">Činnosť a prevádzka MsÚ </t>
  </si>
  <si>
    <t>Hosp.správa a evid.majetku mesta</t>
  </si>
  <si>
    <r>
      <t xml:space="preserve">Výdavky, </t>
    </r>
    <r>
      <rPr>
        <b/>
        <sz val="8"/>
        <rFont val="Arial CE"/>
        <family val="0"/>
      </rPr>
      <t>z toho:</t>
    </r>
  </si>
  <si>
    <t>211</t>
  </si>
  <si>
    <t>Príjmy z podnikania - dividendy TPS a.s.</t>
  </si>
  <si>
    <t>Návrh na Zmenu Programového rozpočtu Mesta Trenčín na rok 2011</t>
  </si>
  <si>
    <t xml:space="preserve">Návrh na zmenu rozpočtu 2011: Bežný rozpočet, kapitálový rozpočet, fin.operácie - sumarizácia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</si>
</sst>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"/>
    <numFmt numFmtId="174" formatCode="#,##0.000"/>
    <numFmt numFmtId="175" formatCode="0.000"/>
    <numFmt numFmtId="176" formatCode="#,##0.0000"/>
    <numFmt numFmtId="177" formatCode="0.0000"/>
    <numFmt numFmtId="178" formatCode="0.0%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[$€-2]\ #\ ##,000_);[Red]\([$€-2]\ #\ ##,000\)"/>
    <numFmt numFmtId="183" formatCode="_-* #,##0.0\ _S_k_-;\-* #,##0.0\ _S_k_-;_-* &quot;-&quot;??\ _S_k_-;_-@_-"/>
    <numFmt numFmtId="184" formatCode="_-* #,##0\ _S_k_-;\-* #,##0\ _S_k_-;_-* &quot;-&quot;??\ _S_k_-;_-@_-"/>
    <numFmt numFmtId="185" formatCode="_-* #,##0.0\ _€_-;\-* #,##0.0\ _€_-;_-* &quot;-&quot;??\ _€_-;_-@_-"/>
    <numFmt numFmtId="186" formatCode="_-* #,##0\ _€_-;\-* #,##0\ _€_-;_-* &quot;-&quot;??\ _€_-;_-@_-"/>
  </numFmts>
  <fonts count="121">
    <font>
      <sz val="10"/>
      <name val="Arial"/>
      <family val="0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b/>
      <sz val="9"/>
      <color indexed="8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Arial CE"/>
      <family val="0"/>
    </font>
    <font>
      <b/>
      <sz val="9"/>
      <color indexed="9"/>
      <name val="Arial CE"/>
      <family val="0"/>
    </font>
    <font>
      <b/>
      <sz val="9"/>
      <color indexed="9"/>
      <name val="Arial"/>
      <family val="2"/>
    </font>
    <font>
      <b/>
      <i/>
      <sz val="11"/>
      <color indexed="9"/>
      <name val="Arial CE"/>
      <family val="0"/>
    </font>
    <font>
      <b/>
      <sz val="15"/>
      <color indexed="18"/>
      <name val="Tahoma"/>
      <family val="2"/>
    </font>
    <font>
      <b/>
      <i/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1"/>
      <color indexed="9"/>
      <name val="Arial CE"/>
      <family val="2"/>
    </font>
    <font>
      <sz val="10"/>
      <color indexed="9"/>
      <name val="Arial"/>
      <family val="2"/>
    </font>
    <font>
      <b/>
      <sz val="8"/>
      <color indexed="9"/>
      <name val="Arial CE"/>
      <family val="0"/>
    </font>
    <font>
      <b/>
      <sz val="10"/>
      <color indexed="9"/>
      <name val="Arial"/>
      <family val="2"/>
    </font>
    <font>
      <b/>
      <sz val="14"/>
      <color indexed="56"/>
      <name val="Arial Black"/>
      <family val="2"/>
    </font>
    <font>
      <b/>
      <sz val="14"/>
      <color indexed="9"/>
      <name val="Arial CE"/>
      <family val="0"/>
    </font>
    <font>
      <b/>
      <sz val="8"/>
      <name val="Arial"/>
      <family val="2"/>
    </font>
    <font>
      <sz val="11"/>
      <color indexed="9"/>
      <name val="Arial CE"/>
      <family val="0"/>
    </font>
    <font>
      <b/>
      <sz val="12"/>
      <name val="Arial CE"/>
      <family val="2"/>
    </font>
    <font>
      <sz val="8"/>
      <color indexed="9"/>
      <name val="Arial CE"/>
      <family val="0"/>
    </font>
    <font>
      <b/>
      <sz val="22"/>
      <color indexed="18"/>
      <name val="Tahoma"/>
      <family val="2"/>
    </font>
    <font>
      <b/>
      <i/>
      <sz val="9"/>
      <color indexed="9"/>
      <name val="Arial CE"/>
      <family val="0"/>
    </font>
    <font>
      <sz val="9"/>
      <name val="Arial"/>
      <family val="2"/>
    </font>
    <font>
      <sz val="10"/>
      <color indexed="9"/>
      <name val="Arial CE"/>
      <family val="0"/>
    </font>
    <font>
      <b/>
      <sz val="9"/>
      <name val="Arial"/>
      <family val="2"/>
    </font>
    <font>
      <sz val="9"/>
      <color indexed="10"/>
      <name val="Arial CE"/>
      <family val="0"/>
    </font>
    <font>
      <b/>
      <sz val="8"/>
      <color indexed="9"/>
      <name val="Arial"/>
      <family val="2"/>
    </font>
    <font>
      <b/>
      <i/>
      <vertAlign val="superscript"/>
      <sz val="12"/>
      <name val="Arial CE"/>
      <family val="0"/>
    </font>
    <font>
      <b/>
      <sz val="12"/>
      <color indexed="9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i/>
      <sz val="14"/>
      <color indexed="9"/>
      <name val="Arial CE"/>
      <family val="2"/>
    </font>
    <font>
      <sz val="14"/>
      <color indexed="9"/>
      <name val="Arial"/>
      <family val="2"/>
    </font>
    <font>
      <b/>
      <sz val="10"/>
      <color indexed="9"/>
      <name val="Arial CE"/>
      <family val="0"/>
    </font>
    <font>
      <sz val="11"/>
      <name val="Arial CE"/>
      <family val="0"/>
    </font>
    <font>
      <b/>
      <sz val="22"/>
      <color indexed="12"/>
      <name val="Tahoma"/>
      <family val="2"/>
    </font>
    <font>
      <b/>
      <i/>
      <sz val="12"/>
      <color indexed="9"/>
      <name val="Arial CE"/>
      <family val="0"/>
    </font>
    <font>
      <i/>
      <sz val="11"/>
      <name val="Arial CE"/>
      <family val="0"/>
    </font>
    <font>
      <sz val="11"/>
      <name val="Wingdings"/>
      <family val="0"/>
    </font>
    <font>
      <sz val="8"/>
      <color indexed="18"/>
      <name val="Arial CE"/>
      <family val="2"/>
    </font>
    <font>
      <sz val="6"/>
      <color indexed="18"/>
      <name val="Arial CE"/>
      <family val="2"/>
    </font>
    <font>
      <b/>
      <sz val="10"/>
      <color indexed="1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56"/>
      <name val="Arial CE"/>
      <family val="2"/>
    </font>
    <font>
      <sz val="8"/>
      <color indexed="9"/>
      <name val="Arial"/>
      <family val="2"/>
    </font>
    <font>
      <b/>
      <i/>
      <sz val="9"/>
      <color indexed="8"/>
      <name val="Arial CE"/>
      <family val="0"/>
    </font>
    <font>
      <b/>
      <i/>
      <sz val="16"/>
      <color indexed="9"/>
      <name val="Arial CE"/>
      <family val="2"/>
    </font>
    <font>
      <b/>
      <sz val="16"/>
      <color indexed="9"/>
      <name val="Arial CE"/>
      <family val="2"/>
    </font>
    <font>
      <sz val="9"/>
      <color indexed="8"/>
      <name val="Arial CE"/>
      <family val="0"/>
    </font>
    <font>
      <b/>
      <sz val="12"/>
      <color indexed="9"/>
      <name val="Arial"/>
      <family val="2"/>
    </font>
    <font>
      <b/>
      <sz val="10"/>
      <color indexed="56"/>
      <name val="Arial CE"/>
      <family val="0"/>
    </font>
    <font>
      <b/>
      <sz val="20"/>
      <color indexed="18"/>
      <name val="Arial CE"/>
      <family val="2"/>
    </font>
    <font>
      <sz val="20"/>
      <color indexed="18"/>
      <name val="Arial CE"/>
      <family val="2"/>
    </font>
    <font>
      <sz val="9"/>
      <color indexed="9"/>
      <name val="Arial"/>
      <family val="2"/>
    </font>
    <font>
      <b/>
      <sz val="18"/>
      <color indexed="30"/>
      <name val="Arial Black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0"/>
      <color indexed="8"/>
      <name val="Arial CE"/>
      <family val="2"/>
    </font>
    <font>
      <b/>
      <i/>
      <sz val="11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 Black"/>
      <family val="2"/>
    </font>
    <font>
      <i/>
      <sz val="7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62"/>
      </right>
      <top style="thin"/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62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6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10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8" fillId="0" borderId="2" applyNumberFormat="0" applyFill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0" fillId="0" borderId="0" applyNumberFormat="0" applyFill="0" applyBorder="0" applyAlignment="0" applyProtection="0"/>
    <xf numFmtId="0" fontId="1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4" borderId="8" applyNumberFormat="0" applyAlignment="0" applyProtection="0"/>
    <xf numFmtId="0" fontId="117" fillId="25" borderId="8" applyNumberFormat="0" applyAlignment="0" applyProtection="0"/>
    <xf numFmtId="0" fontId="118" fillId="25" borderId="9" applyNumberFormat="0" applyAlignment="0" applyProtection="0"/>
    <xf numFmtId="0" fontId="119" fillId="0" borderId="0" applyNumberFormat="0" applyFill="0" applyBorder="0" applyAlignment="0" applyProtection="0"/>
    <xf numFmtId="0" fontId="120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105" fillId="30" borderId="0" applyNumberFormat="0" applyBorder="0" applyAlignment="0" applyProtection="0"/>
    <xf numFmtId="0" fontId="105" fillId="31" borderId="0" applyNumberFormat="0" applyBorder="0" applyAlignment="0" applyProtection="0"/>
    <xf numFmtId="0" fontId="105" fillId="32" borderId="0" applyNumberFormat="0" applyBorder="0" applyAlignment="0" applyProtection="0"/>
  </cellStyleXfs>
  <cellXfs count="132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2" fillId="34" borderId="11" xfId="0" applyFont="1" applyFill="1" applyBorder="1" applyAlignment="1">
      <alignment horizontal="center"/>
    </xf>
    <xf numFmtId="0" fontId="15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0" fillId="0" borderId="0" xfId="0" applyFill="1" applyAlignment="1">
      <alignment/>
    </xf>
    <xf numFmtId="0" fontId="1" fillId="35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27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5" fillId="34" borderId="27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49" fontId="3" fillId="36" borderId="13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2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3" fillId="0" borderId="20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3" fillId="0" borderId="17" xfId="0" applyFont="1" applyBorder="1" applyAlignment="1">
      <alignment/>
    </xf>
    <xf numFmtId="49" fontId="3" fillId="33" borderId="3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13" fillId="0" borderId="17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18" fillId="33" borderId="20" xfId="0" applyFont="1" applyFill="1" applyBorder="1" applyAlignment="1">
      <alignment/>
    </xf>
    <xf numFmtId="0" fontId="14" fillId="0" borderId="17" xfId="0" applyFont="1" applyBorder="1" applyAlignment="1">
      <alignment/>
    </xf>
    <xf numFmtId="49" fontId="4" fillId="33" borderId="30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33" borderId="0" xfId="0" applyFill="1" applyAlignment="1">
      <alignment/>
    </xf>
    <xf numFmtId="0" fontId="12" fillId="33" borderId="13" xfId="0" applyFont="1" applyFill="1" applyBorder="1" applyAlignment="1">
      <alignment horizontal="center"/>
    </xf>
    <xf numFmtId="0" fontId="3" fillId="35" borderId="29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49" fontId="6" fillId="36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49" fontId="6" fillId="36" borderId="3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4" fillId="0" borderId="0" xfId="0" applyFont="1" applyAlignment="1">
      <alignment/>
    </xf>
    <xf numFmtId="4" fontId="0" fillId="0" borderId="0" xfId="0" applyNumberFormat="1" applyAlignment="1">
      <alignment/>
    </xf>
    <xf numFmtId="3" fontId="5" fillId="34" borderId="12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/>
    </xf>
    <xf numFmtId="3" fontId="5" fillId="34" borderId="26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59" fillId="37" borderId="19" xfId="0" applyFont="1" applyFill="1" applyBorder="1" applyAlignment="1">
      <alignment/>
    </xf>
    <xf numFmtId="49" fontId="60" fillId="37" borderId="29" xfId="0" applyNumberFormat="1" applyFont="1" applyFill="1" applyBorder="1" applyAlignment="1">
      <alignment horizontal="center"/>
    </xf>
    <xf numFmtId="0" fontId="59" fillId="37" borderId="0" xfId="0" applyFont="1" applyFill="1" applyBorder="1" applyAlignment="1">
      <alignment/>
    </xf>
    <xf numFmtId="0" fontId="59" fillId="37" borderId="29" xfId="0" applyFont="1" applyFill="1" applyBorder="1" applyAlignment="1">
      <alignment/>
    </xf>
    <xf numFmtId="0" fontId="59" fillId="37" borderId="22" xfId="0" applyFont="1" applyFill="1" applyBorder="1" applyAlignment="1">
      <alignment/>
    </xf>
    <xf numFmtId="49" fontId="60" fillId="37" borderId="32" xfId="0" applyNumberFormat="1" applyFont="1" applyFill="1" applyBorder="1" applyAlignment="1">
      <alignment horizontal="center"/>
    </xf>
    <xf numFmtId="49" fontId="60" fillId="37" borderId="35" xfId="0" applyNumberFormat="1" applyFont="1" applyFill="1" applyBorder="1" applyAlignment="1">
      <alignment horizontal="center"/>
    </xf>
    <xf numFmtId="0" fontId="61" fillId="37" borderId="36" xfId="0" applyFont="1" applyFill="1" applyBorder="1" applyAlignment="1">
      <alignment/>
    </xf>
    <xf numFmtId="0" fontId="59" fillId="37" borderId="32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3" fontId="62" fillId="0" borderId="0" xfId="0" applyNumberFormat="1" applyFont="1" applyFill="1" applyAlignment="1">
      <alignment/>
    </xf>
    <xf numFmtId="3" fontId="62" fillId="33" borderId="0" xfId="0" applyNumberFormat="1" applyFont="1" applyFill="1" applyAlignment="1">
      <alignment/>
    </xf>
    <xf numFmtId="3" fontId="63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3" fontId="36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30" fillId="38" borderId="37" xfId="0" applyFont="1" applyFill="1" applyBorder="1" applyAlignment="1">
      <alignment horizontal="left" vertical="center"/>
    </xf>
    <xf numFmtId="0" fontId="30" fillId="38" borderId="38" xfId="0" applyFont="1" applyFill="1" applyBorder="1" applyAlignment="1">
      <alignment horizontal="left" vertical="center"/>
    </xf>
    <xf numFmtId="0" fontId="30" fillId="38" borderId="36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0" fontId="31" fillId="33" borderId="0" xfId="0" applyFont="1" applyFill="1" applyAlignment="1">
      <alignment/>
    </xf>
    <xf numFmtId="0" fontId="30" fillId="38" borderId="39" xfId="0" applyFont="1" applyFill="1" applyBorder="1" applyAlignment="1">
      <alignment horizontal="left" vertical="center"/>
    </xf>
    <xf numFmtId="3" fontId="26" fillId="33" borderId="0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13" fillId="33" borderId="12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39" fillId="39" borderId="11" xfId="0" applyNumberFormat="1" applyFont="1" applyFill="1" applyBorder="1" applyAlignment="1">
      <alignment horizontal="center"/>
    </xf>
    <xf numFmtId="49" fontId="39" fillId="39" borderId="12" xfId="0" applyNumberFormat="1" applyFont="1" applyFill="1" applyBorder="1" applyAlignment="1">
      <alignment horizontal="center"/>
    </xf>
    <xf numFmtId="0" fontId="26" fillId="39" borderId="40" xfId="0" applyFont="1" applyFill="1" applyBorder="1" applyAlignment="1">
      <alignment/>
    </xf>
    <xf numFmtId="0" fontId="3" fillId="33" borderId="41" xfId="0" applyFont="1" applyFill="1" applyBorder="1" applyAlignment="1">
      <alignment horizontal="center"/>
    </xf>
    <xf numFmtId="49" fontId="39" fillId="39" borderId="42" xfId="0" applyNumberFormat="1" applyFont="1" applyFill="1" applyBorder="1" applyAlignment="1">
      <alignment horizontal="center"/>
    </xf>
    <xf numFmtId="49" fontId="39" fillId="39" borderId="43" xfId="0" applyNumberFormat="1" applyFont="1" applyFill="1" applyBorder="1" applyAlignment="1">
      <alignment horizontal="center"/>
    </xf>
    <xf numFmtId="0" fontId="26" fillId="39" borderId="43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49" fontId="4" fillId="40" borderId="26" xfId="0" applyNumberFormat="1" applyFont="1" applyFill="1" applyBorder="1" applyAlignment="1">
      <alignment horizontal="center"/>
    </xf>
    <xf numFmtId="49" fontId="4" fillId="40" borderId="34" xfId="0" applyNumberFormat="1" applyFont="1" applyFill="1" applyBorder="1" applyAlignment="1">
      <alignment horizontal="center"/>
    </xf>
    <xf numFmtId="49" fontId="2" fillId="40" borderId="34" xfId="0" applyNumberFormat="1" applyFont="1" applyFill="1" applyBorder="1" applyAlignment="1">
      <alignment horizontal="center"/>
    </xf>
    <xf numFmtId="0" fontId="64" fillId="40" borderId="44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12" fillId="34" borderId="12" xfId="0" applyNumberFormat="1" applyFont="1" applyFill="1" applyBorder="1" applyAlignment="1">
      <alignment horizontal="center" vertical="center"/>
    </xf>
    <xf numFmtId="49" fontId="12" fillId="34" borderId="13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12" fillId="34" borderId="14" xfId="0" applyNumberFormat="1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vertical="center"/>
    </xf>
    <xf numFmtId="0" fontId="38" fillId="34" borderId="17" xfId="0" applyFont="1" applyFill="1" applyBorder="1" applyAlignment="1">
      <alignment vertical="center"/>
    </xf>
    <xf numFmtId="0" fontId="38" fillId="34" borderId="20" xfId="0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39" fillId="38" borderId="36" xfId="0" applyFont="1" applyFill="1" applyBorder="1" applyAlignment="1">
      <alignment/>
    </xf>
    <xf numFmtId="0" fontId="39" fillId="38" borderId="25" xfId="0" applyFont="1" applyFill="1" applyBorder="1" applyAlignment="1">
      <alignment/>
    </xf>
    <xf numFmtId="3" fontId="5" fillId="34" borderId="15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40" fillId="0" borderId="0" xfId="0" applyFont="1" applyAlignment="1">
      <alignment/>
    </xf>
    <xf numFmtId="49" fontId="0" fillId="33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3" fontId="23" fillId="38" borderId="32" xfId="0" applyNumberFormat="1" applyFont="1" applyFill="1" applyBorder="1" applyAlignment="1">
      <alignment vertical="center"/>
    </xf>
    <xf numFmtId="3" fontId="23" fillId="38" borderId="3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23" fillId="38" borderId="22" xfId="0" applyNumberFormat="1" applyFont="1" applyFill="1" applyBorder="1" applyAlignment="1">
      <alignment vertical="center"/>
    </xf>
    <xf numFmtId="0" fontId="39" fillId="38" borderId="36" xfId="0" applyFont="1" applyFill="1" applyBorder="1" applyAlignment="1">
      <alignment vertical="center"/>
    </xf>
    <xf numFmtId="0" fontId="39" fillId="38" borderId="25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vertical="center"/>
    </xf>
    <xf numFmtId="0" fontId="39" fillId="38" borderId="45" xfId="0" applyFont="1" applyFill="1" applyBorder="1" applyAlignment="1">
      <alignment vertical="center"/>
    </xf>
    <xf numFmtId="0" fontId="39" fillId="38" borderId="46" xfId="0" applyFont="1" applyFill="1" applyBorder="1" applyAlignment="1">
      <alignment vertical="center"/>
    </xf>
    <xf numFmtId="3" fontId="23" fillId="38" borderId="47" xfId="0" applyNumberFormat="1" applyFont="1" applyFill="1" applyBorder="1" applyAlignment="1">
      <alignment vertical="center"/>
    </xf>
    <xf numFmtId="3" fontId="23" fillId="38" borderId="48" xfId="0" applyNumberFormat="1" applyFont="1" applyFill="1" applyBorder="1" applyAlignment="1">
      <alignment vertical="center"/>
    </xf>
    <xf numFmtId="3" fontId="9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/>
    </xf>
    <xf numFmtId="3" fontId="65" fillId="33" borderId="0" xfId="0" applyNumberFormat="1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39" fillId="38" borderId="32" xfId="0" applyFont="1" applyFill="1" applyBorder="1" applyAlignment="1">
      <alignment vertical="center"/>
    </xf>
    <xf numFmtId="0" fontId="43" fillId="38" borderId="36" xfId="0" applyFont="1" applyFill="1" applyBorder="1" applyAlignment="1">
      <alignment vertical="center"/>
    </xf>
    <xf numFmtId="3" fontId="5" fillId="34" borderId="49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3" fontId="3" fillId="33" borderId="0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vertical="center"/>
    </xf>
    <xf numFmtId="0" fontId="5" fillId="36" borderId="18" xfId="0" applyFont="1" applyFill="1" applyBorder="1" applyAlignment="1">
      <alignment/>
    </xf>
    <xf numFmtId="0" fontId="5" fillId="41" borderId="18" xfId="0" applyFont="1" applyFill="1" applyBorder="1" applyAlignment="1">
      <alignment/>
    </xf>
    <xf numFmtId="0" fontId="44" fillId="41" borderId="21" xfId="0" applyFont="1" applyFill="1" applyBorder="1" applyAlignment="1">
      <alignment/>
    </xf>
    <xf numFmtId="0" fontId="5" fillId="41" borderId="21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39" fillId="38" borderId="50" xfId="0" applyFont="1" applyFill="1" applyBorder="1" applyAlignment="1">
      <alignment vertical="center"/>
    </xf>
    <xf numFmtId="0" fontId="39" fillId="38" borderId="51" xfId="0" applyFont="1" applyFill="1" applyBorder="1" applyAlignment="1">
      <alignment vertical="center"/>
    </xf>
    <xf numFmtId="3" fontId="23" fillId="38" borderId="52" xfId="0" applyNumberFormat="1" applyFont="1" applyFill="1" applyBorder="1" applyAlignment="1">
      <alignment vertical="center"/>
    </xf>
    <xf numFmtId="3" fontId="23" fillId="38" borderId="53" xfId="0" applyNumberFormat="1" applyFont="1" applyFill="1" applyBorder="1" applyAlignment="1">
      <alignment vertical="center"/>
    </xf>
    <xf numFmtId="3" fontId="23" fillId="38" borderId="54" xfId="0" applyNumberFormat="1" applyFont="1" applyFill="1" applyBorder="1" applyAlignment="1">
      <alignment vertical="center"/>
    </xf>
    <xf numFmtId="3" fontId="6" fillId="36" borderId="14" xfId="0" applyNumberFormat="1" applyFont="1" applyFill="1" applyBorder="1" applyAlignment="1">
      <alignment horizontal="right"/>
    </xf>
    <xf numFmtId="3" fontId="6" fillId="36" borderId="11" xfId="0" applyNumberFormat="1" applyFont="1" applyFill="1" applyBorder="1" applyAlignment="1">
      <alignment horizontal="right"/>
    </xf>
    <xf numFmtId="3" fontId="6" fillId="36" borderId="11" xfId="0" applyNumberFormat="1" applyFont="1" applyFill="1" applyBorder="1" applyAlignment="1">
      <alignment/>
    </xf>
    <xf numFmtId="3" fontId="6" fillId="36" borderId="12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 horizontal="right"/>
    </xf>
    <xf numFmtId="3" fontId="6" fillId="36" borderId="13" xfId="0" applyNumberFormat="1" applyFont="1" applyFill="1" applyBorder="1" applyAlignment="1">
      <alignment/>
    </xf>
    <xf numFmtId="3" fontId="6" fillId="36" borderId="55" xfId="0" applyNumberFormat="1" applyFont="1" applyFill="1" applyBorder="1" applyAlignment="1">
      <alignment horizontal="right"/>
    </xf>
    <xf numFmtId="3" fontId="6" fillId="36" borderId="56" xfId="0" applyNumberFormat="1" applyFont="1" applyFill="1" applyBorder="1" applyAlignment="1">
      <alignment horizontal="right"/>
    </xf>
    <xf numFmtId="3" fontId="6" fillId="36" borderId="23" xfId="0" applyNumberFormat="1" applyFont="1" applyFill="1" applyBorder="1" applyAlignment="1">
      <alignment horizontal="right"/>
    </xf>
    <xf numFmtId="3" fontId="6" fillId="36" borderId="33" xfId="0" applyNumberFormat="1" applyFont="1" applyFill="1" applyBorder="1" applyAlignment="1">
      <alignment horizontal="right"/>
    </xf>
    <xf numFmtId="3" fontId="6" fillId="36" borderId="10" xfId="0" applyNumberFormat="1" applyFont="1" applyFill="1" applyBorder="1" applyAlignment="1">
      <alignment horizontal="right"/>
    </xf>
    <xf numFmtId="3" fontId="6" fillId="41" borderId="14" xfId="0" applyNumberFormat="1" applyFont="1" applyFill="1" applyBorder="1" applyAlignment="1">
      <alignment horizontal="right"/>
    </xf>
    <xf numFmtId="3" fontId="6" fillId="41" borderId="11" xfId="0" applyNumberFormat="1" applyFont="1" applyFill="1" applyBorder="1" applyAlignment="1">
      <alignment horizontal="right"/>
    </xf>
    <xf numFmtId="3" fontId="6" fillId="41" borderId="11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0" fontId="40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32" fillId="38" borderId="57" xfId="0" applyFont="1" applyFill="1" applyBorder="1" applyAlignment="1">
      <alignment horizontal="center"/>
    </xf>
    <xf numFmtId="0" fontId="48" fillId="38" borderId="38" xfId="0" applyFont="1" applyFill="1" applyBorder="1" applyAlignment="1">
      <alignment horizontal="left" vertical="center"/>
    </xf>
    <xf numFmtId="3" fontId="6" fillId="36" borderId="58" xfId="0" applyNumberFormat="1" applyFont="1" applyFill="1" applyBorder="1" applyAlignment="1">
      <alignment horizontal="right"/>
    </xf>
    <xf numFmtId="0" fontId="3" fillId="34" borderId="34" xfId="0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3" fontId="7" fillId="34" borderId="34" xfId="0" applyNumberFormat="1" applyFont="1" applyFill="1" applyBorder="1" applyAlignment="1">
      <alignment/>
    </xf>
    <xf numFmtId="3" fontId="7" fillId="34" borderId="26" xfId="0" applyNumberFormat="1" applyFont="1" applyFill="1" applyBorder="1" applyAlignment="1">
      <alignment/>
    </xf>
    <xf numFmtId="0" fontId="66" fillId="34" borderId="13" xfId="0" applyFont="1" applyFill="1" applyBorder="1" applyAlignment="1">
      <alignment horizontal="center"/>
    </xf>
    <xf numFmtId="3" fontId="6" fillId="36" borderId="59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3" fontId="23" fillId="33" borderId="0" xfId="0" applyNumberFormat="1" applyFont="1" applyFill="1" applyBorder="1" applyAlignment="1">
      <alignment vertical="center"/>
    </xf>
    <xf numFmtId="3" fontId="3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3" fontId="41" fillId="33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0" fontId="14" fillId="33" borderId="12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3" fillId="35" borderId="60" xfId="0" applyFont="1" applyFill="1" applyBorder="1" applyAlignment="1">
      <alignment/>
    </xf>
    <xf numFmtId="0" fontId="3" fillId="35" borderId="61" xfId="0" applyFont="1" applyFill="1" applyBorder="1" applyAlignment="1">
      <alignment/>
    </xf>
    <xf numFmtId="3" fontId="7" fillId="34" borderId="14" xfId="0" applyNumberFormat="1" applyFont="1" applyFill="1" applyBorder="1" applyAlignment="1">
      <alignment/>
    </xf>
    <xf numFmtId="3" fontId="7" fillId="34" borderId="11" xfId="0" applyNumberFormat="1" applyFont="1" applyFill="1" applyBorder="1" applyAlignment="1">
      <alignment/>
    </xf>
    <xf numFmtId="0" fontId="3" fillId="35" borderId="62" xfId="0" applyFont="1" applyFill="1" applyBorder="1" applyAlignment="1">
      <alignment/>
    </xf>
    <xf numFmtId="0" fontId="39" fillId="38" borderId="63" xfId="0" applyFont="1" applyFill="1" applyBorder="1" applyAlignment="1">
      <alignment vertical="center"/>
    </xf>
    <xf numFmtId="0" fontId="5" fillId="36" borderId="12" xfId="0" applyFont="1" applyFill="1" applyBorder="1" applyAlignment="1">
      <alignment/>
    </xf>
    <xf numFmtId="0" fontId="3" fillId="35" borderId="30" xfId="0" applyFont="1" applyFill="1" applyBorder="1" applyAlignment="1">
      <alignment horizontal="center" vertical="center" textRotation="180" wrapText="1"/>
    </xf>
    <xf numFmtId="0" fontId="3" fillId="35" borderId="35" xfId="0" applyFont="1" applyFill="1" applyBorder="1" applyAlignment="1">
      <alignment horizontal="center" vertical="center" textRotation="180" wrapText="1"/>
    </xf>
    <xf numFmtId="0" fontId="8" fillId="33" borderId="0" xfId="0" applyFont="1" applyFill="1" applyBorder="1" applyAlignment="1">
      <alignment horizontal="center"/>
    </xf>
    <xf numFmtId="3" fontId="53" fillId="42" borderId="10" xfId="0" applyNumberFormat="1" applyFont="1" applyFill="1" applyBorder="1" applyAlignment="1">
      <alignment/>
    </xf>
    <xf numFmtId="0" fontId="12" fillId="40" borderId="17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12" fillId="40" borderId="20" xfId="0" applyFont="1" applyFill="1" applyBorder="1" applyAlignment="1">
      <alignment/>
    </xf>
    <xf numFmtId="0" fontId="3" fillId="40" borderId="12" xfId="0" applyFont="1" applyFill="1" applyBorder="1" applyAlignment="1">
      <alignment/>
    </xf>
    <xf numFmtId="0" fontId="12" fillId="40" borderId="64" xfId="0" applyFont="1" applyFill="1" applyBorder="1" applyAlignment="1">
      <alignment/>
    </xf>
    <xf numFmtId="0" fontId="3" fillId="40" borderId="62" xfId="0" applyFont="1" applyFill="1" applyBorder="1" applyAlignment="1">
      <alignment/>
    </xf>
    <xf numFmtId="3" fontId="53" fillId="43" borderId="15" xfId="0" applyNumberFormat="1" applyFont="1" applyFill="1" applyBorder="1" applyAlignment="1">
      <alignment horizontal="right"/>
    </xf>
    <xf numFmtId="0" fontId="39" fillId="39" borderId="16" xfId="0" applyFont="1" applyFill="1" applyBorder="1" applyAlignment="1">
      <alignment horizontal="center"/>
    </xf>
    <xf numFmtId="49" fontId="23" fillId="39" borderId="26" xfId="0" applyNumberFormat="1" applyFont="1" applyFill="1" applyBorder="1" applyAlignment="1">
      <alignment horizontal="center"/>
    </xf>
    <xf numFmtId="49" fontId="23" fillId="39" borderId="34" xfId="0" applyNumberFormat="1" applyFont="1" applyFill="1" applyBorder="1" applyAlignment="1">
      <alignment horizontal="center"/>
    </xf>
    <xf numFmtId="49" fontId="53" fillId="39" borderId="34" xfId="0" applyNumberFormat="1" applyFont="1" applyFill="1" applyBorder="1" applyAlignment="1">
      <alignment horizontal="center"/>
    </xf>
    <xf numFmtId="0" fontId="53" fillId="39" borderId="34" xfId="0" applyFont="1" applyFill="1" applyBorder="1" applyAlignment="1">
      <alignment/>
    </xf>
    <xf numFmtId="0" fontId="51" fillId="39" borderId="27" xfId="0" applyFont="1" applyFill="1" applyBorder="1" applyAlignment="1">
      <alignment/>
    </xf>
    <xf numFmtId="49" fontId="67" fillId="39" borderId="33" xfId="0" applyNumberFormat="1" applyFont="1" applyFill="1" applyBorder="1" applyAlignment="1">
      <alignment horizontal="center"/>
    </xf>
    <xf numFmtId="49" fontId="67" fillId="39" borderId="23" xfId="0" applyNumberFormat="1" applyFont="1" applyFill="1" applyBorder="1" applyAlignment="1">
      <alignment horizontal="center"/>
    </xf>
    <xf numFmtId="49" fontId="68" fillId="39" borderId="23" xfId="0" applyNumberFormat="1" applyFont="1" applyFill="1" applyBorder="1" applyAlignment="1">
      <alignment horizontal="center"/>
    </xf>
    <xf numFmtId="0" fontId="51" fillId="39" borderId="33" xfId="0" applyFont="1" applyFill="1" applyBorder="1" applyAlignment="1">
      <alignment/>
    </xf>
    <xf numFmtId="0" fontId="8" fillId="34" borderId="26" xfId="0" applyFont="1" applyFill="1" applyBorder="1" applyAlignment="1">
      <alignment horizontal="left" vertical="center"/>
    </xf>
    <xf numFmtId="3" fontId="30" fillId="44" borderId="13" xfId="0" applyNumberFormat="1" applyFont="1" applyFill="1" applyBorder="1" applyAlignment="1">
      <alignment horizontal="right"/>
    </xf>
    <xf numFmtId="3" fontId="30" fillId="42" borderId="21" xfId="0" applyNumberFormat="1" applyFont="1" applyFill="1" applyBorder="1" applyAlignment="1">
      <alignment horizontal="right"/>
    </xf>
    <xf numFmtId="3" fontId="30" fillId="44" borderId="11" xfId="0" applyNumberFormat="1" applyFont="1" applyFill="1" applyBorder="1" applyAlignment="1">
      <alignment horizontal="right"/>
    </xf>
    <xf numFmtId="3" fontId="30" fillId="42" borderId="18" xfId="0" applyNumberFormat="1" applyFont="1" applyFill="1" applyBorder="1" applyAlignment="1">
      <alignment horizontal="right"/>
    </xf>
    <xf numFmtId="3" fontId="54" fillId="0" borderId="11" xfId="0" applyNumberFormat="1" applyFont="1" applyBorder="1" applyAlignment="1">
      <alignment horizontal="right"/>
    </xf>
    <xf numFmtId="3" fontId="54" fillId="0" borderId="18" xfId="0" applyNumberFormat="1" applyFont="1" applyBorder="1" applyAlignment="1">
      <alignment horizontal="right"/>
    </xf>
    <xf numFmtId="3" fontId="54" fillId="0" borderId="11" xfId="0" applyNumberFormat="1" applyFont="1" applyFill="1" applyBorder="1" applyAlignment="1">
      <alignment horizontal="right"/>
    </xf>
    <xf numFmtId="3" fontId="19" fillId="34" borderId="30" xfId="0" applyNumberFormat="1" applyFont="1" applyFill="1" applyBorder="1" applyAlignment="1">
      <alignment horizontal="right"/>
    </xf>
    <xf numFmtId="3" fontId="19" fillId="34" borderId="13" xfId="0" applyNumberFormat="1" applyFont="1" applyFill="1" applyBorder="1" applyAlignment="1">
      <alignment horizontal="right"/>
    </xf>
    <xf numFmtId="4" fontId="19" fillId="34" borderId="56" xfId="0" applyNumberFormat="1" applyFont="1" applyFill="1" applyBorder="1" applyAlignment="1">
      <alignment horizontal="right"/>
    </xf>
    <xf numFmtId="4" fontId="19" fillId="34" borderId="13" xfId="0" applyNumberFormat="1" applyFont="1" applyFill="1" applyBorder="1" applyAlignment="1">
      <alignment horizontal="right"/>
    </xf>
    <xf numFmtId="4" fontId="19" fillId="34" borderId="26" xfId="0" applyNumberFormat="1" applyFont="1" applyFill="1" applyBorder="1" applyAlignment="1">
      <alignment horizontal="right"/>
    </xf>
    <xf numFmtId="3" fontId="19" fillId="34" borderId="26" xfId="0" applyNumberFormat="1" applyFont="1" applyFill="1" applyBorder="1" applyAlignment="1">
      <alignment horizontal="right"/>
    </xf>
    <xf numFmtId="3" fontId="30" fillId="42" borderId="28" xfId="0" applyNumberFormat="1" applyFont="1" applyFill="1" applyBorder="1" applyAlignment="1">
      <alignment horizontal="right" vertical="center"/>
    </xf>
    <xf numFmtId="0" fontId="5" fillId="36" borderId="14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33" borderId="6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3" fontId="6" fillId="36" borderId="66" xfId="0" applyNumberFormat="1" applyFont="1" applyFill="1" applyBorder="1" applyAlignment="1">
      <alignment horizontal="right"/>
    </xf>
    <xf numFmtId="3" fontId="53" fillId="33" borderId="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37" fillId="38" borderId="6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 vertical="center" wrapText="1"/>
    </xf>
    <xf numFmtId="0" fontId="0" fillId="33" borderId="67" xfId="0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/>
    </xf>
    <xf numFmtId="0" fontId="11" fillId="0" borderId="34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33" borderId="34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62" xfId="0" applyFont="1" applyFill="1" applyBorder="1" applyAlignment="1">
      <alignment/>
    </xf>
    <xf numFmtId="3" fontId="48" fillId="43" borderId="12" xfId="0" applyNumberFormat="1" applyFont="1" applyFill="1" applyBorder="1" applyAlignment="1">
      <alignment horizontal="right" vertical="center"/>
    </xf>
    <xf numFmtId="3" fontId="48" fillId="43" borderId="14" xfId="0" applyNumberFormat="1" applyFont="1" applyFill="1" applyBorder="1" applyAlignment="1">
      <alignment horizontal="right" vertical="center"/>
    </xf>
    <xf numFmtId="3" fontId="48" fillId="43" borderId="34" xfId="0" applyNumberFormat="1" applyFont="1" applyFill="1" applyBorder="1" applyAlignment="1">
      <alignment horizontal="right"/>
    </xf>
    <xf numFmtId="3" fontId="48" fillId="43" borderId="49" xfId="0" applyNumberFormat="1" applyFont="1" applyFill="1" applyBorder="1" applyAlignment="1">
      <alignment horizontal="right"/>
    </xf>
    <xf numFmtId="3" fontId="48" fillId="43" borderId="69" xfId="0" applyNumberFormat="1" applyFont="1" applyFill="1" applyBorder="1" applyAlignment="1">
      <alignment horizontal="right"/>
    </xf>
    <xf numFmtId="3" fontId="48" fillId="43" borderId="49" xfId="0" applyNumberFormat="1" applyFont="1" applyFill="1" applyBorder="1" applyAlignment="1">
      <alignment horizontal="right"/>
    </xf>
    <xf numFmtId="3" fontId="48" fillId="43" borderId="10" xfId="0" applyNumberFormat="1" applyFont="1" applyFill="1" applyBorder="1" applyAlignment="1">
      <alignment horizontal="right"/>
    </xf>
    <xf numFmtId="3" fontId="48" fillId="43" borderId="69" xfId="0" applyNumberFormat="1" applyFont="1" applyFill="1" applyBorder="1" applyAlignment="1">
      <alignment horizontal="right"/>
    </xf>
    <xf numFmtId="0" fontId="35" fillId="38" borderId="38" xfId="0" applyFont="1" applyFill="1" applyBorder="1" applyAlignment="1">
      <alignment horizontal="left" vertical="center"/>
    </xf>
    <xf numFmtId="3" fontId="56" fillId="38" borderId="32" xfId="0" applyNumberFormat="1" applyFont="1" applyFill="1" applyBorder="1" applyAlignment="1">
      <alignment vertical="center"/>
    </xf>
    <xf numFmtId="3" fontId="56" fillId="38" borderId="35" xfId="0" applyNumberFormat="1" applyFont="1" applyFill="1" applyBorder="1" applyAlignment="1">
      <alignment vertical="center"/>
    </xf>
    <xf numFmtId="3" fontId="56" fillId="38" borderId="22" xfId="0" applyNumberFormat="1" applyFont="1" applyFill="1" applyBorder="1" applyAlignment="1">
      <alignment vertical="center"/>
    </xf>
    <xf numFmtId="3" fontId="56" fillId="38" borderId="63" xfId="0" applyNumberFormat="1" applyFont="1" applyFill="1" applyBorder="1" applyAlignment="1">
      <alignment vertical="center"/>
    </xf>
    <xf numFmtId="3" fontId="56" fillId="38" borderId="47" xfId="0" applyNumberFormat="1" applyFont="1" applyFill="1" applyBorder="1" applyAlignment="1">
      <alignment vertical="center"/>
    </xf>
    <xf numFmtId="3" fontId="56" fillId="38" borderId="48" xfId="0" applyNumberFormat="1" applyFont="1" applyFill="1" applyBorder="1" applyAlignment="1">
      <alignment vertical="center"/>
    </xf>
    <xf numFmtId="0" fontId="19" fillId="36" borderId="21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19" fillId="36" borderId="18" xfId="0" applyFont="1" applyFill="1" applyBorder="1" applyAlignment="1">
      <alignment/>
    </xf>
    <xf numFmtId="3" fontId="17" fillId="36" borderId="11" xfId="0" applyNumberFormat="1" applyFont="1" applyFill="1" applyBorder="1" applyAlignment="1">
      <alignment horizontal="right"/>
    </xf>
    <xf numFmtId="3" fontId="17" fillId="36" borderId="11" xfId="0" applyNumberFormat="1" applyFont="1" applyFill="1" applyBorder="1" applyAlignment="1">
      <alignment/>
    </xf>
    <xf numFmtId="3" fontId="17" fillId="36" borderId="13" xfId="0" applyNumberFormat="1" applyFont="1" applyFill="1" applyBorder="1" applyAlignment="1">
      <alignment horizontal="right"/>
    </xf>
    <xf numFmtId="3" fontId="17" fillId="36" borderId="13" xfId="0" applyNumberFormat="1" applyFont="1" applyFill="1" applyBorder="1" applyAlignment="1">
      <alignment/>
    </xf>
    <xf numFmtId="0" fontId="3" fillId="45" borderId="15" xfId="0" applyFont="1" applyFill="1" applyBorder="1" applyAlignment="1">
      <alignment horizontal="center"/>
    </xf>
    <xf numFmtId="0" fontId="19" fillId="45" borderId="65" xfId="0" applyFont="1" applyFill="1" applyBorder="1" applyAlignment="1">
      <alignment/>
    </xf>
    <xf numFmtId="0" fontId="49" fillId="45" borderId="20" xfId="0" applyFont="1" applyFill="1" applyBorder="1" applyAlignment="1">
      <alignment/>
    </xf>
    <xf numFmtId="0" fontId="49" fillId="45" borderId="12" xfId="0" applyFont="1" applyFill="1" applyBorder="1" applyAlignment="1">
      <alignment/>
    </xf>
    <xf numFmtId="0" fontId="39" fillId="44" borderId="15" xfId="0" applyFont="1" applyFill="1" applyBorder="1" applyAlignment="1">
      <alignment horizontal="center"/>
    </xf>
    <xf numFmtId="49" fontId="70" fillId="44" borderId="40" xfId="0" applyNumberFormat="1" applyFont="1" applyFill="1" applyBorder="1" applyAlignment="1">
      <alignment horizontal="center" vertical="center" wrapText="1"/>
    </xf>
    <xf numFmtId="49" fontId="70" fillId="42" borderId="2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3" fontId="6" fillId="36" borderId="18" xfId="0" applyNumberFormat="1" applyFont="1" applyFill="1" applyBorder="1" applyAlignment="1">
      <alignment horizontal="right"/>
    </xf>
    <xf numFmtId="3" fontId="24" fillId="46" borderId="70" xfId="0" applyNumberFormat="1" applyFont="1" applyFill="1" applyBorder="1" applyAlignment="1">
      <alignment/>
    </xf>
    <xf numFmtId="3" fontId="24" fillId="46" borderId="71" xfId="0" applyNumberFormat="1" applyFont="1" applyFill="1" applyBorder="1" applyAlignment="1">
      <alignment/>
    </xf>
    <xf numFmtId="3" fontId="6" fillId="36" borderId="71" xfId="0" applyNumberFormat="1" applyFont="1" applyFill="1" applyBorder="1" applyAlignment="1">
      <alignment horizontal="right"/>
    </xf>
    <xf numFmtId="3" fontId="6" fillId="36" borderId="71" xfId="0" applyNumberFormat="1" applyFont="1" applyFill="1" applyBorder="1" applyAlignment="1">
      <alignment/>
    </xf>
    <xf numFmtId="3" fontId="6" fillId="36" borderId="72" xfId="0" applyNumberFormat="1" applyFont="1" applyFill="1" applyBorder="1" applyAlignment="1">
      <alignment/>
    </xf>
    <xf numFmtId="3" fontId="24" fillId="46" borderId="73" xfId="0" applyNumberFormat="1" applyFont="1" applyFill="1" applyBorder="1" applyAlignment="1">
      <alignment/>
    </xf>
    <xf numFmtId="0" fontId="58" fillId="0" borderId="0" xfId="0" applyFont="1" applyAlignment="1">
      <alignment wrapText="1"/>
    </xf>
    <xf numFmtId="3" fontId="6" fillId="0" borderId="15" xfId="0" applyNumberFormat="1" applyFont="1" applyFill="1" applyBorder="1" applyAlignment="1">
      <alignment horizontal="right"/>
    </xf>
    <xf numFmtId="0" fontId="1" fillId="35" borderId="74" xfId="0" applyFont="1" applyFill="1" applyBorder="1" applyAlignment="1">
      <alignment horizontal="center"/>
    </xf>
    <xf numFmtId="0" fontId="52" fillId="38" borderId="75" xfId="0" applyFont="1" applyFill="1" applyBorder="1" applyAlignment="1">
      <alignment horizontal="left" vertical="center"/>
    </xf>
    <xf numFmtId="0" fontId="77" fillId="44" borderId="20" xfId="0" applyFont="1" applyFill="1" applyBorder="1" applyAlignment="1">
      <alignment/>
    </xf>
    <xf numFmtId="3" fontId="48" fillId="47" borderId="12" xfId="0" applyNumberFormat="1" applyFont="1" applyFill="1" applyBorder="1" applyAlignment="1">
      <alignment horizontal="right" vertical="center"/>
    </xf>
    <xf numFmtId="3" fontId="48" fillId="47" borderId="14" xfId="0" applyNumberFormat="1" applyFont="1" applyFill="1" applyBorder="1" applyAlignment="1">
      <alignment horizontal="right" vertical="center"/>
    </xf>
    <xf numFmtId="3" fontId="48" fillId="47" borderId="34" xfId="0" applyNumberFormat="1" applyFont="1" applyFill="1" applyBorder="1" applyAlignment="1">
      <alignment horizontal="right"/>
    </xf>
    <xf numFmtId="3" fontId="48" fillId="48" borderId="12" xfId="0" applyNumberFormat="1" applyFont="1" applyFill="1" applyBorder="1" applyAlignment="1">
      <alignment horizontal="right" vertical="center"/>
    </xf>
    <xf numFmtId="3" fontId="48" fillId="48" borderId="14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/>
    </xf>
    <xf numFmtId="3" fontId="17" fillId="33" borderId="12" xfId="0" applyNumberFormat="1" applyFont="1" applyFill="1" applyBorder="1" applyAlignment="1">
      <alignment horizontal="right"/>
    </xf>
    <xf numFmtId="3" fontId="17" fillId="0" borderId="14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3" fontId="17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 horizontal="right"/>
    </xf>
    <xf numFmtId="3" fontId="17" fillId="33" borderId="12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8" fillId="40" borderId="14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 horizontal="right"/>
    </xf>
    <xf numFmtId="3" fontId="17" fillId="33" borderId="34" xfId="0" applyNumberFormat="1" applyFont="1" applyFill="1" applyBorder="1" applyAlignment="1">
      <alignment horizontal="right"/>
    </xf>
    <xf numFmtId="3" fontId="48" fillId="48" borderId="34" xfId="0" applyNumberFormat="1" applyFont="1" applyFill="1" applyBorder="1" applyAlignment="1">
      <alignment horizontal="right"/>
    </xf>
    <xf numFmtId="3" fontId="7" fillId="4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3" fontId="78" fillId="40" borderId="12" xfId="0" applyNumberFormat="1" applyFont="1" applyFill="1" applyBorder="1" applyAlignment="1">
      <alignment horizontal="right"/>
    </xf>
    <xf numFmtId="3" fontId="17" fillId="33" borderId="29" xfId="0" applyNumberFormat="1" applyFont="1" applyFill="1" applyBorder="1" applyAlignment="1">
      <alignment horizontal="right"/>
    </xf>
    <xf numFmtId="3" fontId="17" fillId="40" borderId="62" xfId="0" applyNumberFormat="1" applyFont="1" applyFill="1" applyBorder="1" applyAlignment="1">
      <alignment horizontal="right"/>
    </xf>
    <xf numFmtId="3" fontId="7" fillId="40" borderId="13" xfId="0" applyNumberFormat="1" applyFont="1" applyFill="1" applyBorder="1" applyAlignment="1">
      <alignment horizontal="right"/>
    </xf>
    <xf numFmtId="3" fontId="53" fillId="43" borderId="14" xfId="0" applyNumberFormat="1" applyFont="1" applyFill="1" applyBorder="1" applyAlignment="1">
      <alignment horizontal="right" vertical="center"/>
    </xf>
    <xf numFmtId="3" fontId="53" fillId="47" borderId="14" xfId="0" applyNumberFormat="1" applyFont="1" applyFill="1" applyBorder="1" applyAlignment="1">
      <alignment horizontal="right" vertical="center"/>
    </xf>
    <xf numFmtId="3" fontId="53" fillId="48" borderId="14" xfId="0" applyNumberFormat="1" applyFont="1" applyFill="1" applyBorder="1" applyAlignment="1">
      <alignment horizontal="right" vertical="center"/>
    </xf>
    <xf numFmtId="3" fontId="56" fillId="48" borderId="25" xfId="0" applyNumberFormat="1" applyFont="1" applyFill="1" applyBorder="1" applyAlignment="1">
      <alignment vertical="center"/>
    </xf>
    <xf numFmtId="3" fontId="56" fillId="49" borderId="22" xfId="0" applyNumberFormat="1" applyFont="1" applyFill="1" applyBorder="1" applyAlignment="1">
      <alignment vertical="center"/>
    </xf>
    <xf numFmtId="3" fontId="53" fillId="49" borderId="15" xfId="0" applyNumberFormat="1" applyFont="1" applyFill="1" applyBorder="1" applyAlignment="1">
      <alignment/>
    </xf>
    <xf numFmtId="3" fontId="53" fillId="49" borderId="10" xfId="0" applyNumberFormat="1" applyFont="1" applyFill="1" applyBorder="1" applyAlignment="1">
      <alignment/>
    </xf>
    <xf numFmtId="3" fontId="56" fillId="43" borderId="35" xfId="0" applyNumberFormat="1" applyFont="1" applyFill="1" applyBorder="1" applyAlignment="1">
      <alignment vertical="center"/>
    </xf>
    <xf numFmtId="3" fontId="30" fillId="46" borderId="40" xfId="0" applyNumberFormat="1" applyFont="1" applyFill="1" applyBorder="1" applyAlignment="1">
      <alignment/>
    </xf>
    <xf numFmtId="3" fontId="30" fillId="46" borderId="11" xfId="0" applyNumberFormat="1" applyFont="1" applyFill="1" applyBorder="1" applyAlignment="1">
      <alignment/>
    </xf>
    <xf numFmtId="3" fontId="56" fillId="47" borderId="35" xfId="0" applyNumberFormat="1" applyFont="1" applyFill="1" applyBorder="1" applyAlignment="1">
      <alignment vertical="center"/>
    </xf>
    <xf numFmtId="3" fontId="30" fillId="47" borderId="40" xfId="0" applyNumberFormat="1" applyFont="1" applyFill="1" applyBorder="1" applyAlignment="1">
      <alignment/>
    </xf>
    <xf numFmtId="3" fontId="30" fillId="47" borderId="11" xfId="0" applyNumberFormat="1" applyFont="1" applyFill="1" applyBorder="1" applyAlignment="1">
      <alignment/>
    </xf>
    <xf numFmtId="3" fontId="6" fillId="36" borderId="76" xfId="0" applyNumberFormat="1" applyFont="1" applyFill="1" applyBorder="1" applyAlignment="1">
      <alignment horizontal="right"/>
    </xf>
    <xf numFmtId="3" fontId="56" fillId="50" borderId="32" xfId="0" applyNumberFormat="1" applyFont="1" applyFill="1" applyBorder="1" applyAlignment="1">
      <alignment vertical="center"/>
    </xf>
    <xf numFmtId="3" fontId="56" fillId="47" borderId="35" xfId="0" applyNumberFormat="1" applyFont="1" applyFill="1" applyBorder="1" applyAlignment="1">
      <alignment vertical="center"/>
    </xf>
    <xf numFmtId="3" fontId="53" fillId="47" borderId="13" xfId="0" applyNumberFormat="1" applyFont="1" applyFill="1" applyBorder="1" applyAlignment="1">
      <alignment/>
    </xf>
    <xf numFmtId="3" fontId="53" fillId="47" borderId="11" xfId="0" applyNumberFormat="1" applyFont="1" applyFill="1" applyBorder="1" applyAlignment="1">
      <alignment/>
    </xf>
    <xf numFmtId="3" fontId="30" fillId="50" borderId="71" xfId="0" applyNumberFormat="1" applyFont="1" applyFill="1" applyBorder="1" applyAlignment="1">
      <alignment/>
    </xf>
    <xf numFmtId="3" fontId="56" fillId="49" borderId="77" xfId="0" applyNumberFormat="1" applyFont="1" applyFill="1" applyBorder="1" applyAlignment="1">
      <alignment vertical="center"/>
    </xf>
    <xf numFmtId="3" fontId="30" fillId="49" borderId="70" xfId="0" applyNumberFormat="1" applyFont="1" applyFill="1" applyBorder="1" applyAlignment="1">
      <alignment/>
    </xf>
    <xf numFmtId="3" fontId="6" fillId="36" borderId="78" xfId="0" applyNumberFormat="1" applyFont="1" applyFill="1" applyBorder="1" applyAlignment="1">
      <alignment horizontal="right"/>
    </xf>
    <xf numFmtId="3" fontId="56" fillId="49" borderId="35" xfId="0" applyNumberFormat="1" applyFont="1" applyFill="1" applyBorder="1" applyAlignment="1">
      <alignment vertical="center"/>
    </xf>
    <xf numFmtId="3" fontId="30" fillId="49" borderId="11" xfId="0" applyNumberFormat="1" applyFont="1" applyFill="1" applyBorder="1" applyAlignment="1">
      <alignment/>
    </xf>
    <xf numFmtId="3" fontId="56" fillId="50" borderId="25" xfId="0" applyNumberFormat="1" applyFont="1" applyFill="1" applyBorder="1" applyAlignment="1">
      <alignment vertical="center"/>
    </xf>
    <xf numFmtId="3" fontId="30" fillId="50" borderId="18" xfId="0" applyNumberFormat="1" applyFont="1" applyFill="1" applyBorder="1" applyAlignment="1">
      <alignment/>
    </xf>
    <xf numFmtId="3" fontId="6" fillId="36" borderId="18" xfId="0" applyNumberFormat="1" applyFont="1" applyFill="1" applyBorder="1" applyAlignment="1">
      <alignment/>
    </xf>
    <xf numFmtId="3" fontId="6" fillId="36" borderId="78" xfId="0" applyNumberFormat="1" applyFont="1" applyFill="1" applyBorder="1" applyAlignment="1">
      <alignment/>
    </xf>
    <xf numFmtId="3" fontId="30" fillId="49" borderId="15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69" xfId="0" applyNumberFormat="1" applyFont="1" applyFill="1" applyBorder="1" applyAlignment="1">
      <alignment/>
    </xf>
    <xf numFmtId="3" fontId="30" fillId="50" borderId="21" xfId="0" applyNumberFormat="1" applyFont="1" applyFill="1" applyBorder="1" applyAlignment="1">
      <alignment/>
    </xf>
    <xf numFmtId="3" fontId="30" fillId="47" borderId="13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6" fillId="36" borderId="33" xfId="0" applyNumberFormat="1" applyFont="1" applyFill="1" applyBorder="1" applyAlignment="1">
      <alignment/>
    </xf>
    <xf numFmtId="0" fontId="1" fillId="51" borderId="15" xfId="0" applyFont="1" applyFill="1" applyBorder="1" applyAlignment="1">
      <alignment horizontal="center"/>
    </xf>
    <xf numFmtId="0" fontId="3" fillId="51" borderId="14" xfId="0" applyFont="1" applyFill="1" applyBorder="1" applyAlignment="1">
      <alignment horizontal="center"/>
    </xf>
    <xf numFmtId="3" fontId="6" fillId="51" borderId="12" xfId="0" applyNumberFormat="1" applyFont="1" applyFill="1" applyBorder="1" applyAlignment="1">
      <alignment horizontal="right"/>
    </xf>
    <xf numFmtId="3" fontId="6" fillId="51" borderId="13" xfId="0" applyNumberFormat="1" applyFont="1" applyFill="1" applyBorder="1" applyAlignment="1">
      <alignment horizontal="right"/>
    </xf>
    <xf numFmtId="3" fontId="6" fillId="51" borderId="21" xfId="0" applyNumberFormat="1" applyFont="1" applyFill="1" applyBorder="1" applyAlignment="1">
      <alignment horizontal="right"/>
    </xf>
    <xf numFmtId="0" fontId="3" fillId="51" borderId="12" xfId="0" applyFont="1" applyFill="1" applyBorder="1" applyAlignment="1">
      <alignment horizontal="center"/>
    </xf>
    <xf numFmtId="0" fontId="12" fillId="51" borderId="12" xfId="0" applyFont="1" applyFill="1" applyBorder="1" applyAlignment="1">
      <alignment/>
    </xf>
    <xf numFmtId="3" fontId="5" fillId="51" borderId="15" xfId="0" applyNumberFormat="1" applyFont="1" applyFill="1" applyBorder="1" applyAlignment="1">
      <alignment/>
    </xf>
    <xf numFmtId="3" fontId="5" fillId="51" borderId="13" xfId="0" applyNumberFormat="1" applyFont="1" applyFill="1" applyBorder="1" applyAlignment="1">
      <alignment/>
    </xf>
    <xf numFmtId="3" fontId="19" fillId="51" borderId="70" xfId="0" applyNumberFormat="1" applyFont="1" applyFill="1" applyBorder="1" applyAlignment="1">
      <alignment/>
    </xf>
    <xf numFmtId="3" fontId="54" fillId="51" borderId="15" xfId="0" applyNumberFormat="1" applyFont="1" applyFill="1" applyBorder="1" applyAlignment="1">
      <alignment/>
    </xf>
    <xf numFmtId="3" fontId="54" fillId="51" borderId="13" xfId="0" applyNumberFormat="1" applyFont="1" applyFill="1" applyBorder="1" applyAlignment="1">
      <alignment/>
    </xf>
    <xf numFmtId="3" fontId="54" fillId="51" borderId="21" xfId="0" applyNumberFormat="1" applyFont="1" applyFill="1" applyBorder="1" applyAlignment="1">
      <alignment/>
    </xf>
    <xf numFmtId="0" fontId="5" fillId="51" borderId="21" xfId="0" applyFont="1" applyFill="1" applyBorder="1" applyAlignment="1">
      <alignment/>
    </xf>
    <xf numFmtId="3" fontId="6" fillId="51" borderId="12" xfId="0" applyNumberFormat="1" applyFont="1" applyFill="1" applyBorder="1" applyAlignment="1">
      <alignment/>
    </xf>
    <xf numFmtId="3" fontId="6" fillId="51" borderId="11" xfId="0" applyNumberFormat="1" applyFont="1" applyFill="1" applyBorder="1" applyAlignment="1">
      <alignment horizontal="right"/>
    </xf>
    <xf numFmtId="3" fontId="6" fillId="51" borderId="18" xfId="0" applyNumberFormat="1" applyFont="1" applyFill="1" applyBorder="1" applyAlignment="1">
      <alignment horizontal="right"/>
    </xf>
    <xf numFmtId="3" fontId="6" fillId="51" borderId="55" xfId="0" applyNumberFormat="1" applyFont="1" applyFill="1" applyBorder="1" applyAlignment="1">
      <alignment horizontal="right"/>
    </xf>
    <xf numFmtId="3" fontId="6" fillId="51" borderId="56" xfId="0" applyNumberFormat="1" applyFont="1" applyFill="1" applyBorder="1" applyAlignment="1">
      <alignment horizontal="right"/>
    </xf>
    <xf numFmtId="3" fontId="3" fillId="51" borderId="0" xfId="0" applyNumberFormat="1" applyFont="1" applyFill="1" applyBorder="1" applyAlignment="1">
      <alignment horizontal="right"/>
    </xf>
    <xf numFmtId="3" fontId="6" fillId="51" borderId="79" xfId="0" applyNumberFormat="1" applyFont="1" applyFill="1" applyBorder="1" applyAlignment="1">
      <alignment horizontal="right"/>
    </xf>
    <xf numFmtId="3" fontId="6" fillId="51" borderId="11" xfId="0" applyNumberFormat="1" applyFont="1" applyFill="1" applyBorder="1" applyAlignment="1">
      <alignment/>
    </xf>
    <xf numFmtId="3" fontId="6" fillId="51" borderId="14" xfId="0" applyNumberFormat="1" applyFont="1" applyFill="1" applyBorder="1" applyAlignment="1">
      <alignment/>
    </xf>
    <xf numFmtId="3" fontId="6" fillId="51" borderId="80" xfId="0" applyNumberFormat="1" applyFont="1" applyFill="1" applyBorder="1" applyAlignment="1">
      <alignment horizontal="right"/>
    </xf>
    <xf numFmtId="0" fontId="15" fillId="51" borderId="14" xfId="0" applyFont="1" applyFill="1" applyBorder="1" applyAlignment="1">
      <alignment/>
    </xf>
    <xf numFmtId="3" fontId="17" fillId="51" borderId="12" xfId="0" applyNumberFormat="1" applyFont="1" applyFill="1" applyBorder="1" applyAlignment="1">
      <alignment horizontal="right"/>
    </xf>
    <xf numFmtId="3" fontId="17" fillId="51" borderId="13" xfId="0" applyNumberFormat="1" applyFont="1" applyFill="1" applyBorder="1" applyAlignment="1">
      <alignment horizontal="right"/>
    </xf>
    <xf numFmtId="3" fontId="17" fillId="51" borderId="21" xfId="0" applyNumberFormat="1" applyFont="1" applyFill="1" applyBorder="1" applyAlignment="1">
      <alignment horizontal="right"/>
    </xf>
    <xf numFmtId="0" fontId="15" fillId="51" borderId="12" xfId="0" applyFont="1" applyFill="1" applyBorder="1" applyAlignment="1">
      <alignment/>
    </xf>
    <xf numFmtId="3" fontId="17" fillId="36" borderId="33" xfId="0" applyNumberFormat="1" applyFont="1" applyFill="1" applyBorder="1" applyAlignment="1">
      <alignment/>
    </xf>
    <xf numFmtId="3" fontId="53" fillId="46" borderId="40" xfId="0" applyNumberFormat="1" applyFont="1" applyFill="1" applyBorder="1" applyAlignment="1">
      <alignment/>
    </xf>
    <xf numFmtId="3" fontId="53" fillId="47" borderId="40" xfId="0" applyNumberFormat="1" applyFont="1" applyFill="1" applyBorder="1" applyAlignment="1">
      <alignment/>
    </xf>
    <xf numFmtId="3" fontId="53" fillId="48" borderId="81" xfId="0" applyNumberFormat="1" applyFont="1" applyFill="1" applyBorder="1" applyAlignment="1">
      <alignment/>
    </xf>
    <xf numFmtId="3" fontId="17" fillId="36" borderId="12" xfId="0" applyNumberFormat="1" applyFont="1" applyFill="1" applyBorder="1" applyAlignment="1">
      <alignment/>
    </xf>
    <xf numFmtId="3" fontId="17" fillId="36" borderId="18" xfId="0" applyNumberFormat="1" applyFont="1" applyFill="1" applyBorder="1" applyAlignment="1">
      <alignment horizontal="right"/>
    </xf>
    <xf numFmtId="3" fontId="17" fillId="51" borderId="12" xfId="0" applyNumberFormat="1" applyFont="1" applyFill="1" applyBorder="1" applyAlignment="1">
      <alignment/>
    </xf>
    <xf numFmtId="3" fontId="17" fillId="51" borderId="11" xfId="0" applyNumberFormat="1" applyFont="1" applyFill="1" applyBorder="1" applyAlignment="1">
      <alignment horizontal="right"/>
    </xf>
    <xf numFmtId="3" fontId="17" fillId="51" borderId="18" xfId="0" applyNumberFormat="1" applyFont="1" applyFill="1" applyBorder="1" applyAlignment="1">
      <alignment horizontal="right"/>
    </xf>
    <xf numFmtId="3" fontId="53" fillId="46" borderId="11" xfId="0" applyNumberFormat="1" applyFont="1" applyFill="1" applyBorder="1" applyAlignment="1">
      <alignment/>
    </xf>
    <xf numFmtId="3" fontId="53" fillId="47" borderId="11" xfId="0" applyNumberFormat="1" applyFont="1" applyFill="1" applyBorder="1" applyAlignment="1">
      <alignment/>
    </xf>
    <xf numFmtId="3" fontId="53" fillId="48" borderId="18" xfId="0" applyNumberFormat="1" applyFont="1" applyFill="1" applyBorder="1" applyAlignment="1">
      <alignment/>
    </xf>
    <xf numFmtId="3" fontId="53" fillId="46" borderId="26" xfId="0" applyNumberFormat="1" applyFont="1" applyFill="1" applyBorder="1" applyAlignment="1">
      <alignment/>
    </xf>
    <xf numFmtId="3" fontId="53" fillId="47" borderId="26" xfId="0" applyNumberFormat="1" applyFont="1" applyFill="1" applyBorder="1" applyAlignment="1">
      <alignment/>
    </xf>
    <xf numFmtId="3" fontId="53" fillId="48" borderId="28" xfId="0" applyNumberFormat="1" applyFont="1" applyFill="1" applyBorder="1" applyAlignment="1">
      <alignment/>
    </xf>
    <xf numFmtId="3" fontId="7" fillId="34" borderId="15" xfId="0" applyNumberFormat="1" applyFont="1" applyFill="1" applyBorder="1" applyAlignment="1">
      <alignment/>
    </xf>
    <xf numFmtId="3" fontId="53" fillId="46" borderId="13" xfId="0" applyNumberFormat="1" applyFont="1" applyFill="1" applyBorder="1" applyAlignment="1">
      <alignment/>
    </xf>
    <xf numFmtId="3" fontId="53" fillId="47" borderId="1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3" fillId="49" borderId="15" xfId="0" applyNumberFormat="1" applyFont="1" applyFill="1" applyBorder="1" applyAlignment="1">
      <alignment/>
    </xf>
    <xf numFmtId="3" fontId="17" fillId="36" borderId="55" xfId="0" applyNumberFormat="1" applyFont="1" applyFill="1" applyBorder="1" applyAlignment="1">
      <alignment horizontal="right"/>
    </xf>
    <xf numFmtId="3" fontId="17" fillId="36" borderId="56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36" borderId="74" xfId="0" applyNumberFormat="1" applyFont="1" applyFill="1" applyBorder="1" applyAlignment="1">
      <alignment/>
    </xf>
    <xf numFmtId="3" fontId="17" fillId="36" borderId="56" xfId="0" applyNumberFormat="1" applyFont="1" applyFill="1" applyBorder="1" applyAlignment="1">
      <alignment/>
    </xf>
    <xf numFmtId="3" fontId="17" fillId="51" borderId="55" xfId="0" applyNumberFormat="1" applyFont="1" applyFill="1" applyBorder="1" applyAlignment="1">
      <alignment horizontal="right"/>
    </xf>
    <xf numFmtId="3" fontId="17" fillId="51" borderId="56" xfId="0" applyNumberFormat="1" applyFont="1" applyFill="1" applyBorder="1" applyAlignment="1">
      <alignment horizontal="right"/>
    </xf>
    <xf numFmtId="3" fontId="17" fillId="51" borderId="74" xfId="0" applyNumberFormat="1" applyFont="1" applyFill="1" applyBorder="1" applyAlignment="1">
      <alignment/>
    </xf>
    <xf numFmtId="3" fontId="17" fillId="51" borderId="56" xfId="0" applyNumberFormat="1" applyFont="1" applyFill="1" applyBorder="1" applyAlignment="1">
      <alignment/>
    </xf>
    <xf numFmtId="3" fontId="17" fillId="36" borderId="79" xfId="0" applyNumberFormat="1" applyFont="1" applyFill="1" applyBorder="1" applyAlignment="1">
      <alignment horizontal="right"/>
    </xf>
    <xf numFmtId="3" fontId="17" fillId="36" borderId="80" xfId="0" applyNumberFormat="1" applyFont="1" applyFill="1" applyBorder="1" applyAlignment="1">
      <alignment horizontal="right"/>
    </xf>
    <xf numFmtId="3" fontId="17" fillId="51" borderId="79" xfId="0" applyNumberFormat="1" applyFont="1" applyFill="1" applyBorder="1" applyAlignment="1">
      <alignment horizontal="right"/>
    </xf>
    <xf numFmtId="3" fontId="17" fillId="51" borderId="0" xfId="0" applyNumberFormat="1" applyFont="1" applyFill="1" applyBorder="1" applyAlignment="1">
      <alignment horizontal="right"/>
    </xf>
    <xf numFmtId="3" fontId="17" fillId="51" borderId="10" xfId="0" applyNumberFormat="1" applyFont="1" applyFill="1" applyBorder="1" applyAlignment="1">
      <alignment/>
    </xf>
    <xf numFmtId="3" fontId="17" fillId="51" borderId="11" xfId="0" applyNumberFormat="1" applyFont="1" applyFill="1" applyBorder="1" applyAlignment="1">
      <alignment/>
    </xf>
    <xf numFmtId="3" fontId="17" fillId="51" borderId="80" xfId="0" applyNumberFormat="1" applyFont="1" applyFill="1" applyBorder="1" applyAlignment="1">
      <alignment horizontal="right"/>
    </xf>
    <xf numFmtId="3" fontId="7" fillId="34" borderId="10" xfId="0" applyNumberFormat="1" applyFont="1" applyFill="1" applyBorder="1" applyAlignment="1">
      <alignment/>
    </xf>
    <xf numFmtId="3" fontId="53" fillId="49" borderId="10" xfId="0" applyNumberFormat="1" applyFont="1" applyFill="1" applyBorder="1" applyAlignment="1">
      <alignment/>
    </xf>
    <xf numFmtId="3" fontId="7" fillId="34" borderId="69" xfId="0" applyNumberFormat="1" applyFont="1" applyFill="1" applyBorder="1" applyAlignment="1">
      <alignment/>
    </xf>
    <xf numFmtId="3" fontId="7" fillId="34" borderId="33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53" fillId="49" borderId="69" xfId="0" applyNumberFormat="1" applyFont="1" applyFill="1" applyBorder="1" applyAlignment="1">
      <alignment/>
    </xf>
    <xf numFmtId="3" fontId="53" fillId="47" borderId="33" xfId="0" applyNumberFormat="1" applyFont="1" applyFill="1" applyBorder="1" applyAlignment="1">
      <alignment/>
    </xf>
    <xf numFmtId="3" fontId="30" fillId="50" borderId="73" xfId="0" applyNumberFormat="1" applyFont="1" applyFill="1" applyBorder="1" applyAlignment="1">
      <alignment/>
    </xf>
    <xf numFmtId="49" fontId="3" fillId="51" borderId="11" xfId="0" applyNumberFormat="1" applyFont="1" applyFill="1" applyBorder="1" applyAlignment="1">
      <alignment horizontal="center"/>
    </xf>
    <xf numFmtId="0" fontId="19" fillId="51" borderId="21" xfId="0" applyFont="1" applyFill="1" applyBorder="1" applyAlignment="1">
      <alignment/>
    </xf>
    <xf numFmtId="3" fontId="17" fillId="51" borderId="13" xfId="0" applyNumberFormat="1" applyFont="1" applyFill="1" applyBorder="1" applyAlignment="1">
      <alignment/>
    </xf>
    <xf numFmtId="3" fontId="6" fillId="51" borderId="71" xfId="0" applyNumberFormat="1" applyFont="1" applyFill="1" applyBorder="1" applyAlignment="1">
      <alignment horizontal="right"/>
    </xf>
    <xf numFmtId="3" fontId="6" fillId="51" borderId="0" xfId="0" applyNumberFormat="1" applyFont="1" applyFill="1" applyBorder="1" applyAlignment="1">
      <alignment horizontal="right"/>
    </xf>
    <xf numFmtId="3" fontId="3" fillId="51" borderId="15" xfId="0" applyNumberFormat="1" applyFont="1" applyFill="1" applyBorder="1" applyAlignment="1">
      <alignment horizontal="left"/>
    </xf>
    <xf numFmtId="3" fontId="3" fillId="51" borderId="13" xfId="0" applyNumberFormat="1" applyFont="1" applyFill="1" applyBorder="1" applyAlignment="1">
      <alignment horizontal="left"/>
    </xf>
    <xf numFmtId="0" fontId="57" fillId="51" borderId="18" xfId="0" applyFont="1" applyFill="1" applyBorder="1" applyAlignment="1">
      <alignment/>
    </xf>
    <xf numFmtId="0" fontId="0" fillId="51" borderId="0" xfId="0" applyFill="1" applyAlignment="1">
      <alignment/>
    </xf>
    <xf numFmtId="3" fontId="17" fillId="51" borderId="70" xfId="0" applyNumberFormat="1" applyFont="1" applyFill="1" applyBorder="1" applyAlignment="1">
      <alignment horizontal="right"/>
    </xf>
    <xf numFmtId="3" fontId="6" fillId="51" borderId="10" xfId="0" applyNumberFormat="1" applyFont="1" applyFill="1" applyBorder="1" applyAlignment="1">
      <alignment horizontal="right"/>
    </xf>
    <xf numFmtId="0" fontId="3" fillId="51" borderId="34" xfId="0" applyFont="1" applyFill="1" applyBorder="1" applyAlignment="1">
      <alignment horizontal="center"/>
    </xf>
    <xf numFmtId="49" fontId="3" fillId="51" borderId="33" xfId="0" applyNumberFormat="1" applyFont="1" applyFill="1" applyBorder="1" applyAlignment="1">
      <alignment horizontal="center"/>
    </xf>
    <xf numFmtId="0" fontId="19" fillId="51" borderId="28" xfId="0" applyFont="1" applyFill="1" applyBorder="1" applyAlignment="1">
      <alignment/>
    </xf>
    <xf numFmtId="3" fontId="17" fillId="51" borderId="71" xfId="0" applyNumberFormat="1" applyFont="1" applyFill="1" applyBorder="1" applyAlignment="1">
      <alignment horizontal="right"/>
    </xf>
    <xf numFmtId="3" fontId="17" fillId="51" borderId="10" xfId="0" applyNumberFormat="1" applyFont="1" applyFill="1" applyBorder="1" applyAlignment="1">
      <alignment horizontal="right"/>
    </xf>
    <xf numFmtId="3" fontId="53" fillId="49" borderId="82" xfId="0" applyNumberFormat="1" applyFont="1" applyFill="1" applyBorder="1" applyAlignment="1">
      <alignment/>
    </xf>
    <xf numFmtId="3" fontId="19" fillId="34" borderId="12" xfId="0" applyNumberFormat="1" applyFont="1" applyFill="1" applyBorder="1" applyAlignment="1">
      <alignment/>
    </xf>
    <xf numFmtId="3" fontId="19" fillId="34" borderId="13" xfId="0" applyNumberFormat="1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3" fontId="19" fillId="34" borderId="15" xfId="0" applyNumberFormat="1" applyFont="1" applyFill="1" applyBorder="1" applyAlignment="1">
      <alignment/>
    </xf>
    <xf numFmtId="0" fontId="49" fillId="0" borderId="0" xfId="0" applyFont="1" applyAlignment="1">
      <alignment/>
    </xf>
    <xf numFmtId="3" fontId="54" fillId="51" borderId="12" xfId="0" applyNumberFormat="1" applyFont="1" applyFill="1" applyBorder="1" applyAlignment="1">
      <alignment horizontal="right"/>
    </xf>
    <xf numFmtId="3" fontId="54" fillId="51" borderId="13" xfId="0" applyNumberFormat="1" applyFont="1" applyFill="1" applyBorder="1" applyAlignment="1">
      <alignment horizontal="right"/>
    </xf>
    <xf numFmtId="3" fontId="54" fillId="51" borderId="13" xfId="0" applyNumberFormat="1" applyFont="1" applyFill="1" applyBorder="1" applyAlignment="1">
      <alignment/>
    </xf>
    <xf numFmtId="3" fontId="54" fillId="51" borderId="0" xfId="0" applyNumberFormat="1" applyFont="1" applyFill="1" applyBorder="1" applyAlignment="1">
      <alignment horizontal="right"/>
    </xf>
    <xf numFmtId="3" fontId="54" fillId="51" borderId="10" xfId="0" applyNumberFormat="1" applyFont="1" applyFill="1" applyBorder="1" applyAlignment="1">
      <alignment horizontal="left"/>
    </xf>
    <xf numFmtId="3" fontId="54" fillId="51" borderId="11" xfId="0" applyNumberFormat="1" applyFont="1" applyFill="1" applyBorder="1" applyAlignment="1">
      <alignment horizontal="left"/>
    </xf>
    <xf numFmtId="3" fontId="54" fillId="51" borderId="15" xfId="0" applyNumberFormat="1" applyFont="1" applyFill="1" applyBorder="1" applyAlignment="1">
      <alignment horizontal="left"/>
    </xf>
    <xf numFmtId="3" fontId="54" fillId="51" borderId="13" xfId="0" applyNumberFormat="1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3" fontId="54" fillId="36" borderId="14" xfId="0" applyNumberFormat="1" applyFont="1" applyFill="1" applyBorder="1" applyAlignment="1">
      <alignment horizontal="right"/>
    </xf>
    <xf numFmtId="3" fontId="54" fillId="36" borderId="11" xfId="0" applyNumberFormat="1" applyFont="1" applyFill="1" applyBorder="1" applyAlignment="1">
      <alignment horizontal="right"/>
    </xf>
    <xf numFmtId="3" fontId="54" fillId="36" borderId="11" xfId="0" applyNumberFormat="1" applyFont="1" applyFill="1" applyBorder="1" applyAlignment="1">
      <alignment/>
    </xf>
    <xf numFmtId="3" fontId="54" fillId="36" borderId="10" xfId="0" applyNumberFormat="1" applyFont="1" applyFill="1" applyBorder="1" applyAlignment="1">
      <alignment horizontal="right"/>
    </xf>
    <xf numFmtId="3" fontId="54" fillId="36" borderId="12" xfId="0" applyNumberFormat="1" applyFont="1" applyFill="1" applyBorder="1" applyAlignment="1">
      <alignment horizontal="right"/>
    </xf>
    <xf numFmtId="3" fontId="54" fillId="36" borderId="13" xfId="0" applyNumberFormat="1" applyFont="1" applyFill="1" applyBorder="1" applyAlignment="1">
      <alignment horizontal="right"/>
    </xf>
    <xf numFmtId="3" fontId="54" fillId="36" borderId="13" xfId="0" applyNumberFormat="1" applyFont="1" applyFill="1" applyBorder="1" applyAlignment="1">
      <alignment/>
    </xf>
    <xf numFmtId="3" fontId="19" fillId="34" borderId="14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19" fillId="34" borderId="10" xfId="0" applyNumberFormat="1" applyFont="1" applyFill="1" applyBorder="1" applyAlignment="1">
      <alignment/>
    </xf>
    <xf numFmtId="3" fontId="19" fillId="51" borderId="10" xfId="0" applyNumberFormat="1" applyFont="1" applyFill="1" applyBorder="1" applyAlignment="1">
      <alignment horizontal="right"/>
    </xf>
    <xf numFmtId="3" fontId="19" fillId="51" borderId="11" xfId="0" applyNumberFormat="1" applyFont="1" applyFill="1" applyBorder="1" applyAlignment="1">
      <alignment horizontal="right"/>
    </xf>
    <xf numFmtId="3" fontId="54" fillId="51" borderId="10" xfId="0" applyNumberFormat="1" applyFont="1" applyFill="1" applyBorder="1" applyAlignment="1">
      <alignment horizontal="right"/>
    </xf>
    <xf numFmtId="3" fontId="54" fillId="51" borderId="34" xfId="0" applyNumberFormat="1" applyFont="1" applyFill="1" applyBorder="1" applyAlignment="1">
      <alignment horizontal="right"/>
    </xf>
    <xf numFmtId="3" fontId="54" fillId="51" borderId="26" xfId="0" applyNumberFormat="1" applyFont="1" applyFill="1" applyBorder="1" applyAlignment="1">
      <alignment horizontal="right"/>
    </xf>
    <xf numFmtId="3" fontId="54" fillId="51" borderId="26" xfId="0" applyNumberFormat="1" applyFont="1" applyFill="1" applyBorder="1" applyAlignment="1">
      <alignment/>
    </xf>
    <xf numFmtId="3" fontId="54" fillId="51" borderId="16" xfId="0" applyNumberFormat="1" applyFont="1" applyFill="1" applyBorder="1" applyAlignment="1">
      <alignment horizontal="left"/>
    </xf>
    <xf numFmtId="3" fontId="54" fillId="51" borderId="26" xfId="0" applyNumberFormat="1" applyFont="1" applyFill="1" applyBorder="1" applyAlignment="1">
      <alignment horizontal="left"/>
    </xf>
    <xf numFmtId="3" fontId="54" fillId="51" borderId="18" xfId="0" applyNumberFormat="1" applyFont="1" applyFill="1" applyBorder="1" applyAlignment="1">
      <alignment horizontal="right"/>
    </xf>
    <xf numFmtId="3" fontId="54" fillId="36" borderId="18" xfId="0" applyNumberFormat="1" applyFont="1" applyFill="1" applyBorder="1" applyAlignment="1">
      <alignment horizontal="right"/>
    </xf>
    <xf numFmtId="3" fontId="54" fillId="51" borderId="21" xfId="0" applyNumberFormat="1" applyFont="1" applyFill="1" applyBorder="1" applyAlignment="1">
      <alignment horizontal="right"/>
    </xf>
    <xf numFmtId="3" fontId="54" fillId="51" borderId="28" xfId="0" applyNumberFormat="1" applyFont="1" applyFill="1" applyBorder="1" applyAlignment="1">
      <alignment horizontal="right"/>
    </xf>
    <xf numFmtId="3" fontId="56" fillId="49" borderId="35" xfId="0" applyNumberFormat="1" applyFont="1" applyFill="1" applyBorder="1" applyAlignment="1">
      <alignment vertical="center"/>
    </xf>
    <xf numFmtId="3" fontId="30" fillId="49" borderId="40" xfId="0" applyNumberFormat="1" applyFont="1" applyFill="1" applyBorder="1" applyAlignment="1">
      <alignment/>
    </xf>
    <xf numFmtId="3" fontId="54" fillId="51" borderId="11" xfId="0" applyNumberFormat="1" applyFont="1" applyFill="1" applyBorder="1" applyAlignment="1">
      <alignment horizontal="right"/>
    </xf>
    <xf numFmtId="3" fontId="30" fillId="49" borderId="11" xfId="0" applyNumberFormat="1" applyFont="1" applyFill="1" applyBorder="1" applyAlignment="1">
      <alignment/>
    </xf>
    <xf numFmtId="3" fontId="56" fillId="50" borderId="25" xfId="0" applyNumberFormat="1" applyFont="1" applyFill="1" applyBorder="1" applyAlignment="1">
      <alignment vertical="center"/>
    </xf>
    <xf numFmtId="3" fontId="30" fillId="50" borderId="81" xfId="0" applyNumberFormat="1" applyFont="1" applyFill="1" applyBorder="1" applyAlignment="1">
      <alignment/>
    </xf>
    <xf numFmtId="3" fontId="30" fillId="50" borderId="18" xfId="0" applyNumberFormat="1" applyFont="1" applyFill="1" applyBorder="1" applyAlignment="1">
      <alignment/>
    </xf>
    <xf numFmtId="3" fontId="30" fillId="47" borderId="40" xfId="0" applyNumberFormat="1" applyFont="1" applyFill="1" applyBorder="1" applyAlignment="1">
      <alignment/>
    </xf>
    <xf numFmtId="3" fontId="30" fillId="47" borderId="11" xfId="0" applyNumberFormat="1" applyFont="1" applyFill="1" applyBorder="1" applyAlignment="1">
      <alignment/>
    </xf>
    <xf numFmtId="3" fontId="54" fillId="36" borderId="76" xfId="0" applyNumberFormat="1" applyFont="1" applyFill="1" applyBorder="1" applyAlignment="1">
      <alignment horizontal="right"/>
    </xf>
    <xf numFmtId="3" fontId="54" fillId="51" borderId="21" xfId="0" applyNumberFormat="1" applyFont="1" applyFill="1" applyBorder="1" applyAlignment="1">
      <alignment/>
    </xf>
    <xf numFmtId="3" fontId="30" fillId="49" borderId="13" xfId="0" applyNumberFormat="1" applyFont="1" applyFill="1" applyBorder="1" applyAlignment="1">
      <alignment/>
    </xf>
    <xf numFmtId="3" fontId="54" fillId="36" borderId="56" xfId="0" applyNumberFormat="1" applyFont="1" applyFill="1" applyBorder="1" applyAlignment="1">
      <alignment horizontal="right"/>
    </xf>
    <xf numFmtId="3" fontId="30" fillId="50" borderId="21" xfId="0" applyNumberFormat="1" applyFont="1" applyFill="1" applyBorder="1" applyAlignment="1">
      <alignment horizontal="right"/>
    </xf>
    <xf numFmtId="3" fontId="30" fillId="50" borderId="18" xfId="0" applyNumberFormat="1" applyFont="1" applyFill="1" applyBorder="1" applyAlignment="1">
      <alignment horizontal="right"/>
    </xf>
    <xf numFmtId="3" fontId="30" fillId="47" borderId="13" xfId="0" applyNumberFormat="1" applyFont="1" applyFill="1" applyBorder="1" applyAlignment="1">
      <alignment/>
    </xf>
    <xf numFmtId="3" fontId="26" fillId="50" borderId="25" xfId="0" applyNumberFormat="1" applyFont="1" applyFill="1" applyBorder="1" applyAlignment="1">
      <alignment vertical="center"/>
    </xf>
    <xf numFmtId="3" fontId="30" fillId="50" borderId="21" xfId="0" applyNumberFormat="1" applyFont="1" applyFill="1" applyBorder="1" applyAlignment="1">
      <alignment/>
    </xf>
    <xf numFmtId="3" fontId="54" fillId="51" borderId="76" xfId="0" applyNumberFormat="1" applyFont="1" applyFill="1" applyBorder="1" applyAlignment="1">
      <alignment/>
    </xf>
    <xf numFmtId="3" fontId="54" fillId="36" borderId="76" xfId="0" applyNumberFormat="1" applyFont="1" applyFill="1" applyBorder="1" applyAlignment="1">
      <alignment/>
    </xf>
    <xf numFmtId="3" fontId="54" fillId="51" borderId="78" xfId="0" applyNumberFormat="1" applyFont="1" applyFill="1" applyBorder="1" applyAlignment="1">
      <alignment/>
    </xf>
    <xf numFmtId="3" fontId="54" fillId="51" borderId="74" xfId="0" applyNumberFormat="1" applyFont="1" applyFill="1" applyBorder="1" applyAlignment="1">
      <alignment/>
    </xf>
    <xf numFmtId="3" fontId="54" fillId="36" borderId="74" xfId="0" applyNumberFormat="1" applyFont="1" applyFill="1" applyBorder="1" applyAlignment="1">
      <alignment/>
    </xf>
    <xf numFmtId="3" fontId="54" fillId="51" borderId="69" xfId="0" applyNumberFormat="1" applyFont="1" applyFill="1" applyBorder="1" applyAlignment="1">
      <alignment/>
    </xf>
    <xf numFmtId="3" fontId="26" fillId="47" borderId="32" xfId="0" applyNumberFormat="1" applyFont="1" applyFill="1" applyBorder="1" applyAlignment="1">
      <alignment vertical="center"/>
    </xf>
    <xf numFmtId="3" fontId="30" fillId="47" borderId="12" xfId="0" applyNumberFormat="1" applyFont="1" applyFill="1" applyBorder="1" applyAlignment="1">
      <alignment/>
    </xf>
    <xf numFmtId="3" fontId="54" fillId="51" borderId="62" xfId="0" applyNumberFormat="1" applyFont="1" applyFill="1" applyBorder="1" applyAlignment="1">
      <alignment/>
    </xf>
    <xf numFmtId="3" fontId="30" fillId="47" borderId="14" xfId="0" applyNumberFormat="1" applyFont="1" applyFill="1" applyBorder="1" applyAlignment="1">
      <alignment/>
    </xf>
    <xf numFmtId="3" fontId="54" fillId="36" borderId="62" xfId="0" applyNumberFormat="1" applyFont="1" applyFill="1" applyBorder="1" applyAlignment="1">
      <alignment/>
    </xf>
    <xf numFmtId="3" fontId="54" fillId="51" borderId="23" xfId="0" applyNumberFormat="1" applyFont="1" applyFill="1" applyBorder="1" applyAlignment="1">
      <alignment/>
    </xf>
    <xf numFmtId="3" fontId="26" fillId="49" borderId="22" xfId="0" applyNumberFormat="1" applyFont="1" applyFill="1" applyBorder="1" applyAlignment="1">
      <alignment vertical="center"/>
    </xf>
    <xf numFmtId="3" fontId="30" fillId="49" borderId="15" xfId="0" applyNumberFormat="1" applyFont="1" applyFill="1" applyBorder="1" applyAlignment="1">
      <alignment/>
    </xf>
    <xf numFmtId="3" fontId="30" fillId="49" borderId="10" xfId="0" applyNumberFormat="1" applyFont="1" applyFill="1" applyBorder="1" applyAlignment="1">
      <alignment/>
    </xf>
    <xf numFmtId="3" fontId="30" fillId="49" borderId="40" xfId="0" applyNumberFormat="1" applyFont="1" applyFill="1" applyBorder="1" applyAlignment="1">
      <alignment/>
    </xf>
    <xf numFmtId="3" fontId="53" fillId="49" borderId="40" xfId="0" applyNumberFormat="1" applyFont="1" applyFill="1" applyBorder="1" applyAlignment="1">
      <alignment/>
    </xf>
    <xf numFmtId="3" fontId="53" fillId="49" borderId="11" xfId="0" applyNumberFormat="1" applyFont="1" applyFill="1" applyBorder="1" applyAlignment="1">
      <alignment/>
    </xf>
    <xf numFmtId="3" fontId="23" fillId="49" borderId="22" xfId="0" applyNumberFormat="1" applyFont="1" applyFill="1" applyBorder="1" applyAlignment="1">
      <alignment vertical="center"/>
    </xf>
    <xf numFmtId="3" fontId="53" fillId="47" borderId="40" xfId="0" applyNumberFormat="1" applyFont="1" applyFill="1" applyBorder="1" applyAlignment="1">
      <alignment/>
    </xf>
    <xf numFmtId="3" fontId="30" fillId="50" borderId="81" xfId="0" applyNumberFormat="1" applyFont="1" applyFill="1" applyBorder="1" applyAlignment="1">
      <alignment/>
    </xf>
    <xf numFmtId="3" fontId="53" fillId="50" borderId="81" xfId="0" applyNumberFormat="1" applyFont="1" applyFill="1" applyBorder="1" applyAlignment="1">
      <alignment/>
    </xf>
    <xf numFmtId="3" fontId="53" fillId="50" borderId="18" xfId="0" applyNumberFormat="1" applyFont="1" applyFill="1" applyBorder="1" applyAlignment="1">
      <alignment/>
    </xf>
    <xf numFmtId="3" fontId="23" fillId="50" borderId="25" xfId="0" applyNumberFormat="1" applyFont="1" applyFill="1" applyBorder="1" applyAlignment="1">
      <alignment vertical="center"/>
    </xf>
    <xf numFmtId="3" fontId="53" fillId="50" borderId="21" xfId="0" applyNumberFormat="1" applyFont="1" applyFill="1" applyBorder="1" applyAlignment="1">
      <alignment/>
    </xf>
    <xf numFmtId="3" fontId="23" fillId="47" borderId="35" xfId="0" applyNumberFormat="1" applyFont="1" applyFill="1" applyBorder="1" applyAlignment="1">
      <alignment vertical="center"/>
    </xf>
    <xf numFmtId="0" fontId="5" fillId="51" borderId="12" xfId="0" applyFont="1" applyFill="1" applyBorder="1" applyAlignment="1">
      <alignment/>
    </xf>
    <xf numFmtId="0" fontId="18" fillId="51" borderId="14" xfId="0" applyFont="1" applyFill="1" applyBorder="1" applyAlignment="1">
      <alignment/>
    </xf>
    <xf numFmtId="3" fontId="17" fillId="51" borderId="14" xfId="0" applyNumberFormat="1" applyFont="1" applyFill="1" applyBorder="1" applyAlignment="1">
      <alignment horizontal="right"/>
    </xf>
    <xf numFmtId="49" fontId="2" fillId="51" borderId="11" xfId="0" applyNumberFormat="1" applyFont="1" applyFill="1" applyBorder="1" applyAlignment="1">
      <alignment horizontal="center"/>
    </xf>
    <xf numFmtId="0" fontId="6" fillId="51" borderId="12" xfId="0" applyFont="1" applyFill="1" applyBorder="1" applyAlignment="1">
      <alignment/>
    </xf>
    <xf numFmtId="49" fontId="2" fillId="51" borderId="14" xfId="0" applyNumberFormat="1" applyFont="1" applyFill="1" applyBorder="1" applyAlignment="1">
      <alignment horizontal="center"/>
    </xf>
    <xf numFmtId="0" fontId="3" fillId="51" borderId="11" xfId="0" applyFont="1" applyFill="1" applyBorder="1" applyAlignment="1">
      <alignment horizontal="center"/>
    </xf>
    <xf numFmtId="0" fontId="1" fillId="51" borderId="16" xfId="0" applyFont="1" applyFill="1" applyBorder="1" applyAlignment="1">
      <alignment horizontal="center"/>
    </xf>
    <xf numFmtId="0" fontId="5" fillId="51" borderId="34" xfId="0" applyFont="1" applyFill="1" applyBorder="1" applyAlignment="1">
      <alignment/>
    </xf>
    <xf numFmtId="3" fontId="6" fillId="51" borderId="26" xfId="0" applyNumberFormat="1" applyFont="1" applyFill="1" applyBorder="1" applyAlignment="1">
      <alignment horizontal="right"/>
    </xf>
    <xf numFmtId="3" fontId="6" fillId="51" borderId="28" xfId="0" applyNumberFormat="1" applyFont="1" applyFill="1" applyBorder="1" applyAlignment="1">
      <alignment horizontal="right"/>
    </xf>
    <xf numFmtId="3" fontId="6" fillId="51" borderId="26" xfId="0" applyNumberFormat="1" applyFont="1" applyFill="1" applyBorder="1" applyAlignment="1">
      <alignment/>
    </xf>
    <xf numFmtId="0" fontId="79" fillId="34" borderId="12" xfId="0" applyFont="1" applyFill="1" applyBorder="1" applyAlignment="1">
      <alignment/>
    </xf>
    <xf numFmtId="3" fontId="30" fillId="49" borderId="49" xfId="0" applyNumberFormat="1" applyFont="1" applyFill="1" applyBorder="1" applyAlignment="1">
      <alignment/>
    </xf>
    <xf numFmtId="3" fontId="54" fillId="51" borderId="56" xfId="0" applyNumberFormat="1" applyFont="1" applyFill="1" applyBorder="1" applyAlignment="1">
      <alignment/>
    </xf>
    <xf numFmtId="0" fontId="79" fillId="34" borderId="14" xfId="0" applyFont="1" applyFill="1" applyBorder="1" applyAlignment="1">
      <alignment/>
    </xf>
    <xf numFmtId="3" fontId="54" fillId="51" borderId="14" xfId="0" applyNumberFormat="1" applyFont="1" applyFill="1" applyBorder="1" applyAlignment="1">
      <alignment horizontal="right"/>
    </xf>
    <xf numFmtId="3" fontId="19" fillId="51" borderId="0" xfId="0" applyNumberFormat="1" applyFont="1" applyFill="1" applyBorder="1" applyAlignment="1">
      <alignment/>
    </xf>
    <xf numFmtId="3" fontId="19" fillId="51" borderId="0" xfId="0" applyNumberFormat="1" applyFont="1" applyFill="1" applyBorder="1" applyAlignment="1">
      <alignment horizontal="right"/>
    </xf>
    <xf numFmtId="3" fontId="54" fillId="51" borderId="0" xfId="0" applyNumberFormat="1" applyFont="1" applyFill="1" applyBorder="1" applyAlignment="1">
      <alignment/>
    </xf>
    <xf numFmtId="3" fontId="54" fillId="51" borderId="11" xfId="0" applyNumberFormat="1" applyFont="1" applyFill="1" applyBorder="1" applyAlignment="1">
      <alignment/>
    </xf>
    <xf numFmtId="3" fontId="19" fillId="51" borderId="15" xfId="0" applyNumberFormat="1" applyFont="1" applyFill="1" applyBorder="1" applyAlignment="1">
      <alignment horizontal="right"/>
    </xf>
    <xf numFmtId="3" fontId="19" fillId="51" borderId="13" xfId="0" applyNumberFormat="1" applyFont="1" applyFill="1" applyBorder="1" applyAlignment="1">
      <alignment horizontal="right"/>
    </xf>
    <xf numFmtId="0" fontId="79" fillId="34" borderId="17" xfId="0" applyFont="1" applyFill="1" applyBorder="1" applyAlignment="1">
      <alignment/>
    </xf>
    <xf numFmtId="3" fontId="54" fillId="51" borderId="10" xfId="0" applyNumberFormat="1" applyFont="1" applyFill="1" applyBorder="1" applyAlignment="1">
      <alignment/>
    </xf>
    <xf numFmtId="3" fontId="54" fillId="51" borderId="18" xfId="0" applyNumberFormat="1" applyFont="1" applyFill="1" applyBorder="1" applyAlignment="1">
      <alignment/>
    </xf>
    <xf numFmtId="3" fontId="54" fillId="51" borderId="16" xfId="0" applyNumberFormat="1" applyFont="1" applyFill="1" applyBorder="1" applyAlignment="1">
      <alignment/>
    </xf>
    <xf numFmtId="3" fontId="54" fillId="51" borderId="28" xfId="0" applyNumberFormat="1" applyFont="1" applyFill="1" applyBorder="1" applyAlignment="1">
      <alignment/>
    </xf>
    <xf numFmtId="3" fontId="26" fillId="49" borderId="35" xfId="0" applyNumberFormat="1" applyFont="1" applyFill="1" applyBorder="1" applyAlignment="1">
      <alignment vertical="center"/>
    </xf>
    <xf numFmtId="3" fontId="30" fillId="49" borderId="13" xfId="0" applyNumberFormat="1" applyFont="1" applyFill="1" applyBorder="1" applyAlignment="1">
      <alignment/>
    </xf>
    <xf numFmtId="3" fontId="26" fillId="47" borderId="35" xfId="0" applyNumberFormat="1" applyFont="1" applyFill="1" applyBorder="1" applyAlignment="1">
      <alignment vertical="center"/>
    </xf>
    <xf numFmtId="3" fontId="26" fillId="49" borderId="35" xfId="0" applyNumberFormat="1" applyFont="1" applyFill="1" applyBorder="1" applyAlignment="1">
      <alignment vertical="center"/>
    </xf>
    <xf numFmtId="3" fontId="53" fillId="46" borderId="13" xfId="0" applyNumberFormat="1" applyFont="1" applyFill="1" applyBorder="1" applyAlignment="1">
      <alignment/>
    </xf>
    <xf numFmtId="3" fontId="26" fillId="50" borderId="25" xfId="0" applyNumberFormat="1" applyFont="1" applyFill="1" applyBorder="1" applyAlignment="1">
      <alignment vertical="center"/>
    </xf>
    <xf numFmtId="3" fontId="6" fillId="51" borderId="13" xfId="0" applyNumberFormat="1" applyFont="1" applyFill="1" applyBorder="1" applyAlignment="1">
      <alignment/>
    </xf>
    <xf numFmtId="3" fontId="6" fillId="51" borderId="15" xfId="0" applyNumberFormat="1" applyFont="1" applyFill="1" applyBorder="1" applyAlignment="1">
      <alignment horizontal="right"/>
    </xf>
    <xf numFmtId="0" fontId="14" fillId="51" borderId="12" xfId="0" applyFont="1" applyFill="1" applyBorder="1" applyAlignment="1">
      <alignment horizontal="center"/>
    </xf>
    <xf numFmtId="0" fontId="18" fillId="51" borderId="12" xfId="0" applyFont="1" applyFill="1" applyBorder="1" applyAlignment="1">
      <alignment/>
    </xf>
    <xf numFmtId="0" fontId="6" fillId="51" borderId="14" xfId="0" applyFont="1" applyFill="1" applyBorder="1" applyAlignment="1">
      <alignment/>
    </xf>
    <xf numFmtId="3" fontId="6" fillId="51" borderId="14" xfId="0" applyNumberFormat="1" applyFont="1" applyFill="1" applyBorder="1" applyAlignment="1">
      <alignment horizontal="right"/>
    </xf>
    <xf numFmtId="3" fontId="6" fillId="51" borderId="34" xfId="0" applyNumberFormat="1" applyFont="1" applyFill="1" applyBorder="1" applyAlignment="1">
      <alignment horizontal="right"/>
    </xf>
    <xf numFmtId="3" fontId="19" fillId="52" borderId="12" xfId="0" applyNumberFormat="1" applyFont="1" applyFill="1" applyBorder="1" applyAlignment="1">
      <alignment/>
    </xf>
    <xf numFmtId="3" fontId="54" fillId="51" borderId="0" xfId="0" applyNumberFormat="1" applyFont="1" applyFill="1" applyBorder="1" applyAlignment="1">
      <alignment horizontal="left"/>
    </xf>
    <xf numFmtId="3" fontId="54" fillId="51" borderId="15" xfId="0" applyNumberFormat="1" applyFont="1" applyFill="1" applyBorder="1" applyAlignment="1">
      <alignment horizontal="right"/>
    </xf>
    <xf numFmtId="3" fontId="19" fillId="52" borderId="13" xfId="0" applyNumberFormat="1" applyFont="1" applyFill="1" applyBorder="1" applyAlignment="1">
      <alignment/>
    </xf>
    <xf numFmtId="3" fontId="54" fillId="51" borderId="80" xfId="0" applyNumberFormat="1" applyFont="1" applyFill="1" applyBorder="1" applyAlignment="1">
      <alignment horizontal="right"/>
    </xf>
    <xf numFmtId="3" fontId="54" fillId="51" borderId="15" xfId="0" applyNumberFormat="1" applyFont="1" applyFill="1" applyBorder="1" applyAlignment="1">
      <alignment/>
    </xf>
    <xf numFmtId="3" fontId="26" fillId="38" borderId="32" xfId="0" applyNumberFormat="1" applyFont="1" applyFill="1" applyBorder="1" applyAlignment="1">
      <alignment vertical="center"/>
    </xf>
    <xf numFmtId="3" fontId="26" fillId="47" borderId="35" xfId="0" applyNumberFormat="1" applyFont="1" applyFill="1" applyBorder="1" applyAlignment="1">
      <alignment vertical="center"/>
    </xf>
    <xf numFmtId="3" fontId="79" fillId="33" borderId="0" xfId="0" applyNumberFormat="1" applyFont="1" applyFill="1" applyBorder="1" applyAlignment="1">
      <alignment vertical="center"/>
    </xf>
    <xf numFmtId="3" fontId="26" fillId="38" borderId="22" xfId="0" applyNumberFormat="1" applyFont="1" applyFill="1" applyBorder="1" applyAlignment="1">
      <alignment vertical="center"/>
    </xf>
    <xf numFmtId="3" fontId="26" fillId="38" borderId="35" xfId="0" applyNumberFormat="1" applyFont="1" applyFill="1" applyBorder="1" applyAlignment="1">
      <alignment vertical="center"/>
    </xf>
    <xf numFmtId="3" fontId="7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/>
    </xf>
    <xf numFmtId="3" fontId="19" fillId="34" borderId="49" xfId="0" applyNumberFormat="1" applyFont="1" applyFill="1" applyBorder="1" applyAlignment="1">
      <alignment/>
    </xf>
    <xf numFmtId="3" fontId="19" fillId="34" borderId="83" xfId="0" applyNumberFormat="1" applyFont="1" applyFill="1" applyBorder="1" applyAlignment="1">
      <alignment/>
    </xf>
    <xf numFmtId="3" fontId="19" fillId="34" borderId="4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 horizontal="right"/>
    </xf>
    <xf numFmtId="3" fontId="26" fillId="49" borderId="22" xfId="0" applyNumberFormat="1" applyFont="1" applyFill="1" applyBorder="1" applyAlignment="1">
      <alignment vertical="center"/>
    </xf>
    <xf numFmtId="49" fontId="3" fillId="51" borderId="13" xfId="0" applyNumberFormat="1" applyFont="1" applyFill="1" applyBorder="1" applyAlignment="1">
      <alignment horizontal="center"/>
    </xf>
    <xf numFmtId="3" fontId="54" fillId="51" borderId="14" xfId="0" applyNumberFormat="1" applyFont="1" applyFill="1" applyBorder="1" applyAlignment="1">
      <alignment/>
    </xf>
    <xf numFmtId="3" fontId="54" fillId="51" borderId="12" xfId="0" applyNumberFormat="1" applyFont="1" applyFill="1" applyBorder="1" applyAlignment="1">
      <alignment/>
    </xf>
    <xf numFmtId="0" fontId="3" fillId="51" borderId="23" xfId="0" applyFont="1" applyFill="1" applyBorder="1" applyAlignment="1">
      <alignment horizontal="center"/>
    </xf>
    <xf numFmtId="3" fontId="54" fillId="51" borderId="33" xfId="0" applyNumberFormat="1" applyFont="1" applyFill="1" applyBorder="1" applyAlignment="1">
      <alignment horizontal="right"/>
    </xf>
    <xf numFmtId="3" fontId="54" fillId="51" borderId="69" xfId="0" applyNumberFormat="1" applyFont="1" applyFill="1" applyBorder="1" applyAlignment="1">
      <alignment horizontal="right"/>
    </xf>
    <xf numFmtId="3" fontId="54" fillId="51" borderId="23" xfId="0" applyNumberFormat="1" applyFont="1" applyFill="1" applyBorder="1" applyAlignment="1">
      <alignment horizontal="right"/>
    </xf>
    <xf numFmtId="3" fontId="54" fillId="51" borderId="78" xfId="0" applyNumberFormat="1" applyFont="1" applyFill="1" applyBorder="1" applyAlignment="1">
      <alignment horizontal="right"/>
    </xf>
    <xf numFmtId="3" fontId="26" fillId="43" borderId="35" xfId="0" applyNumberFormat="1" applyFont="1" applyFill="1" applyBorder="1" applyAlignment="1">
      <alignment vertical="center"/>
    </xf>
    <xf numFmtId="3" fontId="26" fillId="47" borderId="32" xfId="0" applyNumberFormat="1" applyFont="1" applyFill="1" applyBorder="1" applyAlignment="1">
      <alignment vertical="center"/>
    </xf>
    <xf numFmtId="0" fontId="12" fillId="51" borderId="12" xfId="0" applyFont="1" applyFill="1" applyBorder="1" applyAlignment="1">
      <alignment horizontal="center"/>
    </xf>
    <xf numFmtId="0" fontId="3" fillId="51" borderId="11" xfId="0" applyFont="1" applyFill="1" applyBorder="1" applyAlignment="1">
      <alignment/>
    </xf>
    <xf numFmtId="0" fontId="3" fillId="51" borderId="21" xfId="0" applyFont="1" applyFill="1" applyBorder="1" applyAlignment="1">
      <alignment/>
    </xf>
    <xf numFmtId="0" fontId="6" fillId="51" borderId="21" xfId="0" applyFont="1" applyFill="1" applyBorder="1" applyAlignment="1">
      <alignment/>
    </xf>
    <xf numFmtId="0" fontId="3" fillId="51" borderId="21" xfId="0" applyFont="1" applyFill="1" applyBorder="1" applyAlignment="1">
      <alignment/>
    </xf>
    <xf numFmtId="0" fontId="3" fillId="51" borderId="21" xfId="0" applyFont="1" applyFill="1" applyBorder="1" applyAlignment="1">
      <alignment horizontal="left"/>
    </xf>
    <xf numFmtId="49" fontId="4" fillId="51" borderId="14" xfId="0" applyNumberFormat="1" applyFont="1" applyFill="1" applyBorder="1" applyAlignment="1">
      <alignment horizontal="center"/>
    </xf>
    <xf numFmtId="0" fontId="42" fillId="51" borderId="21" xfId="0" applyFont="1" applyFill="1" applyBorder="1" applyAlignment="1">
      <alignment/>
    </xf>
    <xf numFmtId="0" fontId="1" fillId="51" borderId="21" xfId="0" applyFont="1" applyFill="1" applyBorder="1" applyAlignment="1">
      <alignment/>
    </xf>
    <xf numFmtId="0" fontId="2" fillId="51" borderId="14" xfId="0" applyFont="1" applyFill="1" applyBorder="1" applyAlignment="1">
      <alignment horizontal="center"/>
    </xf>
    <xf numFmtId="49" fontId="2" fillId="51" borderId="13" xfId="0" applyNumberFormat="1" applyFont="1" applyFill="1" applyBorder="1" applyAlignment="1">
      <alignment horizontal="center"/>
    </xf>
    <xf numFmtId="0" fontId="12" fillId="51" borderId="13" xfId="0" applyFont="1" applyFill="1" applyBorder="1" applyAlignment="1">
      <alignment horizontal="center"/>
    </xf>
    <xf numFmtId="0" fontId="6" fillId="51" borderId="18" xfId="0" applyFont="1" applyFill="1" applyBorder="1" applyAlignment="1">
      <alignment/>
    </xf>
    <xf numFmtId="49" fontId="3" fillId="51" borderId="56" xfId="0" applyNumberFormat="1" applyFont="1" applyFill="1" applyBorder="1" applyAlignment="1">
      <alignment horizontal="center"/>
    </xf>
    <xf numFmtId="0" fontId="6" fillId="51" borderId="76" xfId="0" applyFont="1" applyFill="1" applyBorder="1" applyAlignment="1">
      <alignment/>
    </xf>
    <xf numFmtId="0" fontId="6" fillId="51" borderId="78" xfId="0" applyFont="1" applyFill="1" applyBorder="1" applyAlignment="1">
      <alignment/>
    </xf>
    <xf numFmtId="3" fontId="6" fillId="51" borderId="23" xfId="0" applyNumberFormat="1" applyFont="1" applyFill="1" applyBorder="1" applyAlignment="1">
      <alignment horizontal="right"/>
    </xf>
    <xf numFmtId="3" fontId="6" fillId="51" borderId="33" xfId="0" applyNumberFormat="1" applyFont="1" applyFill="1" applyBorder="1" applyAlignment="1">
      <alignment horizontal="right"/>
    </xf>
    <xf numFmtId="3" fontId="6" fillId="51" borderId="78" xfId="0" applyNumberFormat="1" applyFont="1" applyFill="1" applyBorder="1" applyAlignment="1">
      <alignment horizontal="right"/>
    </xf>
    <xf numFmtId="3" fontId="6" fillId="51" borderId="66" xfId="0" applyNumberFormat="1" applyFont="1" applyFill="1" applyBorder="1" applyAlignment="1">
      <alignment horizontal="right"/>
    </xf>
    <xf numFmtId="3" fontId="6" fillId="51" borderId="72" xfId="0" applyNumberFormat="1" applyFont="1" applyFill="1" applyBorder="1" applyAlignment="1">
      <alignment horizontal="right"/>
    </xf>
    <xf numFmtId="3" fontId="6" fillId="51" borderId="76" xfId="0" applyNumberFormat="1" applyFont="1" applyFill="1" applyBorder="1" applyAlignment="1">
      <alignment horizontal="right"/>
    </xf>
    <xf numFmtId="3" fontId="23" fillId="49" borderId="35" xfId="0" applyNumberFormat="1" applyFont="1" applyFill="1" applyBorder="1" applyAlignment="1">
      <alignment vertical="center"/>
    </xf>
    <xf numFmtId="3" fontId="23" fillId="50" borderId="25" xfId="0" applyNumberFormat="1" applyFont="1" applyFill="1" applyBorder="1" applyAlignment="1">
      <alignment vertical="center"/>
    </xf>
    <xf numFmtId="3" fontId="7" fillId="51" borderId="12" xfId="0" applyNumberFormat="1" applyFont="1" applyFill="1" applyBorder="1" applyAlignment="1">
      <alignment/>
    </xf>
    <xf numFmtId="3" fontId="7" fillId="51" borderId="13" xfId="0" applyNumberFormat="1" applyFont="1" applyFill="1" applyBorder="1" applyAlignment="1">
      <alignment/>
    </xf>
    <xf numFmtId="3" fontId="7" fillId="51" borderId="0" xfId="0" applyNumberFormat="1" applyFont="1" applyFill="1" applyBorder="1" applyAlignment="1">
      <alignment/>
    </xf>
    <xf numFmtId="3" fontId="17" fillId="51" borderId="62" xfId="0" applyNumberFormat="1" applyFont="1" applyFill="1" applyBorder="1" applyAlignment="1">
      <alignment horizontal="right"/>
    </xf>
    <xf numFmtId="3" fontId="19" fillId="51" borderId="0" xfId="0" applyNumberFormat="1" applyFont="1" applyFill="1" applyBorder="1" applyAlignment="1">
      <alignment/>
    </xf>
    <xf numFmtId="3" fontId="54" fillId="51" borderId="56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54" fillId="51" borderId="27" xfId="0" applyNumberFormat="1" applyFont="1" applyFill="1" applyBorder="1" applyAlignment="1">
      <alignment horizontal="right"/>
    </xf>
    <xf numFmtId="3" fontId="6" fillId="51" borderId="59" xfId="0" applyNumberFormat="1" applyFont="1" applyFill="1" applyBorder="1" applyAlignment="1">
      <alignment/>
    </xf>
    <xf numFmtId="3" fontId="6" fillId="51" borderId="84" xfId="0" applyNumberFormat="1" applyFont="1" applyFill="1" applyBorder="1" applyAlignment="1">
      <alignment/>
    </xf>
    <xf numFmtId="0" fontId="12" fillId="51" borderId="21" xfId="0" applyFont="1" applyFill="1" applyBorder="1" applyAlignment="1">
      <alignment/>
    </xf>
    <xf numFmtId="3" fontId="45" fillId="51" borderId="12" xfId="0" applyNumberFormat="1" applyFont="1" applyFill="1" applyBorder="1" applyAlignment="1">
      <alignment horizontal="right"/>
    </xf>
    <xf numFmtId="3" fontId="45" fillId="51" borderId="13" xfId="0" applyNumberFormat="1" applyFont="1" applyFill="1" applyBorder="1" applyAlignment="1">
      <alignment horizontal="right"/>
    </xf>
    <xf numFmtId="3" fontId="45" fillId="51" borderId="13" xfId="0" applyNumberFormat="1" applyFont="1" applyFill="1" applyBorder="1" applyAlignment="1">
      <alignment/>
    </xf>
    <xf numFmtId="3" fontId="69" fillId="51" borderId="13" xfId="0" applyNumberFormat="1" applyFont="1" applyFill="1" applyBorder="1" applyAlignment="1">
      <alignment/>
    </xf>
    <xf numFmtId="0" fontId="18" fillId="51" borderId="21" xfId="0" applyFont="1" applyFill="1" applyBorder="1" applyAlignment="1">
      <alignment/>
    </xf>
    <xf numFmtId="0" fontId="18" fillId="51" borderId="85" xfId="0" applyFont="1" applyFill="1" applyBorder="1" applyAlignment="1">
      <alignment/>
    </xf>
    <xf numFmtId="49" fontId="3" fillId="51" borderId="26" xfId="0" applyNumberFormat="1" applyFont="1" applyFill="1" applyBorder="1" applyAlignment="1">
      <alignment horizontal="center"/>
    </xf>
    <xf numFmtId="0" fontId="12" fillId="51" borderId="28" xfId="0" applyFont="1" applyFill="1" applyBorder="1" applyAlignment="1">
      <alignment/>
    </xf>
    <xf numFmtId="3" fontId="6" fillId="51" borderId="86" xfId="0" applyNumberFormat="1" applyFont="1" applyFill="1" applyBorder="1" applyAlignment="1">
      <alignment horizontal="right"/>
    </xf>
    <xf numFmtId="3" fontId="6" fillId="36" borderId="24" xfId="0" applyNumberFormat="1" applyFont="1" applyFill="1" applyBorder="1" applyAlignment="1">
      <alignment horizontal="right"/>
    </xf>
    <xf numFmtId="3" fontId="6" fillId="36" borderId="30" xfId="0" applyNumberFormat="1" applyFont="1" applyFill="1" applyBorder="1" applyAlignment="1">
      <alignment horizontal="right"/>
    </xf>
    <xf numFmtId="3" fontId="6" fillId="51" borderId="76" xfId="0" applyNumberFormat="1" applyFont="1" applyFill="1" applyBorder="1" applyAlignment="1">
      <alignment/>
    </xf>
    <xf numFmtId="3" fontId="6" fillId="51" borderId="18" xfId="0" applyNumberFormat="1" applyFont="1" applyFill="1" applyBorder="1" applyAlignment="1">
      <alignment/>
    </xf>
    <xf numFmtId="3" fontId="6" fillId="36" borderId="76" xfId="0" applyNumberFormat="1" applyFont="1" applyFill="1" applyBorder="1" applyAlignment="1">
      <alignment/>
    </xf>
    <xf numFmtId="3" fontId="6" fillId="51" borderId="74" xfId="0" applyNumberFormat="1" applyFont="1" applyFill="1" applyBorder="1" applyAlignment="1">
      <alignment/>
    </xf>
    <xf numFmtId="3" fontId="6" fillId="51" borderId="10" xfId="0" applyNumberFormat="1" applyFont="1" applyFill="1" applyBorder="1" applyAlignment="1">
      <alignment/>
    </xf>
    <xf numFmtId="3" fontId="6" fillId="36" borderId="74" xfId="0" applyNumberFormat="1" applyFont="1" applyFill="1" applyBorder="1" applyAlignment="1">
      <alignment/>
    </xf>
    <xf numFmtId="3" fontId="6" fillId="51" borderId="56" xfId="0" applyNumberFormat="1" applyFont="1" applyFill="1" applyBorder="1" applyAlignment="1">
      <alignment/>
    </xf>
    <xf numFmtId="3" fontId="6" fillId="51" borderId="11" xfId="0" applyNumberFormat="1" applyFont="1" applyFill="1" applyBorder="1" applyAlignment="1">
      <alignment/>
    </xf>
    <xf numFmtId="3" fontId="6" fillId="36" borderId="56" xfId="0" applyNumberFormat="1" applyFont="1" applyFill="1" applyBorder="1" applyAlignment="1">
      <alignment/>
    </xf>
    <xf numFmtId="49" fontId="3" fillId="51" borderId="20" xfId="0" applyNumberFormat="1" applyFont="1" applyFill="1" applyBorder="1" applyAlignment="1">
      <alignment horizontal="center"/>
    </xf>
    <xf numFmtId="0" fontId="12" fillId="51" borderId="11" xfId="0" applyFont="1" applyFill="1" applyBorder="1" applyAlignment="1">
      <alignment/>
    </xf>
    <xf numFmtId="3" fontId="30" fillId="46" borderId="33" xfId="0" applyNumberFormat="1" applyFont="1" applyFill="1" applyBorder="1" applyAlignment="1">
      <alignment/>
    </xf>
    <xf numFmtId="3" fontId="30" fillId="47" borderId="33" xfId="0" applyNumberFormat="1" applyFont="1" applyFill="1" applyBorder="1" applyAlignment="1">
      <alignment/>
    </xf>
    <xf numFmtId="3" fontId="26" fillId="50" borderId="32" xfId="0" applyNumberFormat="1" applyFont="1" applyFill="1" applyBorder="1" applyAlignment="1">
      <alignment vertical="center"/>
    </xf>
    <xf numFmtId="3" fontId="30" fillId="50" borderId="83" xfId="0" applyNumberFormat="1" applyFont="1" applyFill="1" applyBorder="1" applyAlignment="1">
      <alignment/>
    </xf>
    <xf numFmtId="3" fontId="30" fillId="50" borderId="14" xfId="0" applyNumberFormat="1" applyFont="1" applyFill="1" applyBorder="1" applyAlignment="1">
      <alignment/>
    </xf>
    <xf numFmtId="3" fontId="30" fillId="50" borderId="23" xfId="0" applyNumberFormat="1" applyFont="1" applyFill="1" applyBorder="1" applyAlignment="1">
      <alignment/>
    </xf>
    <xf numFmtId="3" fontId="30" fillId="47" borderId="83" xfId="0" applyNumberFormat="1" applyFont="1" applyFill="1" applyBorder="1" applyAlignment="1">
      <alignment/>
    </xf>
    <xf numFmtId="3" fontId="53" fillId="46" borderId="26" xfId="0" applyNumberFormat="1" applyFont="1" applyFill="1" applyBorder="1" applyAlignment="1">
      <alignment/>
    </xf>
    <xf numFmtId="3" fontId="53" fillId="47" borderId="30" xfId="0" applyNumberFormat="1" applyFont="1" applyFill="1" applyBorder="1" applyAlignment="1">
      <alignment/>
    </xf>
    <xf numFmtId="3" fontId="53" fillId="47" borderId="26" xfId="0" applyNumberFormat="1" applyFont="1" applyFill="1" applyBorder="1" applyAlignment="1">
      <alignment/>
    </xf>
    <xf numFmtId="3" fontId="53" fillId="50" borderId="24" xfId="0" applyNumberFormat="1" applyFont="1" applyFill="1" applyBorder="1" applyAlignment="1">
      <alignment/>
    </xf>
    <xf numFmtId="3" fontId="53" fillId="50" borderId="28" xfId="0" applyNumberFormat="1" applyFont="1" applyFill="1" applyBorder="1" applyAlignment="1">
      <alignment/>
    </xf>
    <xf numFmtId="3" fontId="26" fillId="38" borderId="63" xfId="0" applyNumberFormat="1" applyFont="1" applyFill="1" applyBorder="1" applyAlignment="1">
      <alignment vertical="center"/>
    </xf>
    <xf numFmtId="3" fontId="26" fillId="49" borderId="47" xfId="0" applyNumberFormat="1" applyFont="1" applyFill="1" applyBorder="1" applyAlignment="1">
      <alignment vertical="center"/>
    </xf>
    <xf numFmtId="3" fontId="26" fillId="47" borderId="47" xfId="0" applyNumberFormat="1" applyFont="1" applyFill="1" applyBorder="1" applyAlignment="1">
      <alignment vertical="center"/>
    </xf>
    <xf numFmtId="3" fontId="26" fillId="48" borderId="87" xfId="0" applyNumberFormat="1" applyFont="1" applyFill="1" applyBorder="1" applyAlignment="1">
      <alignment vertical="center"/>
    </xf>
    <xf numFmtId="3" fontId="30" fillId="48" borderId="70" xfId="0" applyNumberFormat="1" applyFont="1" applyFill="1" applyBorder="1" applyAlignment="1">
      <alignment/>
    </xf>
    <xf numFmtId="0" fontId="18" fillId="51" borderId="12" xfId="0" applyFont="1" applyFill="1" applyBorder="1" applyAlignment="1">
      <alignment/>
    </xf>
    <xf numFmtId="0" fontId="5" fillId="51" borderId="12" xfId="0" applyFont="1" applyFill="1" applyBorder="1" applyAlignment="1">
      <alignment/>
    </xf>
    <xf numFmtId="3" fontId="17" fillId="51" borderId="15" xfId="0" applyNumberFormat="1" applyFont="1" applyFill="1" applyBorder="1" applyAlignment="1">
      <alignment horizontal="right"/>
    </xf>
    <xf numFmtId="3" fontId="17" fillId="34" borderId="12" xfId="0" applyNumberFormat="1" applyFont="1" applyFill="1" applyBorder="1" applyAlignment="1">
      <alignment/>
    </xf>
    <xf numFmtId="3" fontId="53" fillId="48" borderId="70" xfId="0" applyNumberFormat="1" applyFont="1" applyFill="1" applyBorder="1" applyAlignment="1">
      <alignment/>
    </xf>
    <xf numFmtId="3" fontId="17" fillId="36" borderId="12" xfId="0" applyNumberFormat="1" applyFont="1" applyFill="1" applyBorder="1" applyAlignment="1">
      <alignment/>
    </xf>
    <xf numFmtId="3" fontId="7" fillId="36" borderId="12" xfId="0" applyNumberFormat="1" applyFont="1" applyFill="1" applyBorder="1" applyAlignment="1">
      <alignment/>
    </xf>
    <xf numFmtId="3" fontId="17" fillId="36" borderId="13" xfId="0" applyNumberFormat="1" applyFont="1" applyFill="1" applyBorder="1" applyAlignment="1">
      <alignment/>
    </xf>
    <xf numFmtId="3" fontId="7" fillId="36" borderId="13" xfId="0" applyNumberFormat="1" applyFont="1" applyFill="1" applyBorder="1" applyAlignment="1">
      <alignment/>
    </xf>
    <xf numFmtId="3" fontId="17" fillId="36" borderId="70" xfId="0" applyNumberFormat="1" applyFont="1" applyFill="1" applyBorder="1" applyAlignment="1">
      <alignment/>
    </xf>
    <xf numFmtId="3" fontId="7" fillId="36" borderId="15" xfId="0" applyNumberFormat="1" applyFont="1" applyFill="1" applyBorder="1" applyAlignment="1">
      <alignment/>
    </xf>
    <xf numFmtId="3" fontId="17" fillId="51" borderId="12" xfId="0" applyNumberFormat="1" applyFont="1" applyFill="1" applyBorder="1" applyAlignment="1">
      <alignment/>
    </xf>
    <xf numFmtId="3" fontId="17" fillId="51" borderId="13" xfId="0" applyNumberFormat="1" applyFont="1" applyFill="1" applyBorder="1" applyAlignment="1">
      <alignment/>
    </xf>
    <xf numFmtId="3" fontId="7" fillId="51" borderId="15" xfId="0" applyNumberFormat="1" applyFont="1" applyFill="1" applyBorder="1" applyAlignment="1">
      <alignment/>
    </xf>
    <xf numFmtId="3" fontId="17" fillId="51" borderId="0" xfId="0" applyNumberFormat="1" applyFont="1" applyFill="1" applyBorder="1" applyAlignment="1">
      <alignment/>
    </xf>
    <xf numFmtId="3" fontId="53" fillId="48" borderId="71" xfId="0" applyNumberFormat="1" applyFont="1" applyFill="1" applyBorder="1" applyAlignment="1">
      <alignment/>
    </xf>
    <xf numFmtId="3" fontId="17" fillId="51" borderId="11" xfId="0" applyNumberFormat="1" applyFont="1" applyFill="1" applyBorder="1" applyAlignment="1">
      <alignment/>
    </xf>
    <xf numFmtId="3" fontId="17" fillId="51" borderId="71" xfId="0" applyNumberFormat="1" applyFont="1" applyFill="1" applyBorder="1" applyAlignment="1">
      <alignment/>
    </xf>
    <xf numFmtId="3" fontId="17" fillId="51" borderId="74" xfId="0" applyNumberFormat="1" applyFont="1" applyFill="1" applyBorder="1" applyAlignment="1">
      <alignment horizontal="right"/>
    </xf>
    <xf numFmtId="3" fontId="53" fillId="46" borderId="33" xfId="0" applyNumberFormat="1" applyFont="1" applyFill="1" applyBorder="1" applyAlignment="1">
      <alignment/>
    </xf>
    <xf numFmtId="3" fontId="53" fillId="48" borderId="72" xfId="0" applyNumberFormat="1" applyFont="1" applyFill="1" applyBorder="1" applyAlignment="1">
      <alignment/>
    </xf>
    <xf numFmtId="3" fontId="7" fillId="34" borderId="23" xfId="0" applyNumberFormat="1" applyFont="1" applyFill="1" applyBorder="1" applyAlignment="1">
      <alignment/>
    </xf>
    <xf numFmtId="3" fontId="53" fillId="47" borderId="12" xfId="0" applyNumberFormat="1" applyFont="1" applyFill="1" applyBorder="1" applyAlignment="1">
      <alignment/>
    </xf>
    <xf numFmtId="3" fontId="53" fillId="47" borderId="14" xfId="0" applyNumberFormat="1" applyFont="1" applyFill="1" applyBorder="1" applyAlignment="1">
      <alignment/>
    </xf>
    <xf numFmtId="3" fontId="17" fillId="51" borderId="14" xfId="0" applyNumberFormat="1" applyFont="1" applyFill="1" applyBorder="1" applyAlignment="1">
      <alignment/>
    </xf>
    <xf numFmtId="3" fontId="53" fillId="47" borderId="23" xfId="0" applyNumberFormat="1" applyFont="1" applyFill="1" applyBorder="1" applyAlignment="1">
      <alignment/>
    </xf>
    <xf numFmtId="3" fontId="17" fillId="51" borderId="74" xfId="0" applyNumberFormat="1" applyFont="1" applyFill="1" applyBorder="1" applyAlignment="1">
      <alignment/>
    </xf>
    <xf numFmtId="3" fontId="17" fillId="51" borderId="10" xfId="0" applyNumberFormat="1" applyFont="1" applyFill="1" applyBorder="1" applyAlignment="1">
      <alignment/>
    </xf>
    <xf numFmtId="3" fontId="17" fillId="36" borderId="15" xfId="0" applyNumberFormat="1" applyFont="1" applyFill="1" applyBorder="1" applyAlignment="1">
      <alignment/>
    </xf>
    <xf numFmtId="3" fontId="30" fillId="50" borderId="70" xfId="0" applyNumberFormat="1" applyFont="1" applyFill="1" applyBorder="1" applyAlignment="1">
      <alignment/>
    </xf>
    <xf numFmtId="3" fontId="26" fillId="50" borderId="46" xfId="0" applyNumberFormat="1" applyFont="1" applyFill="1" applyBorder="1" applyAlignment="1">
      <alignment vertical="center"/>
    </xf>
    <xf numFmtId="3" fontId="26" fillId="49" borderId="88" xfId="0" applyNumberFormat="1" applyFont="1" applyFill="1" applyBorder="1" applyAlignment="1">
      <alignment vertical="center"/>
    </xf>
    <xf numFmtId="0" fontId="0" fillId="51" borderId="0" xfId="0" applyFill="1" applyBorder="1" applyAlignment="1">
      <alignment/>
    </xf>
    <xf numFmtId="0" fontId="18" fillId="51" borderId="18" xfId="0" applyFont="1" applyFill="1" applyBorder="1" applyAlignment="1">
      <alignment/>
    </xf>
    <xf numFmtId="3" fontId="6" fillId="51" borderId="33" xfId="0" applyNumberFormat="1" applyFont="1" applyFill="1" applyBorder="1" applyAlignment="1">
      <alignment/>
    </xf>
    <xf numFmtId="3" fontId="6" fillId="51" borderId="27" xfId="0" applyNumberFormat="1" applyFont="1" applyFill="1" applyBorder="1" applyAlignment="1">
      <alignment horizontal="right"/>
    </xf>
    <xf numFmtId="3" fontId="6" fillId="51" borderId="89" xfId="0" applyNumberFormat="1" applyFont="1" applyFill="1" applyBorder="1" applyAlignment="1">
      <alignment/>
    </xf>
    <xf numFmtId="49" fontId="70" fillId="49" borderId="13" xfId="0" applyNumberFormat="1" applyFont="1" applyFill="1" applyBorder="1" applyAlignment="1">
      <alignment horizontal="center" vertical="center" wrapText="1"/>
    </xf>
    <xf numFmtId="3" fontId="30" fillId="49" borderId="13" xfId="0" applyNumberFormat="1" applyFont="1" applyFill="1" applyBorder="1" applyAlignment="1">
      <alignment horizontal="right"/>
    </xf>
    <xf numFmtId="3" fontId="30" fillId="49" borderId="11" xfId="0" applyNumberFormat="1" applyFont="1" applyFill="1" applyBorder="1" applyAlignment="1">
      <alignment horizontal="right"/>
    </xf>
    <xf numFmtId="49" fontId="70" fillId="44" borderId="13" xfId="0" applyNumberFormat="1" applyFont="1" applyFill="1" applyBorder="1" applyAlignment="1">
      <alignment horizontal="center" vertical="center" wrapText="1"/>
    </xf>
    <xf numFmtId="3" fontId="19" fillId="45" borderId="13" xfId="0" applyNumberFormat="1" applyFont="1" applyFill="1" applyBorder="1" applyAlignment="1">
      <alignment horizontal="right"/>
    </xf>
    <xf numFmtId="3" fontId="30" fillId="44" borderId="13" xfId="0" applyNumberFormat="1" applyFont="1" applyFill="1" applyBorder="1" applyAlignment="1">
      <alignment horizontal="right"/>
    </xf>
    <xf numFmtId="3" fontId="54" fillId="33" borderId="11" xfId="0" applyNumberFormat="1" applyFont="1" applyFill="1" applyBorder="1" applyAlignment="1">
      <alignment horizontal="right"/>
    </xf>
    <xf numFmtId="3" fontId="54" fillId="33" borderId="30" xfId="0" applyNumberFormat="1" applyFont="1" applyFill="1" applyBorder="1" applyAlignment="1">
      <alignment horizontal="right"/>
    </xf>
    <xf numFmtId="3" fontId="6" fillId="51" borderId="17" xfId="0" applyNumberFormat="1" applyFont="1" applyFill="1" applyBorder="1" applyAlignment="1">
      <alignment horizontal="right"/>
    </xf>
    <xf numFmtId="3" fontId="6" fillId="51" borderId="20" xfId="0" applyNumberFormat="1" applyFont="1" applyFill="1" applyBorder="1" applyAlignment="1">
      <alignment horizontal="right"/>
    </xf>
    <xf numFmtId="0" fontId="18" fillId="51" borderId="28" xfId="0" applyFont="1" applyFill="1" applyBorder="1" applyAlignment="1">
      <alignment/>
    </xf>
    <xf numFmtId="3" fontId="6" fillId="51" borderId="16" xfId="0" applyNumberFormat="1" applyFont="1" applyFill="1" applyBorder="1" applyAlignment="1">
      <alignment horizontal="right"/>
    </xf>
    <xf numFmtId="3" fontId="6" fillId="51" borderId="19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3" fontId="6" fillId="51" borderId="69" xfId="0" applyNumberFormat="1" applyFont="1" applyFill="1" applyBorder="1" applyAlignment="1">
      <alignment/>
    </xf>
    <xf numFmtId="49" fontId="70" fillId="42" borderId="13" xfId="0" applyNumberFormat="1" applyFont="1" applyFill="1" applyBorder="1" applyAlignment="1">
      <alignment horizontal="center" vertical="center" wrapText="1"/>
    </xf>
    <xf numFmtId="3" fontId="30" fillId="42" borderId="13" xfId="0" applyNumberFormat="1" applyFont="1" applyFill="1" applyBorder="1" applyAlignment="1">
      <alignment horizontal="right"/>
    </xf>
    <xf numFmtId="3" fontId="30" fillId="42" borderId="11" xfId="0" applyNumberFormat="1" applyFont="1" applyFill="1" applyBorder="1" applyAlignment="1">
      <alignment horizontal="right"/>
    </xf>
    <xf numFmtId="3" fontId="30" fillId="42" borderId="26" xfId="0" applyNumberFormat="1" applyFont="1" applyFill="1" applyBorder="1" applyAlignment="1">
      <alignment horizontal="right" vertical="center"/>
    </xf>
    <xf numFmtId="3" fontId="30" fillId="44" borderId="21" xfId="0" applyNumberFormat="1" applyFont="1" applyFill="1" applyBorder="1" applyAlignment="1">
      <alignment horizontal="right"/>
    </xf>
    <xf numFmtId="3" fontId="19" fillId="45" borderId="21" xfId="0" applyNumberFormat="1" applyFont="1" applyFill="1" applyBorder="1" applyAlignment="1">
      <alignment horizontal="right"/>
    </xf>
    <xf numFmtId="3" fontId="54" fillId="33" borderId="18" xfId="0" applyNumberFormat="1" applyFont="1" applyFill="1" applyBorder="1" applyAlignment="1">
      <alignment horizontal="right"/>
    </xf>
    <xf numFmtId="3" fontId="54" fillId="33" borderId="24" xfId="0" applyNumberFormat="1" applyFont="1" applyFill="1" applyBorder="1" applyAlignment="1">
      <alignment horizontal="right"/>
    </xf>
    <xf numFmtId="3" fontId="30" fillId="38" borderId="90" xfId="0" applyNumberFormat="1" applyFont="1" applyFill="1" applyBorder="1" applyAlignment="1">
      <alignment horizontal="right"/>
    </xf>
    <xf numFmtId="3" fontId="30" fillId="38" borderId="44" xfId="0" applyNumberFormat="1" applyFont="1" applyFill="1" applyBorder="1" applyAlignment="1">
      <alignment horizontal="right"/>
    </xf>
    <xf numFmtId="0" fontId="6" fillId="51" borderId="11" xfId="0" applyFont="1" applyFill="1" applyBorder="1" applyAlignment="1">
      <alignment/>
    </xf>
    <xf numFmtId="3" fontId="54" fillId="51" borderId="74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48" fillId="48" borderId="83" xfId="0" applyNumberFormat="1" applyFont="1" applyFill="1" applyBorder="1" applyAlignment="1">
      <alignment horizontal="right"/>
    </xf>
    <xf numFmtId="3" fontId="53" fillId="48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48" fillId="48" borderId="23" xfId="0" applyNumberFormat="1" applyFont="1" applyFill="1" applyBorder="1" applyAlignment="1">
      <alignment horizontal="right"/>
    </xf>
    <xf numFmtId="3" fontId="48" fillId="47" borderId="40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3" fillId="47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48" fillId="47" borderId="33" xfId="0" applyNumberFormat="1" applyFont="1" applyFill="1" applyBorder="1" applyAlignment="1">
      <alignment horizontal="right"/>
    </xf>
    <xf numFmtId="3" fontId="48" fillId="48" borderId="83" xfId="0" applyNumberFormat="1" applyFont="1" applyFill="1" applyBorder="1" applyAlignment="1">
      <alignment horizontal="right"/>
    </xf>
    <xf numFmtId="3" fontId="48" fillId="48" borderId="14" xfId="0" applyNumberFormat="1" applyFont="1" applyFill="1" applyBorder="1" applyAlignment="1">
      <alignment horizontal="right"/>
    </xf>
    <xf numFmtId="3" fontId="48" fillId="48" borderId="23" xfId="0" applyNumberFormat="1" applyFont="1" applyFill="1" applyBorder="1" applyAlignment="1">
      <alignment horizontal="right"/>
    </xf>
    <xf numFmtId="3" fontId="48" fillId="47" borderId="40" xfId="0" applyNumberFormat="1" applyFont="1" applyFill="1" applyBorder="1" applyAlignment="1">
      <alignment horizontal="right"/>
    </xf>
    <xf numFmtId="3" fontId="48" fillId="47" borderId="11" xfId="0" applyNumberFormat="1" applyFont="1" applyFill="1" applyBorder="1" applyAlignment="1">
      <alignment horizontal="right"/>
    </xf>
    <xf numFmtId="3" fontId="48" fillId="47" borderId="33" xfId="0" applyNumberFormat="1" applyFont="1" applyFill="1" applyBorder="1" applyAlignment="1">
      <alignment horizontal="right"/>
    </xf>
    <xf numFmtId="3" fontId="30" fillId="47" borderId="40" xfId="0" applyNumberFormat="1" applyFont="1" applyFill="1" applyBorder="1" applyAlignment="1">
      <alignment wrapText="1"/>
    </xf>
    <xf numFmtId="0" fontId="82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3" fontId="17" fillId="33" borderId="11" xfId="0" applyNumberFormat="1" applyFont="1" applyFill="1" applyBorder="1" applyAlignment="1">
      <alignment horizontal="right"/>
    </xf>
    <xf numFmtId="178" fontId="5" fillId="40" borderId="21" xfId="0" applyNumberFormat="1" applyFont="1" applyFill="1" applyBorder="1" applyAlignment="1">
      <alignment horizontal="right"/>
    </xf>
    <xf numFmtId="178" fontId="5" fillId="0" borderId="21" xfId="0" applyNumberFormat="1" applyFont="1" applyFill="1" applyBorder="1" applyAlignment="1">
      <alignment horizontal="right"/>
    </xf>
    <xf numFmtId="178" fontId="6" fillId="0" borderId="21" xfId="0" applyNumberFormat="1" applyFont="1" applyFill="1" applyBorder="1" applyAlignment="1">
      <alignment horizontal="right"/>
    </xf>
    <xf numFmtId="178" fontId="6" fillId="33" borderId="21" xfId="0" applyNumberFormat="1" applyFont="1" applyFill="1" applyBorder="1" applyAlignment="1">
      <alignment horizontal="right"/>
    </xf>
    <xf numFmtId="178" fontId="5" fillId="33" borderId="21" xfId="0" applyNumberFormat="1" applyFont="1" applyFill="1" applyBorder="1" applyAlignment="1">
      <alignment horizontal="right"/>
    </xf>
    <xf numFmtId="178" fontId="16" fillId="40" borderId="21" xfId="0" applyNumberFormat="1" applyFont="1" applyFill="1" applyBorder="1" applyAlignment="1">
      <alignment horizontal="right"/>
    </xf>
    <xf numFmtId="178" fontId="6" fillId="33" borderId="24" xfId="0" applyNumberFormat="1" applyFont="1" applyFill="1" applyBorder="1" applyAlignment="1">
      <alignment horizontal="right"/>
    </xf>
    <xf numFmtId="178" fontId="6" fillId="40" borderId="76" xfId="0" applyNumberFormat="1" applyFont="1" applyFill="1" applyBorder="1" applyAlignment="1">
      <alignment horizontal="right"/>
    </xf>
    <xf numFmtId="178" fontId="5" fillId="53" borderId="18" xfId="0" applyNumberFormat="1" applyFont="1" applyFill="1" applyBorder="1" applyAlignment="1">
      <alignment horizontal="right" vertical="center"/>
    </xf>
    <xf numFmtId="178" fontId="6" fillId="33" borderId="18" xfId="0" applyNumberFormat="1" applyFont="1" applyFill="1" applyBorder="1" applyAlignment="1">
      <alignment horizontal="right"/>
    </xf>
    <xf numFmtId="178" fontId="5" fillId="53" borderId="28" xfId="0" applyNumberFormat="1" applyFont="1" applyFill="1" applyBorder="1" applyAlignment="1">
      <alignment horizontal="right"/>
    </xf>
    <xf numFmtId="3" fontId="5" fillId="4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16" fillId="40" borderId="15" xfId="0" applyNumberFormat="1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 horizontal="right"/>
    </xf>
    <xf numFmtId="3" fontId="6" fillId="40" borderId="74" xfId="0" applyNumberFormat="1" applyFont="1" applyFill="1" applyBorder="1" applyAlignment="1">
      <alignment horizontal="right"/>
    </xf>
    <xf numFmtId="3" fontId="5" fillId="5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/>
    </xf>
    <xf numFmtId="3" fontId="5" fillId="53" borderId="16" xfId="0" applyNumberFormat="1" applyFont="1" applyFill="1" applyBorder="1" applyAlignment="1">
      <alignment horizontal="right"/>
    </xf>
    <xf numFmtId="178" fontId="5" fillId="53" borderId="21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/>
    </xf>
    <xf numFmtId="178" fontId="6" fillId="0" borderId="18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right"/>
    </xf>
    <xf numFmtId="178" fontId="6" fillId="0" borderId="21" xfId="0" applyNumberFormat="1" applyFont="1" applyBorder="1" applyAlignment="1">
      <alignment horizontal="right"/>
    </xf>
    <xf numFmtId="178" fontId="16" fillId="40" borderId="18" xfId="0" applyNumberFormat="1" applyFont="1" applyFill="1" applyBorder="1" applyAlignment="1">
      <alignment horizontal="right"/>
    </xf>
    <xf numFmtId="178" fontId="6" fillId="0" borderId="18" xfId="0" applyNumberFormat="1" applyFont="1" applyFill="1" applyBorder="1" applyAlignment="1">
      <alignment horizontal="right"/>
    </xf>
    <xf numFmtId="178" fontId="6" fillId="33" borderId="28" xfId="0" applyNumberFormat="1" applyFont="1" applyFill="1" applyBorder="1" applyAlignment="1">
      <alignment horizontal="right"/>
    </xf>
    <xf numFmtId="3" fontId="5" fillId="53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16" fillId="40" borderId="10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right"/>
    </xf>
    <xf numFmtId="3" fontId="2" fillId="53" borderId="91" xfId="0" applyNumberFormat="1" applyFont="1" applyFill="1" applyBorder="1" applyAlignment="1">
      <alignment horizontal="right" vertical="center"/>
    </xf>
    <xf numFmtId="3" fontId="2" fillId="53" borderId="82" xfId="0" applyNumberFormat="1" applyFont="1" applyFill="1" applyBorder="1" applyAlignment="1">
      <alignment horizontal="right" vertical="center"/>
    </xf>
    <xf numFmtId="3" fontId="2" fillId="53" borderId="92" xfId="0" applyNumberFormat="1" applyFont="1" applyFill="1" applyBorder="1" applyAlignment="1">
      <alignment horizontal="right" vertical="center"/>
    </xf>
    <xf numFmtId="3" fontId="2" fillId="0" borderId="82" xfId="0" applyNumberFormat="1" applyFont="1" applyFill="1" applyBorder="1" applyAlignment="1">
      <alignment horizontal="right"/>
    </xf>
    <xf numFmtId="3" fontId="2" fillId="33" borderId="82" xfId="0" applyNumberFormat="1" applyFont="1" applyFill="1" applyBorder="1" applyAlignment="1">
      <alignment horizontal="right"/>
    </xf>
    <xf numFmtId="3" fontId="3" fillId="33" borderId="82" xfId="0" applyNumberFormat="1" applyFont="1" applyFill="1" applyBorder="1" applyAlignment="1">
      <alignment horizontal="right"/>
    </xf>
    <xf numFmtId="3" fontId="30" fillId="42" borderId="13" xfId="0" applyNumberFormat="1" applyFont="1" applyFill="1" applyBorder="1" applyAlignment="1">
      <alignment horizontal="right"/>
    </xf>
    <xf numFmtId="3" fontId="53" fillId="50" borderId="21" xfId="0" applyNumberFormat="1" applyFont="1" applyFill="1" applyBorder="1" applyAlignment="1">
      <alignment/>
    </xf>
    <xf numFmtId="3" fontId="17" fillId="36" borderId="76" xfId="0" applyNumberFormat="1" applyFont="1" applyFill="1" applyBorder="1" applyAlignment="1">
      <alignment/>
    </xf>
    <xf numFmtId="3" fontId="17" fillId="51" borderId="76" xfId="0" applyNumberFormat="1" applyFont="1" applyFill="1" applyBorder="1" applyAlignment="1">
      <alignment/>
    </xf>
    <xf numFmtId="3" fontId="17" fillId="51" borderId="18" xfId="0" applyNumberFormat="1" applyFont="1" applyFill="1" applyBorder="1" applyAlignment="1">
      <alignment/>
    </xf>
    <xf numFmtId="3" fontId="53" fillId="50" borderId="18" xfId="0" applyNumberFormat="1" applyFont="1" applyFill="1" applyBorder="1" applyAlignment="1">
      <alignment/>
    </xf>
    <xf numFmtId="3" fontId="53" fillId="50" borderId="78" xfId="0" applyNumberFormat="1" applyFont="1" applyFill="1" applyBorder="1" applyAlignment="1">
      <alignment/>
    </xf>
    <xf numFmtId="3" fontId="53" fillId="48" borderId="27" xfId="0" applyNumberFormat="1" applyFont="1" applyFill="1" applyBorder="1" applyAlignment="1">
      <alignment/>
    </xf>
    <xf numFmtId="3" fontId="56" fillId="48" borderId="36" xfId="0" applyNumberFormat="1" applyFont="1" applyFill="1" applyBorder="1" applyAlignment="1">
      <alignment vertical="center"/>
    </xf>
    <xf numFmtId="3" fontId="53" fillId="48" borderId="93" xfId="0" applyNumberFormat="1" applyFont="1" applyFill="1" applyBorder="1" applyAlignment="1">
      <alignment/>
    </xf>
    <xf numFmtId="3" fontId="17" fillId="36" borderId="17" xfId="0" applyNumberFormat="1" applyFont="1" applyFill="1" applyBorder="1" applyAlignment="1">
      <alignment horizontal="right"/>
    </xf>
    <xf numFmtId="3" fontId="17" fillId="51" borderId="17" xfId="0" applyNumberFormat="1" applyFont="1" applyFill="1" applyBorder="1" applyAlignment="1">
      <alignment horizontal="right"/>
    </xf>
    <xf numFmtId="3" fontId="53" fillId="48" borderId="17" xfId="0" applyNumberFormat="1" applyFont="1" applyFill="1" applyBorder="1" applyAlignment="1">
      <alignment/>
    </xf>
    <xf numFmtId="0" fontId="8" fillId="51" borderId="11" xfId="0" applyFont="1" applyFill="1" applyBorder="1" applyAlignment="1">
      <alignment horizontal="center"/>
    </xf>
    <xf numFmtId="3" fontId="13" fillId="51" borderId="11" xfId="0" applyNumberFormat="1" applyFont="1" applyFill="1" applyBorder="1" applyAlignment="1">
      <alignment vertical="center"/>
    </xf>
    <xf numFmtId="3" fontId="2" fillId="51" borderId="11" xfId="0" applyNumberFormat="1" applyFont="1" applyFill="1" applyBorder="1" applyAlignment="1">
      <alignment/>
    </xf>
    <xf numFmtId="3" fontId="3" fillId="51" borderId="11" xfId="0" applyNumberFormat="1" applyFont="1" applyFill="1" applyBorder="1" applyAlignment="1">
      <alignment horizontal="right"/>
    </xf>
    <xf numFmtId="3" fontId="3" fillId="51" borderId="11" xfId="0" applyNumberFormat="1" applyFont="1" applyFill="1" applyBorder="1" applyAlignment="1">
      <alignment horizontal="right" vertical="center"/>
    </xf>
    <xf numFmtId="0" fontId="8" fillId="51" borderId="13" xfId="0" applyFont="1" applyFill="1" applyBorder="1" applyAlignment="1">
      <alignment horizontal="center"/>
    </xf>
    <xf numFmtId="0" fontId="3" fillId="51" borderId="71" xfId="0" applyFont="1" applyFill="1" applyBorder="1" applyAlignment="1">
      <alignment horizontal="center"/>
    </xf>
    <xf numFmtId="3" fontId="3" fillId="51" borderId="71" xfId="0" applyNumberFormat="1" applyFont="1" applyFill="1" applyBorder="1" applyAlignment="1">
      <alignment horizontal="right" vertical="center"/>
    </xf>
    <xf numFmtId="3" fontId="2" fillId="51" borderId="71" xfId="0" applyNumberFormat="1" applyFont="1" applyFill="1" applyBorder="1" applyAlignment="1">
      <alignment/>
    </xf>
    <xf numFmtId="3" fontId="3" fillId="51" borderId="71" xfId="0" applyNumberFormat="1" applyFont="1" applyFill="1" applyBorder="1" applyAlignment="1">
      <alignment horizontal="right"/>
    </xf>
    <xf numFmtId="3" fontId="3" fillId="51" borderId="33" xfId="0" applyNumberFormat="1" applyFont="1" applyFill="1" applyBorder="1" applyAlignment="1">
      <alignment horizontal="right"/>
    </xf>
    <xf numFmtId="3" fontId="3" fillId="51" borderId="72" xfId="0" applyNumberFormat="1" applyFont="1" applyFill="1" applyBorder="1" applyAlignment="1">
      <alignment horizontal="right"/>
    </xf>
    <xf numFmtId="0" fontId="8" fillId="51" borderId="70" xfId="0" applyFont="1" applyFill="1" applyBorder="1" applyAlignment="1">
      <alignment horizontal="center"/>
    </xf>
    <xf numFmtId="3" fontId="54" fillId="51" borderId="27" xfId="0" applyNumberFormat="1" applyFont="1" applyFill="1" applyBorder="1" applyAlignment="1">
      <alignment horizontal="left"/>
    </xf>
    <xf numFmtId="0" fontId="83" fillId="38" borderId="94" xfId="0" applyFont="1" applyFill="1" applyBorder="1" applyAlignment="1">
      <alignment/>
    </xf>
    <xf numFmtId="4" fontId="83" fillId="38" borderId="94" xfId="0" applyNumberFormat="1" applyFont="1" applyFill="1" applyBorder="1" applyAlignment="1">
      <alignment/>
    </xf>
    <xf numFmtId="0" fontId="84" fillId="38" borderId="94" xfId="0" applyFont="1" applyFill="1" applyBorder="1" applyAlignment="1">
      <alignment/>
    </xf>
    <xf numFmtId="49" fontId="30" fillId="46" borderId="95" xfId="0" applyNumberFormat="1" applyFont="1" applyFill="1" applyBorder="1" applyAlignment="1">
      <alignment horizontal="center"/>
    </xf>
    <xf numFmtId="4" fontId="83" fillId="38" borderId="96" xfId="0" applyNumberFormat="1" applyFont="1" applyFill="1" applyBorder="1" applyAlignment="1">
      <alignment vertical="center"/>
    </xf>
    <xf numFmtId="0" fontId="5" fillId="34" borderId="97" xfId="0" applyFont="1" applyFill="1" applyBorder="1" applyAlignment="1">
      <alignment horizontal="center"/>
    </xf>
    <xf numFmtId="4" fontId="5" fillId="34" borderId="97" xfId="0" applyNumberFormat="1" applyFont="1" applyFill="1" applyBorder="1" applyAlignment="1">
      <alignment/>
    </xf>
    <xf numFmtId="0" fontId="5" fillId="34" borderId="98" xfId="0" applyFont="1" applyFill="1" applyBorder="1" applyAlignment="1">
      <alignment horizontal="left"/>
    </xf>
    <xf numFmtId="49" fontId="78" fillId="34" borderId="99" xfId="0" applyNumberFormat="1" applyFont="1" applyFill="1" applyBorder="1" applyAlignment="1">
      <alignment horizontal="center"/>
    </xf>
    <xf numFmtId="4" fontId="5" fillId="34" borderId="97" xfId="0" applyNumberFormat="1" applyFont="1" applyFill="1" applyBorder="1" applyAlignment="1">
      <alignment horizontal="center"/>
    </xf>
    <xf numFmtId="0" fontId="5" fillId="34" borderId="100" xfId="0" applyFont="1" applyFill="1" applyBorder="1" applyAlignment="1">
      <alignment horizontal="center"/>
    </xf>
    <xf numFmtId="49" fontId="3" fillId="33" borderId="74" xfId="0" applyNumberFormat="1" applyFont="1" applyFill="1" applyBorder="1" applyAlignment="1">
      <alignment horizontal="center"/>
    </xf>
    <xf numFmtId="0" fontId="3" fillId="33" borderId="56" xfId="0" applyFont="1" applyFill="1" applyBorder="1" applyAlignment="1">
      <alignment horizontal="left"/>
    </xf>
    <xf numFmtId="4" fontId="3" fillId="33" borderId="56" xfId="0" applyNumberFormat="1" applyFont="1" applyFill="1" applyBorder="1" applyAlignment="1">
      <alignment/>
    </xf>
    <xf numFmtId="0" fontId="3" fillId="33" borderId="101" xfId="0" applyFont="1" applyFill="1" applyBorder="1" applyAlignment="1">
      <alignment horizontal="left"/>
    </xf>
    <xf numFmtId="4" fontId="3" fillId="41" borderId="56" xfId="0" applyNumberFormat="1" applyFont="1" applyFill="1" applyBorder="1" applyAlignment="1">
      <alignment/>
    </xf>
    <xf numFmtId="16" fontId="3" fillId="33" borderId="10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/>
    </xf>
    <xf numFmtId="4" fontId="3" fillId="41" borderId="11" xfId="0" applyNumberFormat="1" applyFont="1" applyFill="1" applyBorder="1" applyAlignment="1">
      <alignment/>
    </xf>
    <xf numFmtId="16" fontId="3" fillId="33" borderId="7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4" fontId="3" fillId="33" borderId="11" xfId="0" applyNumberFormat="1" applyFont="1" applyFill="1" applyBorder="1" applyAlignment="1">
      <alignment/>
    </xf>
    <xf numFmtId="0" fontId="3" fillId="33" borderId="68" xfId="0" applyFont="1" applyFill="1" applyBorder="1" applyAlignment="1">
      <alignment horizontal="left"/>
    </xf>
    <xf numFmtId="0" fontId="30" fillId="42" borderId="33" xfId="0" applyFont="1" applyFill="1" applyBorder="1" applyAlignment="1">
      <alignment horizontal="left"/>
    </xf>
    <xf numFmtId="4" fontId="33" fillId="38" borderId="94" xfId="0" applyNumberFormat="1" applyFont="1" applyFill="1" applyBorder="1" applyAlignment="1">
      <alignment vertical="center"/>
    </xf>
    <xf numFmtId="4" fontId="53" fillId="42" borderId="33" xfId="0" applyNumberFormat="1" applyFont="1" applyFill="1" applyBorder="1" applyAlignment="1">
      <alignment/>
    </xf>
    <xf numFmtId="0" fontId="53" fillId="42" borderId="103" xfId="0" applyFont="1" applyFill="1" applyBorder="1" applyAlignment="1">
      <alignment horizontal="right"/>
    </xf>
    <xf numFmtId="49" fontId="53" fillId="42" borderId="69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39" fillId="42" borderId="72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6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5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 vertical="center"/>
    </xf>
    <xf numFmtId="0" fontId="8" fillId="0" borderId="104" xfId="0" applyFont="1" applyFill="1" applyBorder="1" applyAlignment="1">
      <alignment/>
    </xf>
    <xf numFmtId="0" fontId="1" fillId="0" borderId="0" xfId="0" applyFont="1" applyFill="1" applyAlignment="1">
      <alignment/>
    </xf>
    <xf numFmtId="3" fontId="13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0" fontId="3" fillId="0" borderId="49" xfId="0" applyFont="1" applyFill="1" applyBorder="1" applyAlignment="1">
      <alignment horizontal="center" wrapText="1"/>
    </xf>
    <xf numFmtId="0" fontId="0" fillId="33" borderId="105" xfId="0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06" xfId="0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3" fontId="3" fillId="0" borderId="69" xfId="0" applyNumberFormat="1" applyFont="1" applyFill="1" applyBorder="1" applyAlignment="1">
      <alignment/>
    </xf>
    <xf numFmtId="0" fontId="0" fillId="0" borderId="106" xfId="0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3" fontId="6" fillId="51" borderId="15" xfId="0" applyNumberFormat="1" applyFont="1" applyFill="1" applyBorder="1" applyAlignment="1">
      <alignment/>
    </xf>
    <xf numFmtId="0" fontId="1" fillId="0" borderId="69" xfId="0" applyFont="1" applyFill="1" applyBorder="1" applyAlignment="1">
      <alignment horizontal="center"/>
    </xf>
    <xf numFmtId="3" fontId="3" fillId="51" borderId="10" xfId="0" applyNumberFormat="1" applyFont="1" applyFill="1" applyBorder="1" applyAlignment="1">
      <alignment horizontal="right"/>
    </xf>
    <xf numFmtId="3" fontId="3" fillId="51" borderId="11" xfId="0" applyNumberFormat="1" applyFont="1" applyFill="1" applyBorder="1" applyAlignment="1">
      <alignment/>
    </xf>
    <xf numFmtId="3" fontId="13" fillId="51" borderId="71" xfId="0" applyNumberFormat="1" applyFont="1" applyFill="1" applyBorder="1" applyAlignment="1">
      <alignment vertical="center"/>
    </xf>
    <xf numFmtId="3" fontId="3" fillId="51" borderId="71" xfId="0" applyNumberFormat="1" applyFont="1" applyFill="1" applyBorder="1" applyAlignment="1">
      <alignment/>
    </xf>
    <xf numFmtId="3" fontId="3" fillId="51" borderId="33" xfId="0" applyNumberFormat="1" applyFont="1" applyFill="1" applyBorder="1" applyAlignment="1">
      <alignment/>
    </xf>
    <xf numFmtId="3" fontId="3" fillId="51" borderId="72" xfId="0" applyNumberFormat="1" applyFont="1" applyFill="1" applyBorder="1" applyAlignment="1">
      <alignment/>
    </xf>
    <xf numFmtId="0" fontId="7" fillId="51" borderId="21" xfId="0" applyFont="1" applyFill="1" applyBorder="1" applyAlignment="1">
      <alignment/>
    </xf>
    <xf numFmtId="3" fontId="85" fillId="0" borderId="10" xfId="0" applyNumberFormat="1" applyFont="1" applyFill="1" applyBorder="1" applyAlignment="1">
      <alignment vertical="center"/>
    </xf>
    <xf numFmtId="3" fontId="86" fillId="0" borderId="10" xfId="0" applyNumberFormat="1" applyFont="1" applyFill="1" applyBorder="1" applyAlignment="1">
      <alignment/>
    </xf>
    <xf numFmtId="3" fontId="86" fillId="0" borderId="10" xfId="0" applyNumberFormat="1" applyFont="1" applyFill="1" applyBorder="1" applyAlignment="1">
      <alignment vertical="center"/>
    </xf>
    <xf numFmtId="3" fontId="86" fillId="0" borderId="10" xfId="0" applyNumberFormat="1" applyFont="1" applyFill="1" applyBorder="1" applyAlignment="1">
      <alignment horizontal="right"/>
    </xf>
    <xf numFmtId="3" fontId="23" fillId="47" borderId="35" xfId="0" applyNumberFormat="1" applyFont="1" applyFill="1" applyBorder="1" applyAlignment="1">
      <alignment vertical="center"/>
    </xf>
    <xf numFmtId="3" fontId="53" fillId="49" borderId="40" xfId="0" applyNumberFormat="1" applyFont="1" applyFill="1" applyBorder="1" applyAlignment="1">
      <alignment/>
    </xf>
    <xf numFmtId="3" fontId="53" fillId="50" borderId="81" xfId="0" applyNumberFormat="1" applyFont="1" applyFill="1" applyBorder="1" applyAlignment="1">
      <alignment/>
    </xf>
    <xf numFmtId="3" fontId="53" fillId="49" borderId="11" xfId="0" applyNumberFormat="1" applyFont="1" applyFill="1" applyBorder="1" applyAlignment="1">
      <alignment/>
    </xf>
    <xf numFmtId="3" fontId="53" fillId="49" borderId="13" xfId="0" applyNumberFormat="1" applyFont="1" applyFill="1" applyBorder="1" applyAlignment="1">
      <alignment/>
    </xf>
    <xf numFmtId="3" fontId="7" fillId="51" borderId="21" xfId="0" applyNumberFormat="1" applyFont="1" applyFill="1" applyBorder="1" applyAlignment="1">
      <alignment/>
    </xf>
    <xf numFmtId="3" fontId="17" fillId="41" borderId="12" xfId="0" applyNumberFormat="1" applyFont="1" applyFill="1" applyBorder="1" applyAlignment="1">
      <alignment horizontal="right"/>
    </xf>
    <xf numFmtId="3" fontId="17" fillId="41" borderId="13" xfId="0" applyNumberFormat="1" applyFont="1" applyFill="1" applyBorder="1" applyAlignment="1">
      <alignment horizontal="right"/>
    </xf>
    <xf numFmtId="3" fontId="17" fillId="41" borderId="13" xfId="0" applyNumberFormat="1" applyFont="1" applyFill="1" applyBorder="1" applyAlignment="1">
      <alignment/>
    </xf>
    <xf numFmtId="3" fontId="17" fillId="41" borderId="11" xfId="0" applyNumberFormat="1" applyFont="1" applyFill="1" applyBorder="1" applyAlignment="1">
      <alignment horizontal="right"/>
    </xf>
    <xf numFmtId="3" fontId="17" fillId="41" borderId="18" xfId="0" applyNumberFormat="1" applyFont="1" applyFill="1" applyBorder="1" applyAlignment="1">
      <alignment horizontal="right"/>
    </xf>
    <xf numFmtId="3" fontId="7" fillId="51" borderId="12" xfId="0" applyNumberFormat="1" applyFont="1" applyFill="1" applyBorder="1" applyAlignment="1">
      <alignment horizontal="right"/>
    </xf>
    <xf numFmtId="3" fontId="7" fillId="51" borderId="13" xfId="0" applyNumberFormat="1" applyFont="1" applyFill="1" applyBorder="1" applyAlignment="1">
      <alignment horizontal="right"/>
    </xf>
    <xf numFmtId="3" fontId="17" fillId="36" borderId="14" xfId="0" applyNumberFormat="1" applyFont="1" applyFill="1" applyBorder="1" applyAlignment="1">
      <alignment horizontal="right"/>
    </xf>
    <xf numFmtId="3" fontId="17" fillId="41" borderId="14" xfId="0" applyNumberFormat="1" applyFont="1" applyFill="1" applyBorder="1" applyAlignment="1">
      <alignment horizontal="right"/>
    </xf>
    <xf numFmtId="3" fontId="17" fillId="41" borderId="11" xfId="0" applyNumberFormat="1" applyFont="1" applyFill="1" applyBorder="1" applyAlignment="1">
      <alignment/>
    </xf>
    <xf numFmtId="3" fontId="7" fillId="51" borderId="13" xfId="0" applyNumberFormat="1" applyFont="1" applyFill="1" applyBorder="1" applyAlignment="1">
      <alignment/>
    </xf>
    <xf numFmtId="3" fontId="7" fillId="51" borderId="11" xfId="0" applyNumberFormat="1" applyFont="1" applyFill="1" applyBorder="1" applyAlignment="1">
      <alignment horizontal="right"/>
    </xf>
    <xf numFmtId="3" fontId="7" fillId="51" borderId="18" xfId="0" applyNumberFormat="1" applyFont="1" applyFill="1" applyBorder="1" applyAlignment="1">
      <alignment horizontal="right"/>
    </xf>
    <xf numFmtId="3" fontId="17" fillId="51" borderId="23" xfId="0" applyNumberFormat="1" applyFont="1" applyFill="1" applyBorder="1" applyAlignment="1">
      <alignment horizontal="right"/>
    </xf>
    <xf numFmtId="3" fontId="17" fillId="51" borderId="33" xfId="0" applyNumberFormat="1" applyFont="1" applyFill="1" applyBorder="1" applyAlignment="1">
      <alignment horizontal="right"/>
    </xf>
    <xf numFmtId="3" fontId="17" fillId="51" borderId="78" xfId="0" applyNumberFormat="1" applyFont="1" applyFill="1" applyBorder="1" applyAlignment="1">
      <alignment horizontal="right"/>
    </xf>
    <xf numFmtId="3" fontId="7" fillId="51" borderId="10" xfId="0" applyNumberFormat="1" applyFont="1" applyFill="1" applyBorder="1" applyAlignment="1">
      <alignment/>
    </xf>
    <xf numFmtId="3" fontId="7" fillId="51" borderId="30" xfId="0" applyNumberFormat="1" applyFont="1" applyFill="1" applyBorder="1" applyAlignment="1">
      <alignment/>
    </xf>
    <xf numFmtId="3" fontId="7" fillId="51" borderId="24" xfId="0" applyNumberFormat="1" applyFont="1" applyFill="1" applyBorder="1" applyAlignment="1">
      <alignment/>
    </xf>
    <xf numFmtId="3" fontId="17" fillId="51" borderId="76" xfId="0" applyNumberFormat="1" applyFont="1" applyFill="1" applyBorder="1" applyAlignment="1">
      <alignment horizontal="right"/>
    </xf>
    <xf numFmtId="3" fontId="17" fillId="41" borderId="55" xfId="0" applyNumberFormat="1" applyFont="1" applyFill="1" applyBorder="1" applyAlignment="1">
      <alignment horizontal="right"/>
    </xf>
    <xf numFmtId="3" fontId="17" fillId="41" borderId="56" xfId="0" applyNumberFormat="1" applyFont="1" applyFill="1" applyBorder="1" applyAlignment="1">
      <alignment horizontal="right"/>
    </xf>
    <xf numFmtId="3" fontId="17" fillId="41" borderId="76" xfId="0" applyNumberFormat="1" applyFont="1" applyFill="1" applyBorder="1" applyAlignment="1">
      <alignment horizontal="right"/>
    </xf>
    <xf numFmtId="3" fontId="17" fillId="41" borderId="79" xfId="0" applyNumberFormat="1" applyFont="1" applyFill="1" applyBorder="1" applyAlignment="1">
      <alignment horizontal="right"/>
    </xf>
    <xf numFmtId="3" fontId="7" fillId="51" borderId="79" xfId="0" applyNumberFormat="1" applyFont="1" applyFill="1" applyBorder="1" applyAlignment="1">
      <alignment horizontal="right"/>
    </xf>
    <xf numFmtId="3" fontId="7" fillId="51" borderId="55" xfId="0" applyNumberFormat="1" applyFont="1" applyFill="1" applyBorder="1" applyAlignment="1">
      <alignment horizontal="right"/>
    </xf>
    <xf numFmtId="3" fontId="7" fillId="51" borderId="56" xfId="0" applyNumberFormat="1" applyFont="1" applyFill="1" applyBorder="1" applyAlignment="1">
      <alignment horizontal="right"/>
    </xf>
    <xf numFmtId="3" fontId="7" fillId="51" borderId="76" xfId="0" applyNumberFormat="1" applyFont="1" applyFill="1" applyBorder="1" applyAlignment="1">
      <alignment horizontal="right"/>
    </xf>
    <xf numFmtId="3" fontId="17" fillId="36" borderId="76" xfId="0" applyNumberFormat="1" applyFont="1" applyFill="1" applyBorder="1" applyAlignment="1">
      <alignment horizontal="right"/>
    </xf>
    <xf numFmtId="3" fontId="17" fillId="41" borderId="10" xfId="0" applyNumberFormat="1" applyFont="1" applyFill="1" applyBorder="1" applyAlignment="1">
      <alignment horizontal="right"/>
    </xf>
    <xf numFmtId="3" fontId="7" fillId="41" borderId="55" xfId="0" applyNumberFormat="1" applyFont="1" applyFill="1" applyBorder="1" applyAlignment="1">
      <alignment horizontal="right"/>
    </xf>
    <xf numFmtId="3" fontId="7" fillId="41" borderId="79" xfId="0" applyNumberFormat="1" applyFont="1" applyFill="1" applyBorder="1" applyAlignment="1">
      <alignment horizontal="right"/>
    </xf>
    <xf numFmtId="3" fontId="7" fillId="51" borderId="80" xfId="0" applyNumberFormat="1" applyFont="1" applyFill="1" applyBorder="1" applyAlignment="1">
      <alignment horizontal="right"/>
    </xf>
    <xf numFmtId="3" fontId="17" fillId="51" borderId="66" xfId="0" applyNumberFormat="1" applyFont="1" applyFill="1" applyBorder="1" applyAlignment="1">
      <alignment horizontal="right"/>
    </xf>
    <xf numFmtId="3" fontId="23" fillId="49" borderId="22" xfId="0" applyNumberFormat="1" applyFont="1" applyFill="1" applyBorder="1" applyAlignment="1">
      <alignment vertical="center"/>
    </xf>
    <xf numFmtId="3" fontId="7" fillId="51" borderId="19" xfId="0" applyNumberFormat="1" applyFont="1" applyFill="1" applyBorder="1" applyAlignment="1">
      <alignment/>
    </xf>
    <xf numFmtId="3" fontId="17" fillId="41" borderId="74" xfId="0" applyNumberFormat="1" applyFont="1" applyFill="1" applyBorder="1" applyAlignment="1">
      <alignment/>
    </xf>
    <xf numFmtId="3" fontId="17" fillId="41" borderId="56" xfId="0" applyNumberFormat="1" applyFont="1" applyFill="1" applyBorder="1" applyAlignment="1">
      <alignment/>
    </xf>
    <xf numFmtId="3" fontId="17" fillId="41" borderId="76" xfId="0" applyNumberFormat="1" applyFont="1" applyFill="1" applyBorder="1" applyAlignment="1">
      <alignment/>
    </xf>
    <xf numFmtId="3" fontId="17" fillId="41" borderId="10" xfId="0" applyNumberFormat="1" applyFont="1" applyFill="1" applyBorder="1" applyAlignment="1">
      <alignment/>
    </xf>
    <xf numFmtId="3" fontId="17" fillId="41" borderId="18" xfId="0" applyNumberFormat="1" applyFont="1" applyFill="1" applyBorder="1" applyAlignment="1">
      <alignment/>
    </xf>
    <xf numFmtId="3" fontId="17" fillId="51" borderId="15" xfId="0" applyNumberFormat="1" applyFont="1" applyFill="1" applyBorder="1" applyAlignment="1">
      <alignment/>
    </xf>
    <xf numFmtId="3" fontId="17" fillId="51" borderId="21" xfId="0" applyNumberFormat="1" applyFont="1" applyFill="1" applyBorder="1" applyAlignment="1">
      <alignment/>
    </xf>
    <xf numFmtId="3" fontId="7" fillId="51" borderId="74" xfId="0" applyNumberFormat="1" applyFont="1" applyFill="1" applyBorder="1" applyAlignment="1">
      <alignment/>
    </xf>
    <xf numFmtId="3" fontId="7" fillId="51" borderId="56" xfId="0" applyNumberFormat="1" applyFont="1" applyFill="1" applyBorder="1" applyAlignment="1">
      <alignment/>
    </xf>
    <xf numFmtId="3" fontId="7" fillId="51" borderId="76" xfId="0" applyNumberFormat="1" applyFont="1" applyFill="1" applyBorder="1" applyAlignment="1">
      <alignment/>
    </xf>
    <xf numFmtId="3" fontId="17" fillId="51" borderId="69" xfId="0" applyNumberFormat="1" applyFont="1" applyFill="1" applyBorder="1" applyAlignment="1">
      <alignment/>
    </xf>
    <xf numFmtId="3" fontId="17" fillId="51" borderId="33" xfId="0" applyNumberFormat="1" applyFont="1" applyFill="1" applyBorder="1" applyAlignment="1">
      <alignment/>
    </xf>
    <xf numFmtId="3" fontId="17" fillId="51" borderId="78" xfId="0" applyNumberFormat="1" applyFont="1" applyFill="1" applyBorder="1" applyAlignment="1">
      <alignment/>
    </xf>
    <xf numFmtId="3" fontId="30" fillId="46" borderId="49" xfId="0" applyNumberFormat="1" applyFont="1" applyFill="1" applyBorder="1" applyAlignment="1">
      <alignment/>
    </xf>
    <xf numFmtId="0" fontId="3" fillId="0" borderId="68" xfId="0" applyFont="1" applyBorder="1" applyAlignment="1">
      <alignment/>
    </xf>
    <xf numFmtId="3" fontId="6" fillId="51" borderId="15" xfId="0" applyNumberFormat="1" applyFont="1" applyFill="1" applyBorder="1" applyAlignment="1">
      <alignment horizontal="right"/>
    </xf>
    <xf numFmtId="178" fontId="6" fillId="51" borderId="21" xfId="0" applyNumberFormat="1" applyFont="1" applyFill="1" applyBorder="1" applyAlignment="1">
      <alignment horizontal="right"/>
    </xf>
    <xf numFmtId="49" fontId="72" fillId="37" borderId="107" xfId="0" applyNumberFormat="1" applyFont="1" applyFill="1" applyBorder="1" applyAlignment="1">
      <alignment horizontal="left" vertical="center"/>
    </xf>
    <xf numFmtId="49" fontId="73" fillId="37" borderId="67" xfId="0" applyNumberFormat="1" applyFont="1" applyFill="1" applyBorder="1" applyAlignment="1">
      <alignment vertical="center"/>
    </xf>
    <xf numFmtId="49" fontId="73" fillId="37" borderId="95" xfId="0" applyNumberFormat="1" applyFont="1" applyFill="1" applyBorder="1" applyAlignment="1">
      <alignment vertical="center"/>
    </xf>
    <xf numFmtId="49" fontId="73" fillId="37" borderId="80" xfId="0" applyNumberFormat="1" applyFont="1" applyFill="1" applyBorder="1" applyAlignment="1">
      <alignment vertical="center"/>
    </xf>
    <xf numFmtId="49" fontId="73" fillId="37" borderId="20" xfId="0" applyNumberFormat="1" applyFont="1" applyFill="1" applyBorder="1" applyAlignment="1">
      <alignment vertical="center"/>
    </xf>
    <xf numFmtId="49" fontId="73" fillId="37" borderId="12" xfId="0" applyNumberFormat="1" applyFont="1" applyFill="1" applyBorder="1" applyAlignment="1">
      <alignment vertical="center"/>
    </xf>
    <xf numFmtId="0" fontId="3" fillId="53" borderId="108" xfId="0" applyFont="1" applyFill="1" applyBorder="1" applyAlignment="1">
      <alignment horizontal="center" vertical="center" wrapText="1"/>
    </xf>
    <xf numFmtId="0" fontId="3" fillId="53" borderId="24" xfId="0" applyFont="1" applyFill="1" applyBorder="1" applyAlignment="1">
      <alignment horizontal="center" vertical="center" wrapText="1"/>
    </xf>
    <xf numFmtId="0" fontId="3" fillId="53" borderId="25" xfId="0" applyFont="1" applyFill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0" fontId="30" fillId="47" borderId="95" xfId="0" applyFont="1" applyFill="1" applyBorder="1" applyAlignment="1">
      <alignment horizontal="center" vertical="center" wrapText="1"/>
    </xf>
    <xf numFmtId="0" fontId="30" fillId="47" borderId="29" xfId="0" applyFont="1" applyFill="1" applyBorder="1" applyAlignment="1">
      <alignment horizontal="center" vertical="center" wrapText="1"/>
    </xf>
    <xf numFmtId="0" fontId="30" fillId="47" borderId="32" xfId="0" applyFont="1" applyFill="1" applyBorder="1" applyAlignment="1">
      <alignment horizontal="center" vertical="center" wrapText="1"/>
    </xf>
    <xf numFmtId="0" fontId="3" fillId="53" borderId="109" xfId="0" applyFont="1" applyFill="1" applyBorder="1" applyAlignment="1">
      <alignment horizontal="center" vertical="center" wrapText="1"/>
    </xf>
    <xf numFmtId="0" fontId="3" fillId="53" borderId="19" xfId="0" applyFont="1" applyFill="1" applyBorder="1" applyAlignment="1">
      <alignment horizontal="center" vertical="center" wrapText="1"/>
    </xf>
    <xf numFmtId="0" fontId="3" fillId="53" borderId="22" xfId="0" applyFont="1" applyFill="1" applyBorder="1" applyAlignment="1">
      <alignment horizontal="center" vertical="center" wrapText="1"/>
    </xf>
    <xf numFmtId="0" fontId="30" fillId="48" borderId="95" xfId="0" applyFont="1" applyFill="1" applyBorder="1" applyAlignment="1">
      <alignment horizontal="center" vertical="center" wrapText="1"/>
    </xf>
    <xf numFmtId="0" fontId="30" fillId="48" borderId="29" xfId="0" applyFont="1" applyFill="1" applyBorder="1" applyAlignment="1">
      <alignment horizontal="center" vertical="center" wrapText="1"/>
    </xf>
    <xf numFmtId="0" fontId="30" fillId="48" borderId="32" xfId="0" applyFont="1" applyFill="1" applyBorder="1" applyAlignment="1">
      <alignment horizontal="center" vertical="center" wrapText="1"/>
    </xf>
    <xf numFmtId="0" fontId="30" fillId="43" borderId="95" xfId="0" applyFont="1" applyFill="1" applyBorder="1" applyAlignment="1">
      <alignment horizontal="center" vertical="center" wrapText="1"/>
    </xf>
    <xf numFmtId="0" fontId="30" fillId="43" borderId="29" xfId="0" applyFont="1" applyFill="1" applyBorder="1" applyAlignment="1">
      <alignment horizontal="center" vertical="center" wrapText="1"/>
    </xf>
    <xf numFmtId="0" fontId="30" fillId="43" borderId="32" xfId="0" applyFont="1" applyFill="1" applyBorder="1" applyAlignment="1">
      <alignment horizontal="center" vertical="center" wrapText="1"/>
    </xf>
    <xf numFmtId="0" fontId="3" fillId="53" borderId="110" xfId="0" applyFont="1" applyFill="1" applyBorder="1" applyAlignment="1">
      <alignment horizontal="center" vertical="center" wrapText="1"/>
    </xf>
    <xf numFmtId="0" fontId="3" fillId="53" borderId="111" xfId="0" applyFont="1" applyFill="1" applyBorder="1" applyAlignment="1">
      <alignment horizontal="center" vertical="center" wrapText="1"/>
    </xf>
    <xf numFmtId="0" fontId="3" fillId="53" borderId="112" xfId="0" applyFont="1" applyFill="1" applyBorder="1" applyAlignment="1">
      <alignment horizontal="center" vertical="center" wrapText="1"/>
    </xf>
    <xf numFmtId="0" fontId="73" fillId="37" borderId="67" xfId="0" applyFont="1" applyFill="1" applyBorder="1" applyAlignment="1">
      <alignment vertical="center"/>
    </xf>
    <xf numFmtId="0" fontId="73" fillId="37" borderId="95" xfId="0" applyFont="1" applyFill="1" applyBorder="1" applyAlignment="1">
      <alignment vertical="center"/>
    </xf>
    <xf numFmtId="0" fontId="73" fillId="37" borderId="80" xfId="0" applyFont="1" applyFill="1" applyBorder="1" applyAlignment="1">
      <alignment vertical="center"/>
    </xf>
    <xf numFmtId="0" fontId="73" fillId="37" borderId="20" xfId="0" applyFont="1" applyFill="1" applyBorder="1" applyAlignment="1">
      <alignment vertical="center"/>
    </xf>
    <xf numFmtId="0" fontId="73" fillId="37" borderId="12" xfId="0" applyFont="1" applyFill="1" applyBorder="1" applyAlignment="1">
      <alignment vertical="center"/>
    </xf>
    <xf numFmtId="0" fontId="30" fillId="47" borderId="113" xfId="0" applyFont="1" applyFill="1" applyBorder="1" applyAlignment="1">
      <alignment horizontal="center" vertical="center" wrapText="1"/>
    </xf>
    <xf numFmtId="0" fontId="30" fillId="47" borderId="30" xfId="0" applyFont="1" applyFill="1" applyBorder="1" applyAlignment="1">
      <alignment horizontal="center" vertical="center" wrapText="1"/>
    </xf>
    <xf numFmtId="0" fontId="30" fillId="47" borderId="35" xfId="0" applyFont="1" applyFill="1" applyBorder="1" applyAlignment="1">
      <alignment horizontal="center" vertical="center" wrapText="1"/>
    </xf>
    <xf numFmtId="0" fontId="8" fillId="35" borderId="114" xfId="0" applyFont="1" applyFill="1" applyBorder="1" applyAlignment="1">
      <alignment horizontal="center"/>
    </xf>
    <xf numFmtId="0" fontId="8" fillId="35" borderId="93" xfId="0" applyFont="1" applyFill="1" applyBorder="1" applyAlignment="1">
      <alignment horizontal="center"/>
    </xf>
    <xf numFmtId="0" fontId="8" fillId="35" borderId="83" xfId="0" applyFont="1" applyFill="1" applyBorder="1" applyAlignment="1">
      <alignment horizontal="center"/>
    </xf>
    <xf numFmtId="0" fontId="3" fillId="35" borderId="8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49" fontId="28" fillId="45" borderId="115" xfId="0" applyNumberFormat="1" applyFont="1" applyFill="1" applyBorder="1" applyAlignment="1">
      <alignment horizontal="center"/>
    </xf>
    <xf numFmtId="49" fontId="28" fillId="45" borderId="50" xfId="0" applyNumberFormat="1" applyFont="1" applyFill="1" applyBorder="1" applyAlignment="1">
      <alignment horizontal="center"/>
    </xf>
    <xf numFmtId="49" fontId="28" fillId="45" borderId="51" xfId="0" applyNumberFormat="1" applyFont="1" applyFill="1" applyBorder="1" applyAlignment="1">
      <alignment horizontal="center"/>
    </xf>
    <xf numFmtId="49" fontId="53" fillId="47" borderId="113" xfId="0" applyNumberFormat="1" applyFont="1" applyFill="1" applyBorder="1" applyAlignment="1">
      <alignment horizontal="center" vertical="center" wrapText="1"/>
    </xf>
    <xf numFmtId="0" fontId="74" fillId="47" borderId="30" xfId="0" applyFont="1" applyFill="1" applyBorder="1" applyAlignment="1">
      <alignment horizontal="center" wrapText="1"/>
    </xf>
    <xf numFmtId="0" fontId="74" fillId="47" borderId="35" xfId="0" applyFont="1" applyFill="1" applyBorder="1" applyAlignment="1">
      <alignment horizontal="center" wrapText="1"/>
    </xf>
    <xf numFmtId="0" fontId="53" fillId="43" borderId="56" xfId="0" applyFont="1" applyFill="1" applyBorder="1" applyAlignment="1">
      <alignment horizontal="center" vertical="center" wrapText="1"/>
    </xf>
    <xf numFmtId="0" fontId="53" fillId="43" borderId="35" xfId="0" applyFont="1" applyFill="1" applyBorder="1" applyAlignment="1">
      <alignment horizontal="center" vertical="center" wrapText="1"/>
    </xf>
    <xf numFmtId="0" fontId="53" fillId="48" borderId="64" xfId="0" applyFont="1" applyFill="1" applyBorder="1" applyAlignment="1">
      <alignment horizontal="center" vertical="center" wrapText="1"/>
    </xf>
    <xf numFmtId="0" fontId="53" fillId="48" borderId="36" xfId="0" applyFont="1" applyFill="1" applyBorder="1" applyAlignment="1">
      <alignment horizontal="center" vertical="center" wrapText="1"/>
    </xf>
    <xf numFmtId="0" fontId="8" fillId="35" borderId="58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53" fillId="48" borderId="76" xfId="0" applyFont="1" applyFill="1" applyBorder="1" applyAlignment="1">
      <alignment horizontal="center" vertical="center" wrapText="1"/>
    </xf>
    <xf numFmtId="0" fontId="53" fillId="48" borderId="25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 vertical="center" textRotation="180" wrapText="1"/>
    </xf>
    <xf numFmtId="0" fontId="0" fillId="0" borderId="30" xfId="0" applyBorder="1" applyAlignment="1">
      <alignment horizontal="center" vertical="center" textRotation="180" wrapText="1"/>
    </xf>
    <xf numFmtId="0" fontId="0" fillId="0" borderId="35" xfId="0" applyBorder="1" applyAlignment="1">
      <alignment horizontal="center" vertical="center" textRotation="180" wrapText="1"/>
    </xf>
    <xf numFmtId="0" fontId="3" fillId="51" borderId="56" xfId="0" applyFont="1" applyFill="1" applyBorder="1" applyAlignment="1">
      <alignment horizontal="center" vertical="center" wrapText="1"/>
    </xf>
    <xf numFmtId="0" fontId="39" fillId="51" borderId="13" xfId="0" applyFont="1" applyFill="1" applyBorder="1" applyAlignment="1">
      <alignment horizontal="center" vertical="center" wrapText="1"/>
    </xf>
    <xf numFmtId="0" fontId="53" fillId="47" borderId="56" xfId="0" applyFont="1" applyFill="1" applyBorder="1" applyAlignment="1">
      <alignment horizontal="center" vertical="center" wrapText="1"/>
    </xf>
    <xf numFmtId="0" fontId="53" fillId="47" borderId="35" xfId="0" applyFont="1" applyFill="1" applyBorder="1" applyAlignment="1">
      <alignment horizontal="center" vertical="center" wrapText="1"/>
    </xf>
    <xf numFmtId="0" fontId="3" fillId="51" borderId="102" xfId="0" applyFont="1" applyFill="1" applyBorder="1" applyAlignment="1">
      <alignment horizontal="center" vertical="center" wrapText="1"/>
    </xf>
    <xf numFmtId="0" fontId="39" fillId="51" borderId="7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49" fontId="53" fillId="50" borderId="108" xfId="0" applyNumberFormat="1" applyFont="1" applyFill="1" applyBorder="1" applyAlignment="1">
      <alignment horizontal="center" vertical="center" wrapText="1"/>
    </xf>
    <xf numFmtId="0" fontId="74" fillId="50" borderId="24" xfId="0" applyFont="1" applyFill="1" applyBorder="1" applyAlignment="1">
      <alignment horizontal="center" wrapText="1"/>
    </xf>
    <xf numFmtId="0" fontId="74" fillId="50" borderId="25" xfId="0" applyFont="1" applyFill="1" applyBorder="1" applyAlignment="1">
      <alignment horizontal="center" wrapText="1"/>
    </xf>
    <xf numFmtId="49" fontId="53" fillId="49" borderId="109" xfId="0" applyNumberFormat="1" applyFont="1" applyFill="1" applyBorder="1" applyAlignment="1">
      <alignment horizontal="center" vertical="center" wrapText="1"/>
    </xf>
    <xf numFmtId="0" fontId="74" fillId="49" borderId="19" xfId="0" applyFont="1" applyFill="1" applyBorder="1" applyAlignment="1">
      <alignment horizontal="center" wrapText="1"/>
    </xf>
    <xf numFmtId="0" fontId="74" fillId="49" borderId="22" xfId="0" applyFont="1" applyFill="1" applyBorder="1" applyAlignment="1">
      <alignment horizontal="center" wrapText="1"/>
    </xf>
    <xf numFmtId="0" fontId="3" fillId="35" borderId="74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5" borderId="116" xfId="0" applyFont="1" applyFill="1" applyBorder="1" applyAlignment="1">
      <alignment horizontal="center"/>
    </xf>
    <xf numFmtId="0" fontId="3" fillId="35" borderId="94" xfId="0" applyFont="1" applyFill="1" applyBorder="1" applyAlignment="1">
      <alignment horizontal="center"/>
    </xf>
    <xf numFmtId="0" fontId="3" fillId="35" borderId="96" xfId="0" applyFont="1" applyFill="1" applyBorder="1" applyAlignment="1">
      <alignment horizontal="center"/>
    </xf>
    <xf numFmtId="0" fontId="53" fillId="49" borderId="102" xfId="0" applyFont="1" applyFill="1" applyBorder="1" applyAlignment="1">
      <alignment horizontal="center" vertical="center" wrapText="1"/>
    </xf>
    <xf numFmtId="0" fontId="53" fillId="49" borderId="77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textRotation="180" wrapText="1"/>
    </xf>
    <xf numFmtId="0" fontId="53" fillId="49" borderId="56" xfId="0" applyFont="1" applyFill="1" applyBorder="1" applyAlignment="1">
      <alignment horizontal="center" vertical="center" wrapText="1"/>
    </xf>
    <xf numFmtId="0" fontId="53" fillId="49" borderId="35" xfId="0" applyFont="1" applyFill="1" applyBorder="1" applyAlignment="1">
      <alignment horizontal="center" vertical="center" wrapText="1"/>
    </xf>
    <xf numFmtId="49" fontId="53" fillId="50" borderId="95" xfId="0" applyNumberFormat="1" applyFont="1" applyFill="1" applyBorder="1" applyAlignment="1">
      <alignment horizontal="center" vertical="center" wrapText="1"/>
    </xf>
    <xf numFmtId="0" fontId="74" fillId="50" borderId="29" xfId="0" applyFont="1" applyFill="1" applyBorder="1" applyAlignment="1">
      <alignment horizontal="center" wrapText="1"/>
    </xf>
    <xf numFmtId="0" fontId="74" fillId="50" borderId="32" xfId="0" applyFont="1" applyFill="1" applyBorder="1" applyAlignment="1">
      <alignment horizontal="center" wrapText="1"/>
    </xf>
    <xf numFmtId="49" fontId="28" fillId="45" borderId="117" xfId="0" applyNumberFormat="1" applyFont="1" applyFill="1" applyBorder="1" applyAlignment="1">
      <alignment horizontal="center"/>
    </xf>
    <xf numFmtId="49" fontId="28" fillId="45" borderId="118" xfId="0" applyNumberFormat="1" applyFont="1" applyFill="1" applyBorder="1" applyAlignment="1">
      <alignment horizontal="center"/>
    </xf>
    <xf numFmtId="49" fontId="28" fillId="45" borderId="100" xfId="0" applyNumberFormat="1" applyFont="1" applyFill="1" applyBorder="1" applyAlignment="1">
      <alignment horizontal="center"/>
    </xf>
    <xf numFmtId="0" fontId="15" fillId="35" borderId="119" xfId="0" applyFont="1" applyFill="1" applyBorder="1" applyAlignment="1">
      <alignment horizontal="center"/>
    </xf>
    <xf numFmtId="0" fontId="15" fillId="35" borderId="94" xfId="0" applyFont="1" applyFill="1" applyBorder="1" applyAlignment="1">
      <alignment horizontal="center"/>
    </xf>
    <xf numFmtId="0" fontId="15" fillId="35" borderId="96" xfId="0" applyFont="1" applyFill="1" applyBorder="1" applyAlignment="1">
      <alignment horizontal="center"/>
    </xf>
    <xf numFmtId="0" fontId="3" fillId="35" borderId="79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62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53" fillId="50" borderId="76" xfId="0" applyFont="1" applyFill="1" applyBorder="1" applyAlignment="1">
      <alignment horizontal="center" vertical="center" wrapText="1"/>
    </xf>
    <xf numFmtId="0" fontId="53" fillId="50" borderId="25" xfId="0" applyFont="1" applyFill="1" applyBorder="1" applyAlignment="1">
      <alignment horizontal="center" vertical="center" wrapText="1"/>
    </xf>
    <xf numFmtId="0" fontId="8" fillId="35" borderId="117" xfId="0" applyFont="1" applyFill="1" applyBorder="1" applyAlignment="1">
      <alignment horizontal="center"/>
    </xf>
    <xf numFmtId="0" fontId="8" fillId="35" borderId="118" xfId="0" applyFont="1" applyFill="1" applyBorder="1" applyAlignment="1">
      <alignment horizontal="center"/>
    </xf>
    <xf numFmtId="0" fontId="8" fillId="35" borderId="10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 vertical="center"/>
    </xf>
    <xf numFmtId="3" fontId="3" fillId="35" borderId="30" xfId="0" applyNumberFormat="1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8" fillId="35" borderId="79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49" fontId="28" fillId="45" borderId="119" xfId="0" applyNumberFormat="1" applyFont="1" applyFill="1" applyBorder="1" applyAlignment="1">
      <alignment horizontal="center"/>
    </xf>
    <xf numFmtId="49" fontId="28" fillId="45" borderId="94" xfId="0" applyNumberFormat="1" applyFont="1" applyFill="1" applyBorder="1" applyAlignment="1">
      <alignment horizontal="center"/>
    </xf>
    <xf numFmtId="49" fontId="28" fillId="45" borderId="96" xfId="0" applyNumberFormat="1" applyFont="1" applyFill="1" applyBorder="1" applyAlignment="1">
      <alignment horizontal="center"/>
    </xf>
    <xf numFmtId="0" fontId="8" fillId="35" borderId="80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24" fillId="50" borderId="76" xfId="0" applyFont="1" applyFill="1" applyBorder="1" applyAlignment="1">
      <alignment horizontal="center" vertical="center" wrapText="1"/>
    </xf>
    <xf numFmtId="0" fontId="24" fillId="50" borderId="25" xfId="0" applyFont="1" applyFill="1" applyBorder="1" applyAlignment="1">
      <alignment horizontal="center" vertical="center" wrapText="1"/>
    </xf>
    <xf numFmtId="49" fontId="24" fillId="49" borderId="109" xfId="0" applyNumberFormat="1" applyFont="1" applyFill="1" applyBorder="1" applyAlignment="1">
      <alignment horizontal="center" vertical="center" wrapText="1"/>
    </xf>
    <xf numFmtId="0" fontId="3" fillId="35" borderId="68" xfId="0" applyFont="1" applyFill="1" applyBorder="1" applyAlignment="1">
      <alignment horizontal="center"/>
    </xf>
    <xf numFmtId="0" fontId="8" fillId="35" borderId="80" xfId="0" applyNumberFormat="1" applyFont="1" applyFill="1" applyBorder="1" applyAlignment="1">
      <alignment horizontal="center"/>
    </xf>
    <xf numFmtId="0" fontId="8" fillId="35" borderId="20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3" fillId="35" borderId="101" xfId="0" applyFont="1" applyFill="1" applyBorder="1" applyAlignment="1">
      <alignment horizontal="center"/>
    </xf>
    <xf numFmtId="0" fontId="3" fillId="35" borderId="64" xfId="0" applyFont="1" applyFill="1" applyBorder="1" applyAlignment="1">
      <alignment horizontal="center"/>
    </xf>
    <xf numFmtId="0" fontId="3" fillId="35" borderId="76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 vertical="center" textRotation="180" wrapText="1"/>
    </xf>
    <xf numFmtId="0" fontId="24" fillId="49" borderId="56" xfId="0" applyFont="1" applyFill="1" applyBorder="1" applyAlignment="1">
      <alignment horizontal="center" vertical="center" wrapText="1"/>
    </xf>
    <xf numFmtId="0" fontId="24" fillId="49" borderId="35" xfId="0" applyFont="1" applyFill="1" applyBorder="1" applyAlignment="1">
      <alignment horizontal="center" vertical="center" wrapText="1"/>
    </xf>
    <xf numFmtId="0" fontId="24" fillId="47" borderId="56" xfId="0" applyFont="1" applyFill="1" applyBorder="1" applyAlignment="1">
      <alignment horizontal="center" vertical="center" wrapText="1"/>
    </xf>
    <xf numFmtId="0" fontId="24" fillId="47" borderId="35" xfId="0" applyFont="1" applyFill="1" applyBorder="1" applyAlignment="1">
      <alignment horizontal="center" vertical="center" wrapText="1"/>
    </xf>
    <xf numFmtId="49" fontId="53" fillId="47" borderId="95" xfId="0" applyNumberFormat="1" applyFont="1" applyFill="1" applyBorder="1" applyAlignment="1">
      <alignment horizontal="center" vertical="center" wrapText="1"/>
    </xf>
    <xf numFmtId="0" fontId="74" fillId="47" borderId="29" xfId="0" applyFont="1" applyFill="1" applyBorder="1" applyAlignment="1">
      <alignment horizontal="center" wrapText="1"/>
    </xf>
    <xf numFmtId="0" fontId="74" fillId="47" borderId="32" xfId="0" applyFont="1" applyFill="1" applyBorder="1" applyAlignment="1">
      <alignment horizontal="center" wrapText="1"/>
    </xf>
    <xf numFmtId="49" fontId="24" fillId="47" borderId="113" xfId="0" applyNumberFormat="1" applyFont="1" applyFill="1" applyBorder="1" applyAlignment="1">
      <alignment horizontal="center" vertical="center" wrapText="1"/>
    </xf>
    <xf numFmtId="49" fontId="28" fillId="45" borderId="107" xfId="0" applyNumberFormat="1" applyFont="1" applyFill="1" applyBorder="1" applyAlignment="1">
      <alignment horizontal="center"/>
    </xf>
    <xf numFmtId="49" fontId="28" fillId="45" borderId="67" xfId="0" applyNumberFormat="1" applyFont="1" applyFill="1" applyBorder="1" applyAlignment="1">
      <alignment horizontal="center"/>
    </xf>
    <xf numFmtId="49" fontId="28" fillId="45" borderId="95" xfId="0" applyNumberFormat="1" applyFont="1" applyFill="1" applyBorder="1" applyAlignment="1">
      <alignment horizontal="center"/>
    </xf>
    <xf numFmtId="0" fontId="86" fillId="51" borderId="56" xfId="0" applyFont="1" applyFill="1" applyBorder="1" applyAlignment="1">
      <alignment horizontal="center" vertical="center" wrapText="1"/>
    </xf>
    <xf numFmtId="0" fontId="86" fillId="51" borderId="13" xfId="0" applyFont="1" applyFill="1" applyBorder="1" applyAlignment="1">
      <alignment horizontal="center" vertical="center" wrapText="1"/>
    </xf>
    <xf numFmtId="0" fontId="3" fillId="51" borderId="13" xfId="0" applyFont="1" applyFill="1" applyBorder="1" applyAlignment="1">
      <alignment horizontal="center" vertical="center" wrapText="1"/>
    </xf>
    <xf numFmtId="49" fontId="24" fillId="50" borderId="95" xfId="0" applyNumberFormat="1" applyFont="1" applyFill="1" applyBorder="1" applyAlignment="1">
      <alignment horizontal="center" vertical="center" wrapText="1"/>
    </xf>
    <xf numFmtId="0" fontId="8" fillId="35" borderId="120" xfId="0" applyFont="1" applyFill="1" applyBorder="1" applyAlignment="1">
      <alignment horizontal="center"/>
    </xf>
    <xf numFmtId="0" fontId="8" fillId="35" borderId="106" xfId="0" applyFont="1" applyFill="1" applyBorder="1" applyAlignment="1">
      <alignment horizontal="center"/>
    </xf>
    <xf numFmtId="0" fontId="8" fillId="35" borderId="105" xfId="0" applyFont="1" applyFill="1" applyBorder="1" applyAlignment="1">
      <alignment horizontal="center"/>
    </xf>
    <xf numFmtId="0" fontId="8" fillId="35" borderId="114" xfId="0" applyFont="1" applyFill="1" applyBorder="1" applyAlignment="1">
      <alignment horizontal="center" wrapText="1"/>
    </xf>
    <xf numFmtId="0" fontId="8" fillId="35" borderId="93" xfId="0" applyFont="1" applyFill="1" applyBorder="1" applyAlignment="1">
      <alignment horizontal="center" wrapText="1"/>
    </xf>
    <xf numFmtId="0" fontId="8" fillId="35" borderId="81" xfId="0" applyFont="1" applyFill="1" applyBorder="1" applyAlignment="1">
      <alignment horizontal="center" wrapText="1"/>
    </xf>
    <xf numFmtId="0" fontId="8" fillId="35" borderId="81" xfId="0" applyFont="1" applyFill="1" applyBorder="1" applyAlignment="1">
      <alignment horizontal="center"/>
    </xf>
    <xf numFmtId="0" fontId="53" fillId="50" borderId="62" xfId="0" applyFont="1" applyFill="1" applyBorder="1" applyAlignment="1">
      <alignment horizontal="center" vertical="center" wrapText="1"/>
    </xf>
    <xf numFmtId="0" fontId="53" fillId="50" borderId="3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9" fillId="45" borderId="50" xfId="0" applyFont="1" applyFill="1" applyBorder="1" applyAlignment="1">
      <alignment horizontal="center"/>
    </xf>
    <xf numFmtId="0" fontId="29" fillId="45" borderId="50" xfId="0" applyFont="1" applyFill="1" applyBorder="1" applyAlignment="1">
      <alignment/>
    </xf>
    <xf numFmtId="0" fontId="29" fillId="45" borderId="51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5" borderId="8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49" fontId="28" fillId="45" borderId="52" xfId="0" applyNumberFormat="1" applyFont="1" applyFill="1" applyBorder="1" applyAlignment="1">
      <alignment horizontal="center"/>
    </xf>
    <xf numFmtId="0" fontId="35" fillId="38" borderId="121" xfId="0" applyFont="1" applyFill="1" applyBorder="1" applyAlignment="1">
      <alignment horizontal="center" vertical="center" wrapText="1"/>
    </xf>
    <xf numFmtId="0" fontId="35" fillId="38" borderId="0" xfId="0" applyFont="1" applyFill="1" applyBorder="1" applyAlignment="1">
      <alignment horizontal="center" vertical="center" wrapText="1"/>
    </xf>
    <xf numFmtId="0" fontId="8" fillId="40" borderId="119" xfId="0" applyFont="1" applyFill="1" applyBorder="1" applyAlignment="1">
      <alignment horizontal="center"/>
    </xf>
    <xf numFmtId="0" fontId="8" fillId="40" borderId="94" xfId="0" applyFont="1" applyFill="1" applyBorder="1" applyAlignment="1">
      <alignment horizontal="center"/>
    </xf>
    <xf numFmtId="0" fontId="8" fillId="40" borderId="96" xfId="0" applyFont="1" applyFill="1" applyBorder="1" applyAlignment="1">
      <alignment horizontal="center"/>
    </xf>
    <xf numFmtId="3" fontId="30" fillId="44" borderId="56" xfId="0" applyNumberFormat="1" applyFont="1" applyFill="1" applyBorder="1" applyAlignment="1">
      <alignment vertical="center"/>
    </xf>
    <xf numFmtId="0" fontId="49" fillId="44" borderId="13" xfId="0" applyFont="1" applyFill="1" applyBorder="1" applyAlignment="1">
      <alignment vertical="center"/>
    </xf>
    <xf numFmtId="3" fontId="30" fillId="49" borderId="56" xfId="0" applyNumberFormat="1" applyFont="1" applyFill="1" applyBorder="1" applyAlignment="1">
      <alignment horizontal="right" vertical="center"/>
    </xf>
    <xf numFmtId="0" fontId="76" fillId="49" borderId="13" xfId="0" applyFont="1" applyFill="1" applyBorder="1" applyAlignment="1">
      <alignment horizontal="right" vertical="center"/>
    </xf>
    <xf numFmtId="3" fontId="19" fillId="34" borderId="56" xfId="0" applyNumberFormat="1" applyFont="1" applyFill="1" applyBorder="1" applyAlignment="1">
      <alignment horizontal="right" vertical="center"/>
    </xf>
    <xf numFmtId="3" fontId="19" fillId="34" borderId="13" xfId="0" applyNumberFormat="1" applyFont="1" applyFill="1" applyBorder="1" applyAlignment="1">
      <alignment horizontal="right" vertical="center"/>
    </xf>
    <xf numFmtId="3" fontId="19" fillId="34" borderId="56" xfId="0" applyNumberFormat="1" applyFont="1" applyFill="1" applyBorder="1" applyAlignment="1">
      <alignment vertical="center"/>
    </xf>
    <xf numFmtId="3" fontId="19" fillId="34" borderId="13" xfId="0" applyNumberFormat="1" applyFont="1" applyFill="1" applyBorder="1" applyAlignment="1">
      <alignment vertical="center"/>
    </xf>
    <xf numFmtId="3" fontId="19" fillId="34" borderId="76" xfId="0" applyNumberFormat="1" applyFont="1" applyFill="1" applyBorder="1" applyAlignment="1">
      <alignment horizontal="right" vertical="center"/>
    </xf>
    <xf numFmtId="3" fontId="19" fillId="34" borderId="21" xfId="0" applyNumberFormat="1" applyFont="1" applyFill="1" applyBorder="1" applyAlignment="1">
      <alignment horizontal="right" vertical="center"/>
    </xf>
    <xf numFmtId="4" fontId="19" fillId="34" borderId="76" xfId="0" applyNumberFormat="1" applyFont="1" applyFill="1" applyBorder="1" applyAlignment="1">
      <alignment horizontal="center" vertical="center"/>
    </xf>
    <xf numFmtId="4" fontId="19" fillId="34" borderId="21" xfId="0" applyNumberFormat="1" applyFont="1" applyFill="1" applyBorder="1" applyAlignment="1">
      <alignment horizontal="center" vertical="center"/>
    </xf>
    <xf numFmtId="0" fontId="51" fillId="38" borderId="122" xfId="0" applyFont="1" applyFill="1" applyBorder="1" applyAlignment="1">
      <alignment horizontal="left" vertical="center"/>
    </xf>
    <xf numFmtId="0" fontId="52" fillId="38" borderId="75" xfId="0" applyFont="1" applyFill="1" applyBorder="1" applyAlignment="1">
      <alignment horizontal="left" vertical="center"/>
    </xf>
    <xf numFmtId="0" fontId="52" fillId="38" borderId="123" xfId="0" applyFont="1" applyFill="1" applyBorder="1" applyAlignment="1">
      <alignment horizontal="left" vertical="center"/>
    </xf>
    <xf numFmtId="0" fontId="48" fillId="44" borderId="65" xfId="0" applyFont="1" applyFill="1" applyBorder="1" applyAlignment="1">
      <alignment/>
    </xf>
    <xf numFmtId="0" fontId="77" fillId="44" borderId="20" xfId="0" applyFont="1" applyFill="1" applyBorder="1" applyAlignment="1">
      <alignment/>
    </xf>
    <xf numFmtId="0" fontId="77" fillId="44" borderId="12" xfId="0" applyFont="1" applyFill="1" applyBorder="1" applyAlignment="1">
      <alignment/>
    </xf>
    <xf numFmtId="0" fontId="7" fillId="33" borderId="68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75" fillId="0" borderId="0" xfId="0" applyFont="1" applyAlignment="1">
      <alignment horizontal="center" wrapText="1"/>
    </xf>
    <xf numFmtId="0" fontId="7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0" fillId="38" borderId="107" xfId="0" applyNumberFormat="1" applyFont="1" applyFill="1" applyBorder="1" applyAlignment="1">
      <alignment horizontal="left" vertical="center"/>
    </xf>
    <xf numFmtId="0" fontId="31" fillId="38" borderId="95" xfId="0" applyFont="1" applyFill="1" applyBorder="1" applyAlignment="1">
      <alignment vertical="center"/>
    </xf>
    <xf numFmtId="0" fontId="31" fillId="38" borderId="58" xfId="0" applyFont="1" applyFill="1" applyBorder="1" applyAlignment="1">
      <alignment vertical="center"/>
    </xf>
    <xf numFmtId="0" fontId="31" fillId="38" borderId="29" xfId="0" applyFont="1" applyFill="1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34" borderId="56" xfId="0" applyFont="1" applyFill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8" fillId="34" borderId="56" xfId="0" applyFont="1" applyFill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4" fontId="19" fillId="34" borderId="56" xfId="0" applyNumberFormat="1" applyFont="1" applyFill="1" applyBorder="1" applyAlignment="1">
      <alignment horizontal="center" vertical="center"/>
    </xf>
    <xf numFmtId="4" fontId="19" fillId="34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álne 4" xfId="47"/>
    <cellStyle name="normálne 9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.8515625" style="17" customWidth="1"/>
    <col min="3" max="3" width="4.57421875" style="18" customWidth="1"/>
    <col min="4" max="4" width="4.00390625" style="18" customWidth="1"/>
    <col min="5" max="5" width="3.8515625" style="18" customWidth="1"/>
    <col min="6" max="6" width="3.57421875" style="17" customWidth="1"/>
    <col min="7" max="7" width="42.8515625" style="17" customWidth="1"/>
    <col min="8" max="8" width="12.57421875" style="0" customWidth="1"/>
    <col min="9" max="9" width="9.8515625" style="0" customWidth="1"/>
    <col min="10" max="10" width="12.8515625" style="0" customWidth="1"/>
    <col min="11" max="11" width="1.8515625" style="0" customWidth="1"/>
    <col min="12" max="12" width="9.57421875" style="913" customWidth="1"/>
    <col min="13" max="13" width="7.7109375" style="0" customWidth="1"/>
    <col min="15" max="15" width="10.140625" style="0" bestFit="1" customWidth="1"/>
  </cols>
  <sheetData>
    <row r="1" spans="2:10" ht="53.25" customHeight="1" thickBot="1">
      <c r="B1" s="1129" t="s">
        <v>503</v>
      </c>
      <c r="C1" s="1129"/>
      <c r="D1" s="1129"/>
      <c r="E1" s="1129"/>
      <c r="F1" s="1129"/>
      <c r="G1" s="1129"/>
      <c r="H1" s="1129"/>
      <c r="I1" s="1129"/>
      <c r="J1" s="1129"/>
    </row>
    <row r="2" spans="2:13" ht="15.75" customHeight="1">
      <c r="B2" s="1120" t="s">
        <v>13</v>
      </c>
      <c r="C2" s="1121"/>
      <c r="D2" s="1121"/>
      <c r="E2" s="1121"/>
      <c r="F2" s="1121"/>
      <c r="G2" s="1122"/>
      <c r="H2" s="1139" t="s">
        <v>410</v>
      </c>
      <c r="I2" s="1130" t="s">
        <v>417</v>
      </c>
      <c r="J2" s="1136" t="s">
        <v>415</v>
      </c>
      <c r="L2" s="1133" t="s">
        <v>418</v>
      </c>
      <c r="M2" s="1126" t="s">
        <v>450</v>
      </c>
    </row>
    <row r="3" spans="2:13" ht="15" customHeight="1">
      <c r="B3" s="1123"/>
      <c r="C3" s="1124"/>
      <c r="D3" s="1124"/>
      <c r="E3" s="1124"/>
      <c r="F3" s="1124"/>
      <c r="G3" s="1125"/>
      <c r="H3" s="1140"/>
      <c r="I3" s="1131"/>
      <c r="J3" s="1137"/>
      <c r="L3" s="1134"/>
      <c r="M3" s="1127"/>
    </row>
    <row r="4" spans="2:13" ht="14.25" customHeight="1">
      <c r="B4" s="161"/>
      <c r="C4" s="162" t="s">
        <v>14</v>
      </c>
      <c r="D4" s="162" t="s">
        <v>15</v>
      </c>
      <c r="E4" s="162" t="s">
        <v>16</v>
      </c>
      <c r="F4" s="163"/>
      <c r="G4" s="164"/>
      <c r="H4" s="1140"/>
      <c r="I4" s="1131"/>
      <c r="J4" s="1137"/>
      <c r="L4" s="1134"/>
      <c r="M4" s="1127"/>
    </row>
    <row r="5" spans="2:13" ht="16.5" customHeight="1" thickBot="1">
      <c r="B5" s="165"/>
      <c r="C5" s="166"/>
      <c r="D5" s="167"/>
      <c r="E5" s="166" t="s">
        <v>17</v>
      </c>
      <c r="F5" s="168" t="s">
        <v>18</v>
      </c>
      <c r="G5" s="169"/>
      <c r="H5" s="1141"/>
      <c r="I5" s="1132"/>
      <c r="J5" s="1138"/>
      <c r="L5" s="1135"/>
      <c r="M5" s="1128"/>
    </row>
    <row r="6" spans="2:15" ht="19.5" customHeight="1" thickTop="1">
      <c r="B6" s="67">
        <v>1</v>
      </c>
      <c r="C6" s="226" t="s">
        <v>19</v>
      </c>
      <c r="D6" s="227"/>
      <c r="E6" s="228"/>
      <c r="F6" s="236" t="s">
        <v>20</v>
      </c>
      <c r="G6" s="229"/>
      <c r="H6" s="407">
        <f>H8+H11+H17</f>
        <v>18370000</v>
      </c>
      <c r="I6" s="451">
        <f>I8+I11+I17</f>
        <v>3000</v>
      </c>
      <c r="J6" s="454">
        <f>I6+H6</f>
        <v>18373000</v>
      </c>
      <c r="L6" s="945">
        <f>L8+L11+L17</f>
        <v>9293952</v>
      </c>
      <c r="M6" s="937">
        <f>L6/J6</f>
        <v>0.5058483644478311</v>
      </c>
      <c r="O6" s="19"/>
    </row>
    <row r="7" spans="2:15" ht="12.75">
      <c r="B7" s="68">
        <f>B6+1</f>
        <v>2</v>
      </c>
      <c r="C7" s="4"/>
      <c r="D7" s="69"/>
      <c r="E7" s="8"/>
      <c r="F7" s="70"/>
      <c r="G7" s="20"/>
      <c r="H7" s="327"/>
      <c r="I7" s="327"/>
      <c r="J7" s="327"/>
      <c r="L7" s="157"/>
      <c r="M7" s="938"/>
      <c r="O7" s="19"/>
    </row>
    <row r="8" spans="2:13" ht="12.75">
      <c r="B8" s="68">
        <f aca="true" t="shared" si="0" ref="B8:B66">B7+1</f>
        <v>3</v>
      </c>
      <c r="C8" s="9" t="s">
        <v>21</v>
      </c>
      <c r="D8" s="71"/>
      <c r="E8" s="72"/>
      <c r="F8" s="73" t="s">
        <v>22</v>
      </c>
      <c r="G8" s="112"/>
      <c r="H8" s="456">
        <f>H9</f>
        <v>12000000</v>
      </c>
      <c r="I8" s="456">
        <f>I9</f>
        <v>0</v>
      </c>
      <c r="J8" s="456">
        <f aca="true" t="shared" si="1" ref="J8:J67">I8+H8</f>
        <v>12000000</v>
      </c>
      <c r="L8" s="198">
        <f>L9</f>
        <v>5348471</v>
      </c>
      <c r="M8" s="921">
        <f aca="true" t="shared" si="2" ref="M8:M67">L8/J8</f>
        <v>0.44570591666666665</v>
      </c>
    </row>
    <row r="9" spans="2:13" ht="12.75" customHeight="1">
      <c r="B9" s="68">
        <f t="shared" si="0"/>
        <v>4</v>
      </c>
      <c r="C9" s="9"/>
      <c r="D9" s="71" t="s">
        <v>23</v>
      </c>
      <c r="E9" s="72" t="s">
        <v>24</v>
      </c>
      <c r="F9" s="66" t="s">
        <v>25</v>
      </c>
      <c r="G9" s="112"/>
      <c r="H9" s="457">
        <v>12000000</v>
      </c>
      <c r="I9" s="457"/>
      <c r="J9" s="457">
        <f t="shared" si="1"/>
        <v>12000000</v>
      </c>
      <c r="L9" s="930">
        <v>5348471</v>
      </c>
      <c r="M9" s="920">
        <f t="shared" si="2"/>
        <v>0.44570591666666665</v>
      </c>
    </row>
    <row r="10" spans="2:13" ht="12.75">
      <c r="B10" s="68">
        <f t="shared" si="0"/>
        <v>5</v>
      </c>
      <c r="C10" s="10"/>
      <c r="D10" s="75"/>
      <c r="E10" s="76"/>
      <c r="F10" s="77"/>
      <c r="G10" s="113"/>
      <c r="H10" s="458"/>
      <c r="I10" s="458"/>
      <c r="J10" s="458"/>
      <c r="L10" s="159"/>
      <c r="M10" s="939"/>
    </row>
    <row r="11" spans="2:15" ht="12.75">
      <c r="B11" s="68">
        <f t="shared" si="0"/>
        <v>6</v>
      </c>
      <c r="C11" s="9" t="s">
        <v>26</v>
      </c>
      <c r="D11" s="75"/>
      <c r="E11" s="79"/>
      <c r="F11" s="73" t="s">
        <v>27</v>
      </c>
      <c r="G11" s="113"/>
      <c r="H11" s="459">
        <f>H12</f>
        <v>4320000</v>
      </c>
      <c r="I11" s="459">
        <f>I12</f>
        <v>0</v>
      </c>
      <c r="J11" s="459">
        <f t="shared" si="1"/>
        <v>4320000</v>
      </c>
      <c r="L11" s="946">
        <f>L12</f>
        <v>2531951</v>
      </c>
      <c r="M11" s="940">
        <f t="shared" si="2"/>
        <v>0.5860997685185185</v>
      </c>
      <c r="O11" s="19"/>
    </row>
    <row r="12" spans="2:13" ht="12.75">
      <c r="B12" s="68">
        <f t="shared" si="0"/>
        <v>7</v>
      </c>
      <c r="C12" s="10"/>
      <c r="D12" s="75" t="s">
        <v>28</v>
      </c>
      <c r="E12" s="79"/>
      <c r="F12" s="66" t="s">
        <v>29</v>
      </c>
      <c r="G12" s="113"/>
      <c r="H12" s="460">
        <f>SUM(H13:H15)</f>
        <v>4320000</v>
      </c>
      <c r="I12" s="460"/>
      <c r="J12" s="460">
        <f t="shared" si="1"/>
        <v>4320000</v>
      </c>
      <c r="L12" s="929">
        <f>SUM(L13:L15)</f>
        <v>2531951</v>
      </c>
      <c r="M12" s="919">
        <f t="shared" si="2"/>
        <v>0.5860997685185185</v>
      </c>
    </row>
    <row r="13" spans="2:13" ht="12.75">
      <c r="B13" s="68">
        <f t="shared" si="0"/>
        <v>8</v>
      </c>
      <c r="C13" s="10"/>
      <c r="D13" s="75"/>
      <c r="E13" s="79" t="s">
        <v>30</v>
      </c>
      <c r="F13" s="70" t="s">
        <v>31</v>
      </c>
      <c r="G13" s="113"/>
      <c r="H13" s="461">
        <v>420000</v>
      </c>
      <c r="I13" s="461"/>
      <c r="J13" s="461">
        <f t="shared" si="1"/>
        <v>420000</v>
      </c>
      <c r="L13" s="947">
        <v>285743</v>
      </c>
      <c r="M13" s="941">
        <f t="shared" si="2"/>
        <v>0.6803404761904762</v>
      </c>
    </row>
    <row r="14" spans="2:13" ht="12.75">
      <c r="B14" s="68">
        <f t="shared" si="0"/>
        <v>9</v>
      </c>
      <c r="C14" s="10"/>
      <c r="D14" s="75"/>
      <c r="E14" s="79" t="s">
        <v>32</v>
      </c>
      <c r="F14" s="70" t="s">
        <v>33</v>
      </c>
      <c r="G14" s="113"/>
      <c r="H14" s="461">
        <v>3600000</v>
      </c>
      <c r="I14" s="461"/>
      <c r="J14" s="461">
        <f t="shared" si="1"/>
        <v>3600000</v>
      </c>
      <c r="L14" s="947">
        <v>2012362</v>
      </c>
      <c r="M14" s="941">
        <f t="shared" si="2"/>
        <v>0.5589894444444444</v>
      </c>
    </row>
    <row r="15" spans="2:13" ht="12.75">
      <c r="B15" s="68">
        <f t="shared" si="0"/>
        <v>10</v>
      </c>
      <c r="C15" s="10"/>
      <c r="D15" s="75"/>
      <c r="E15" s="79" t="s">
        <v>24</v>
      </c>
      <c r="F15" s="70" t="s">
        <v>34</v>
      </c>
      <c r="G15" s="113"/>
      <c r="H15" s="461">
        <v>300000</v>
      </c>
      <c r="I15" s="461"/>
      <c r="J15" s="461">
        <f t="shared" si="1"/>
        <v>300000</v>
      </c>
      <c r="L15" s="947">
        <v>233846</v>
      </c>
      <c r="M15" s="941">
        <f t="shared" si="2"/>
        <v>0.7794866666666667</v>
      </c>
    </row>
    <row r="16" spans="2:13" ht="12.75">
      <c r="B16" s="68">
        <f t="shared" si="0"/>
        <v>11</v>
      </c>
      <c r="C16" s="80"/>
      <c r="D16" s="75"/>
      <c r="E16" s="79"/>
      <c r="F16" s="81"/>
      <c r="G16" s="113"/>
      <c r="H16" s="458"/>
      <c r="I16" s="458"/>
      <c r="J16" s="458"/>
      <c r="L16" s="159"/>
      <c r="M16" s="939"/>
    </row>
    <row r="17" spans="2:13" ht="12.75">
      <c r="B17" s="68">
        <f t="shared" si="0"/>
        <v>12</v>
      </c>
      <c r="C17" s="9" t="s">
        <v>35</v>
      </c>
      <c r="D17" s="75"/>
      <c r="E17" s="79"/>
      <c r="F17" s="73" t="s">
        <v>36</v>
      </c>
      <c r="G17" s="113"/>
      <c r="H17" s="459">
        <f>SUM(H18:H20)</f>
        <v>2050000</v>
      </c>
      <c r="I17" s="459">
        <f>SUM(I18:I20)</f>
        <v>3000</v>
      </c>
      <c r="J17" s="459">
        <f t="shared" si="1"/>
        <v>2053000</v>
      </c>
      <c r="L17" s="946">
        <f>SUM(L18:L20)</f>
        <v>1413530</v>
      </c>
      <c r="M17" s="940">
        <f t="shared" si="2"/>
        <v>0.6885192401363858</v>
      </c>
    </row>
    <row r="18" spans="2:13" ht="12.75">
      <c r="B18" s="68">
        <f t="shared" si="0"/>
        <v>13</v>
      </c>
      <c r="C18" s="48"/>
      <c r="D18" s="2" t="s">
        <v>37</v>
      </c>
      <c r="E18" s="3" t="s">
        <v>38</v>
      </c>
      <c r="F18" s="70" t="s">
        <v>39</v>
      </c>
      <c r="G18" s="20"/>
      <c r="H18" s="460">
        <v>15000</v>
      </c>
      <c r="I18" s="460">
        <v>3000</v>
      </c>
      <c r="J18" s="460">
        <f t="shared" si="1"/>
        <v>18000</v>
      </c>
      <c r="L18" s="929">
        <v>15622</v>
      </c>
      <c r="M18" s="919">
        <f t="shared" si="2"/>
        <v>0.8678888888888889</v>
      </c>
    </row>
    <row r="19" spans="2:13" ht="12.75">
      <c r="B19" s="68">
        <f t="shared" si="0"/>
        <v>14</v>
      </c>
      <c r="C19" s="48"/>
      <c r="D19" s="2" t="s">
        <v>37</v>
      </c>
      <c r="E19" s="3" t="s">
        <v>30</v>
      </c>
      <c r="F19" s="70" t="s">
        <v>146</v>
      </c>
      <c r="G19" s="20"/>
      <c r="H19" s="460">
        <v>35000</v>
      </c>
      <c r="I19" s="460"/>
      <c r="J19" s="460">
        <f t="shared" si="1"/>
        <v>35000</v>
      </c>
      <c r="L19" s="929">
        <v>34062</v>
      </c>
      <c r="M19" s="919">
        <f t="shared" si="2"/>
        <v>0.9732</v>
      </c>
    </row>
    <row r="20" spans="2:13" ht="12.75">
      <c r="B20" s="68">
        <f t="shared" si="0"/>
        <v>15</v>
      </c>
      <c r="C20" s="48"/>
      <c r="D20" s="2" t="s">
        <v>37</v>
      </c>
      <c r="E20" s="3" t="s">
        <v>40</v>
      </c>
      <c r="F20" s="70" t="s">
        <v>282</v>
      </c>
      <c r="G20" s="20"/>
      <c r="H20" s="460">
        <v>2000000</v>
      </c>
      <c r="I20" s="460"/>
      <c r="J20" s="460">
        <f t="shared" si="1"/>
        <v>2000000</v>
      </c>
      <c r="L20" s="929">
        <v>1363846</v>
      </c>
      <c r="M20" s="919">
        <f t="shared" si="2"/>
        <v>0.681923</v>
      </c>
    </row>
    <row r="21" spans="2:13" ht="12.75">
      <c r="B21" s="68">
        <f t="shared" si="0"/>
        <v>16</v>
      </c>
      <c r="C21" s="10"/>
      <c r="D21" s="75"/>
      <c r="E21" s="79"/>
      <c r="F21" s="77"/>
      <c r="G21" s="113"/>
      <c r="H21" s="328"/>
      <c r="I21" s="328"/>
      <c r="J21" s="328"/>
      <c r="L21" s="159"/>
      <c r="M21" s="939"/>
    </row>
    <row r="22" spans="2:13" ht="19.5" customHeight="1">
      <c r="B22" s="68">
        <f t="shared" si="0"/>
        <v>17</v>
      </c>
      <c r="C22" s="231" t="s">
        <v>41</v>
      </c>
      <c r="D22" s="232"/>
      <c r="E22" s="233"/>
      <c r="F22" s="235" t="s">
        <v>42</v>
      </c>
      <c r="G22" s="234"/>
      <c r="H22" s="408">
        <f>H24+H35+H48+H50+H55+H74+H99+H110+H118</f>
        <v>2543370</v>
      </c>
      <c r="I22" s="452">
        <f>I24+I35+I48+I50+I55+I74+I99+I110+I118+I120</f>
        <v>399762</v>
      </c>
      <c r="J22" s="455">
        <f t="shared" si="1"/>
        <v>2943132</v>
      </c>
      <c r="L22" s="934">
        <f>L24+L35+L48+L50+L55+L74+L99+L110+L118</f>
        <v>1047020</v>
      </c>
      <c r="M22" s="925">
        <f t="shared" si="2"/>
        <v>0.355750268761306</v>
      </c>
    </row>
    <row r="23" spans="2:13" ht="12.75">
      <c r="B23" s="68">
        <f t="shared" si="0"/>
        <v>18</v>
      </c>
      <c r="C23" s="82"/>
      <c r="D23" s="82"/>
      <c r="E23" s="83"/>
      <c r="F23" s="70"/>
      <c r="G23" s="112"/>
      <c r="H23" s="329"/>
      <c r="I23" s="329"/>
      <c r="J23" s="329"/>
      <c r="L23" s="930"/>
      <c r="M23" s="920"/>
    </row>
    <row r="24" spans="2:15" ht="12.75">
      <c r="B24" s="68">
        <f t="shared" si="0"/>
        <v>19</v>
      </c>
      <c r="C24" s="9" t="s">
        <v>43</v>
      </c>
      <c r="D24" s="9"/>
      <c r="E24" s="11"/>
      <c r="F24" s="73" t="s">
        <v>44</v>
      </c>
      <c r="G24" s="112"/>
      <c r="H24" s="462">
        <f>H27</f>
        <v>451300</v>
      </c>
      <c r="I24" s="462">
        <f>I27+I25</f>
        <v>106490</v>
      </c>
      <c r="J24" s="462">
        <f t="shared" si="1"/>
        <v>557790</v>
      </c>
      <c r="L24" s="946">
        <f>L27</f>
        <v>218241</v>
      </c>
      <c r="M24" s="940">
        <f t="shared" si="2"/>
        <v>0.39126015166998335</v>
      </c>
      <c r="O24" s="19"/>
    </row>
    <row r="25" spans="2:15" ht="12.75">
      <c r="B25" s="68">
        <f t="shared" si="0"/>
        <v>20</v>
      </c>
      <c r="C25" s="9"/>
      <c r="D25" s="9" t="s">
        <v>501</v>
      </c>
      <c r="E25" s="11" t="s">
        <v>24</v>
      </c>
      <c r="F25" s="66" t="s">
        <v>502</v>
      </c>
      <c r="G25" s="112"/>
      <c r="H25" s="462">
        <v>0</v>
      </c>
      <c r="I25" s="461">
        <v>26940</v>
      </c>
      <c r="J25" s="463">
        <f t="shared" si="1"/>
        <v>26940</v>
      </c>
      <c r="L25" s="946">
        <v>0</v>
      </c>
      <c r="M25" s="940"/>
      <c r="O25" s="19"/>
    </row>
    <row r="26" spans="2:15" ht="12.75">
      <c r="B26" s="68">
        <f t="shared" si="0"/>
        <v>21</v>
      </c>
      <c r="C26" s="9"/>
      <c r="D26" s="9"/>
      <c r="E26" s="11"/>
      <c r="F26" s="73"/>
      <c r="G26" s="112"/>
      <c r="H26" s="462"/>
      <c r="I26" s="462"/>
      <c r="J26" s="462"/>
      <c r="L26" s="946"/>
      <c r="M26" s="940"/>
      <c r="O26" s="19"/>
    </row>
    <row r="27" spans="2:13" ht="12.75">
      <c r="B27" s="68">
        <f t="shared" si="0"/>
        <v>22</v>
      </c>
      <c r="C27" s="9"/>
      <c r="D27" s="9" t="s">
        <v>45</v>
      </c>
      <c r="E27" s="11"/>
      <c r="F27" s="114" t="s">
        <v>99</v>
      </c>
      <c r="G27" s="112"/>
      <c r="H27" s="463">
        <f>H28+H30</f>
        <v>451300</v>
      </c>
      <c r="I27" s="463">
        <f>I28+I29+I30</f>
        <v>79550</v>
      </c>
      <c r="J27" s="463">
        <f t="shared" si="1"/>
        <v>530850</v>
      </c>
      <c r="L27" s="947">
        <f>L28+L30</f>
        <v>218241</v>
      </c>
      <c r="M27" s="941">
        <f t="shared" si="2"/>
        <v>0.41111613450127155</v>
      </c>
    </row>
    <row r="28" spans="2:13" ht="12.75">
      <c r="B28" s="68">
        <f t="shared" si="0"/>
        <v>23</v>
      </c>
      <c r="C28" s="82"/>
      <c r="D28" s="71"/>
      <c r="E28" s="12" t="s">
        <v>32</v>
      </c>
      <c r="F28" s="78" t="s">
        <v>46</v>
      </c>
      <c r="G28" s="112"/>
      <c r="H28" s="463">
        <v>144400</v>
      </c>
      <c r="I28" s="463"/>
      <c r="J28" s="463">
        <f t="shared" si="1"/>
        <v>144400</v>
      </c>
      <c r="L28" s="947">
        <v>82092</v>
      </c>
      <c r="M28" s="941">
        <f t="shared" si="2"/>
        <v>0.5685041551246537</v>
      </c>
    </row>
    <row r="29" spans="2:13" ht="12.75">
      <c r="B29" s="68">
        <f t="shared" si="0"/>
        <v>24</v>
      </c>
      <c r="C29" s="82"/>
      <c r="D29" s="82"/>
      <c r="E29" s="72" t="s">
        <v>32</v>
      </c>
      <c r="F29" s="78" t="s">
        <v>431</v>
      </c>
      <c r="G29" s="112"/>
      <c r="H29" s="464">
        <v>0</v>
      </c>
      <c r="I29" s="464">
        <v>50000</v>
      </c>
      <c r="J29" s="463">
        <f t="shared" si="1"/>
        <v>50000</v>
      </c>
      <c r="L29" s="930">
        <v>0</v>
      </c>
      <c r="M29" s="920">
        <f t="shared" si="2"/>
        <v>0</v>
      </c>
    </row>
    <row r="30" spans="2:13" ht="12.75">
      <c r="B30" s="68">
        <f t="shared" si="0"/>
        <v>25</v>
      </c>
      <c r="C30" s="82"/>
      <c r="D30" s="71"/>
      <c r="E30" s="12" t="s">
        <v>24</v>
      </c>
      <c r="F30" s="78" t="s">
        <v>47</v>
      </c>
      <c r="G30" s="112"/>
      <c r="H30" s="464">
        <f>SUM(H31:H33)</f>
        <v>306900</v>
      </c>
      <c r="I30" s="464">
        <f>SUM(I31:I33)</f>
        <v>29550</v>
      </c>
      <c r="J30" s="463">
        <f t="shared" si="1"/>
        <v>336450</v>
      </c>
      <c r="L30" s="930">
        <f>SUM(L31:L33)</f>
        <v>136149</v>
      </c>
      <c r="M30" s="920">
        <f t="shared" si="2"/>
        <v>0.4046633972358448</v>
      </c>
    </row>
    <row r="31" spans="2:13" ht="12.75">
      <c r="B31" s="68">
        <f t="shared" si="0"/>
        <v>26</v>
      </c>
      <c r="C31" s="82"/>
      <c r="D31" s="71"/>
      <c r="E31" s="83"/>
      <c r="F31" s="66"/>
      <c r="G31" s="112" t="s">
        <v>48</v>
      </c>
      <c r="H31" s="464">
        <v>40000</v>
      </c>
      <c r="I31" s="464">
        <v>2600</v>
      </c>
      <c r="J31" s="463">
        <f t="shared" si="1"/>
        <v>42600</v>
      </c>
      <c r="L31" s="930">
        <v>28775</v>
      </c>
      <c r="M31" s="920">
        <f t="shared" si="2"/>
        <v>0.6754694835680751</v>
      </c>
    </row>
    <row r="32" spans="2:13" ht="12.75">
      <c r="B32" s="68">
        <f t="shared" si="0"/>
        <v>27</v>
      </c>
      <c r="C32" s="82"/>
      <c r="D32" s="71"/>
      <c r="E32" s="83"/>
      <c r="F32" s="78"/>
      <c r="G32" s="112" t="s">
        <v>49</v>
      </c>
      <c r="H32" s="464">
        <f>250000-3100</f>
        <v>246900</v>
      </c>
      <c r="I32" s="464">
        <f>15000+8150</f>
        <v>23150</v>
      </c>
      <c r="J32" s="464">
        <f t="shared" si="1"/>
        <v>270050</v>
      </c>
      <c r="L32" s="930">
        <v>97462</v>
      </c>
      <c r="M32" s="920">
        <f t="shared" si="2"/>
        <v>0.36090353638215145</v>
      </c>
    </row>
    <row r="33" spans="2:13" ht="12.75">
      <c r="B33" s="68">
        <f t="shared" si="0"/>
        <v>28</v>
      </c>
      <c r="C33" s="82"/>
      <c r="D33" s="82"/>
      <c r="E33" s="83"/>
      <c r="F33" s="78"/>
      <c r="G33" s="112" t="s">
        <v>144</v>
      </c>
      <c r="H33" s="465">
        <v>20000</v>
      </c>
      <c r="I33" s="465">
        <v>3800</v>
      </c>
      <c r="J33" s="465">
        <f t="shared" si="1"/>
        <v>23800</v>
      </c>
      <c r="L33" s="935">
        <f>8179+1733</f>
        <v>9912</v>
      </c>
      <c r="M33" s="926">
        <f t="shared" si="2"/>
        <v>0.4164705882352941</v>
      </c>
    </row>
    <row r="34" spans="2:15" ht="12.75">
      <c r="B34" s="68">
        <f t="shared" si="0"/>
        <v>29</v>
      </c>
      <c r="C34" s="82"/>
      <c r="D34" s="82"/>
      <c r="E34" s="83"/>
      <c r="F34" s="78"/>
      <c r="G34" s="112"/>
      <c r="H34" s="464"/>
      <c r="I34" s="464"/>
      <c r="J34" s="464"/>
      <c r="L34" s="930"/>
      <c r="M34" s="920"/>
      <c r="O34" s="19"/>
    </row>
    <row r="35" spans="2:13" ht="12.75">
      <c r="B35" s="68">
        <f t="shared" si="0"/>
        <v>30</v>
      </c>
      <c r="C35" s="9" t="s">
        <v>50</v>
      </c>
      <c r="D35" s="82"/>
      <c r="E35" s="83"/>
      <c r="F35" s="73" t="s">
        <v>51</v>
      </c>
      <c r="G35" s="112"/>
      <c r="H35" s="466">
        <f>H36+H39+H40+H46</f>
        <v>527500</v>
      </c>
      <c r="I35" s="466">
        <f>I36+I39+I40+I46</f>
        <v>30900</v>
      </c>
      <c r="J35" s="466">
        <f t="shared" si="1"/>
        <v>558400</v>
      </c>
      <c r="L35" s="198">
        <f>L36+L39+L40+L46</f>
        <v>94703</v>
      </c>
      <c r="M35" s="921">
        <f t="shared" si="2"/>
        <v>0.16959706303724928</v>
      </c>
    </row>
    <row r="36" spans="2:13" ht="12.75">
      <c r="B36" s="68">
        <f t="shared" si="0"/>
        <v>31</v>
      </c>
      <c r="C36" s="82"/>
      <c r="D36" s="71" t="s">
        <v>52</v>
      </c>
      <c r="E36" s="12" t="s">
        <v>53</v>
      </c>
      <c r="F36" s="78" t="s">
        <v>54</v>
      </c>
      <c r="G36" s="112"/>
      <c r="H36" s="464">
        <f>SUM(H37:H38)</f>
        <v>400000</v>
      </c>
      <c r="I36" s="464">
        <f>SUM(I37:I38)</f>
        <v>0</v>
      </c>
      <c r="J36" s="464">
        <f t="shared" si="1"/>
        <v>400000</v>
      </c>
      <c r="L36" s="930">
        <f>SUM(L37:L38)</f>
        <v>54912</v>
      </c>
      <c r="M36" s="920">
        <f t="shared" si="2"/>
        <v>0.13728</v>
      </c>
    </row>
    <row r="37" spans="2:13" ht="12.75">
      <c r="B37" s="68">
        <f t="shared" si="0"/>
        <v>32</v>
      </c>
      <c r="C37" s="82"/>
      <c r="D37" s="82"/>
      <c r="E37" s="83"/>
      <c r="F37" s="66"/>
      <c r="G37" s="112" t="s">
        <v>100</v>
      </c>
      <c r="H37" s="464">
        <v>300000</v>
      </c>
      <c r="I37" s="464"/>
      <c r="J37" s="464">
        <f t="shared" si="1"/>
        <v>300000</v>
      </c>
      <c r="L37" s="930">
        <v>7468</v>
      </c>
      <c r="M37" s="920">
        <f t="shared" si="2"/>
        <v>0.024893333333333333</v>
      </c>
    </row>
    <row r="38" spans="2:13" ht="12.75">
      <c r="B38" s="68">
        <f t="shared" si="0"/>
        <v>33</v>
      </c>
      <c r="C38" s="82"/>
      <c r="D38" s="82"/>
      <c r="E38" s="83"/>
      <c r="F38" s="66"/>
      <c r="G38" s="112" t="s">
        <v>55</v>
      </c>
      <c r="H38" s="464">
        <v>100000</v>
      </c>
      <c r="I38" s="464"/>
      <c r="J38" s="464">
        <f t="shared" si="1"/>
        <v>100000</v>
      </c>
      <c r="L38" s="930">
        <v>47444</v>
      </c>
      <c r="M38" s="920">
        <f t="shared" si="2"/>
        <v>0.47444</v>
      </c>
    </row>
    <row r="39" spans="2:13" ht="12.75">
      <c r="B39" s="68">
        <f t="shared" si="0"/>
        <v>34</v>
      </c>
      <c r="C39" s="82"/>
      <c r="D39" s="10" t="s">
        <v>56</v>
      </c>
      <c r="E39" s="83" t="s">
        <v>24</v>
      </c>
      <c r="F39" s="84" t="s">
        <v>57</v>
      </c>
      <c r="G39" s="112"/>
      <c r="H39" s="464">
        <v>75000</v>
      </c>
      <c r="I39" s="464"/>
      <c r="J39" s="464">
        <f t="shared" si="1"/>
        <v>75000</v>
      </c>
      <c r="L39" s="930">
        <v>29070</v>
      </c>
      <c r="M39" s="920">
        <f t="shared" si="2"/>
        <v>0.3876</v>
      </c>
    </row>
    <row r="40" spans="2:18" ht="12.75">
      <c r="B40" s="68">
        <f t="shared" si="0"/>
        <v>35</v>
      </c>
      <c r="C40" s="82"/>
      <c r="D40" s="71" t="s">
        <v>58</v>
      </c>
      <c r="E40" s="12" t="s">
        <v>30</v>
      </c>
      <c r="F40" s="78" t="s">
        <v>59</v>
      </c>
      <c r="G40" s="112"/>
      <c r="H40" s="464">
        <f>H41+H43+H44</f>
        <v>50500</v>
      </c>
      <c r="I40" s="464">
        <f>SUM(I41:I45)</f>
        <v>30900</v>
      </c>
      <c r="J40" s="464">
        <f t="shared" si="1"/>
        <v>81400</v>
      </c>
      <c r="L40" s="930">
        <f>L41+L42+L44</f>
        <v>8772</v>
      </c>
      <c r="M40" s="920">
        <f t="shared" si="2"/>
        <v>0.10776412776412776</v>
      </c>
      <c r="R40" s="19"/>
    </row>
    <row r="41" spans="2:18" ht="12.75">
      <c r="B41" s="68">
        <f t="shared" si="0"/>
        <v>36</v>
      </c>
      <c r="C41" s="82"/>
      <c r="D41" s="82"/>
      <c r="E41" s="12"/>
      <c r="F41" s="85" t="s">
        <v>0</v>
      </c>
      <c r="G41" s="330"/>
      <c r="H41" s="464">
        <v>500</v>
      </c>
      <c r="I41" s="464"/>
      <c r="J41" s="464">
        <f t="shared" si="1"/>
        <v>500</v>
      </c>
      <c r="L41" s="930">
        <v>0</v>
      </c>
      <c r="M41" s="920">
        <f t="shared" si="2"/>
        <v>0</v>
      </c>
      <c r="R41" s="19"/>
    </row>
    <row r="42" spans="2:13" ht="12.75">
      <c r="B42" s="68">
        <f t="shared" si="0"/>
        <v>37</v>
      </c>
      <c r="C42" s="88"/>
      <c r="D42" s="88"/>
      <c r="E42" s="13"/>
      <c r="F42" s="115" t="s">
        <v>4</v>
      </c>
      <c r="G42" s="331"/>
      <c r="H42" s="464">
        <v>0</v>
      </c>
      <c r="I42" s="464"/>
      <c r="J42" s="464">
        <f t="shared" si="1"/>
        <v>0</v>
      </c>
      <c r="L42" s="1118">
        <v>0</v>
      </c>
      <c r="M42" s="1119"/>
    </row>
    <row r="43" spans="2:13" ht="12.75">
      <c r="B43" s="68">
        <f t="shared" si="0"/>
        <v>38</v>
      </c>
      <c r="C43" s="88"/>
      <c r="D43" s="88"/>
      <c r="E43" s="13"/>
      <c r="F43" s="115"/>
      <c r="G43" s="331" t="s">
        <v>443</v>
      </c>
      <c r="H43" s="464">
        <v>0</v>
      </c>
      <c r="I43" s="464">
        <f>27800+1600</f>
        <v>29400</v>
      </c>
      <c r="J43" s="464">
        <f t="shared" si="1"/>
        <v>29400</v>
      </c>
      <c r="L43" s="1118">
        <v>13000</v>
      </c>
      <c r="M43" s="1119">
        <f t="shared" si="2"/>
        <v>0.4421768707482993</v>
      </c>
    </row>
    <row r="44" spans="2:13" ht="12.75">
      <c r="B44" s="68">
        <f t="shared" si="0"/>
        <v>39</v>
      </c>
      <c r="C44" s="88"/>
      <c r="D44" s="88"/>
      <c r="E44" s="13"/>
      <c r="F44" s="115"/>
      <c r="G44" s="331" t="s">
        <v>144</v>
      </c>
      <c r="H44" s="464">
        <v>50000</v>
      </c>
      <c r="I44" s="464">
        <v>-20000</v>
      </c>
      <c r="J44" s="464">
        <f t="shared" si="1"/>
        <v>30000</v>
      </c>
      <c r="L44" s="1118">
        <f>21772-13000</f>
        <v>8772</v>
      </c>
      <c r="M44" s="1119">
        <f t="shared" si="2"/>
        <v>0.2924</v>
      </c>
    </row>
    <row r="45" spans="2:13" ht="12.75">
      <c r="B45" s="68">
        <f t="shared" si="0"/>
        <v>40</v>
      </c>
      <c r="C45" s="95"/>
      <c r="D45" s="96"/>
      <c r="E45" s="13"/>
      <c r="F45" s="86"/>
      <c r="G45" s="86" t="s">
        <v>451</v>
      </c>
      <c r="H45" s="464"/>
      <c r="I45" s="464">
        <v>21500</v>
      </c>
      <c r="J45" s="464">
        <f t="shared" si="1"/>
        <v>21500</v>
      </c>
      <c r="L45" s="1118"/>
      <c r="M45" s="1119"/>
    </row>
    <row r="46" spans="2:13" ht="12.75">
      <c r="B46" s="68">
        <f t="shared" si="0"/>
        <v>41</v>
      </c>
      <c r="C46" s="116"/>
      <c r="D46" s="87" t="s">
        <v>60</v>
      </c>
      <c r="E46" s="64" t="s">
        <v>61</v>
      </c>
      <c r="F46" s="65" t="s">
        <v>101</v>
      </c>
      <c r="G46" s="117"/>
      <c r="H46" s="464">
        <v>2000</v>
      </c>
      <c r="I46" s="464"/>
      <c r="J46" s="464">
        <f t="shared" si="1"/>
        <v>2000</v>
      </c>
      <c r="L46" s="1118">
        <v>1949</v>
      </c>
      <c r="M46" s="1119">
        <f t="shared" si="2"/>
        <v>0.9745</v>
      </c>
    </row>
    <row r="47" spans="2:15" ht="12.75">
      <c r="B47" s="68">
        <f t="shared" si="0"/>
        <v>42</v>
      </c>
      <c r="C47" s="88"/>
      <c r="D47" s="89"/>
      <c r="E47" s="13"/>
      <c r="F47" s="86"/>
      <c r="G47" s="118"/>
      <c r="H47" s="465"/>
      <c r="I47" s="465"/>
      <c r="J47" s="465"/>
      <c r="L47" s="935"/>
      <c r="M47" s="926"/>
      <c r="O47" s="19"/>
    </row>
    <row r="48" spans="2:13" ht="12.75">
      <c r="B48" s="68">
        <f t="shared" si="0"/>
        <v>43</v>
      </c>
      <c r="C48" s="90" t="s">
        <v>62</v>
      </c>
      <c r="D48" s="89"/>
      <c r="E48" s="91"/>
      <c r="F48" s="92" t="s">
        <v>63</v>
      </c>
      <c r="G48" s="118"/>
      <c r="H48" s="466">
        <v>1000</v>
      </c>
      <c r="I48" s="466">
        <v>1000</v>
      </c>
      <c r="J48" s="466">
        <f t="shared" si="1"/>
        <v>2000</v>
      </c>
      <c r="L48" s="198">
        <v>971</v>
      </c>
      <c r="M48" s="921">
        <f t="shared" si="2"/>
        <v>0.4855</v>
      </c>
    </row>
    <row r="49" spans="2:13" ht="12.75">
      <c r="B49" s="68">
        <f t="shared" si="0"/>
        <v>44</v>
      </c>
      <c r="C49" s="90"/>
      <c r="D49" s="13"/>
      <c r="E49" s="91"/>
      <c r="F49" s="93"/>
      <c r="G49" s="118"/>
      <c r="H49" s="465"/>
      <c r="I49" s="465"/>
      <c r="J49" s="465"/>
      <c r="L49" s="935"/>
      <c r="M49" s="926"/>
    </row>
    <row r="50" spans="2:13" ht="12.75">
      <c r="B50" s="68">
        <f t="shared" si="0"/>
        <v>45</v>
      </c>
      <c r="C50" s="90" t="s">
        <v>64</v>
      </c>
      <c r="D50" s="89"/>
      <c r="E50" s="91"/>
      <c r="F50" s="92" t="s">
        <v>65</v>
      </c>
      <c r="G50" s="118"/>
      <c r="H50" s="466">
        <f>SUM(H51:H53)</f>
        <v>280000</v>
      </c>
      <c r="I50" s="466">
        <f>SUM(I51:I53)</f>
        <v>60022</v>
      </c>
      <c r="J50" s="466">
        <f t="shared" si="1"/>
        <v>340022</v>
      </c>
      <c r="L50" s="198">
        <f>SUM(L51:L53)</f>
        <v>194819</v>
      </c>
      <c r="M50" s="921">
        <f t="shared" si="2"/>
        <v>0.5729599849421508</v>
      </c>
    </row>
    <row r="51" spans="2:15" ht="12.75" customHeight="1">
      <c r="B51" s="68">
        <f t="shared" si="0"/>
        <v>46</v>
      </c>
      <c r="C51" s="9"/>
      <c r="D51" s="83" t="s">
        <v>66</v>
      </c>
      <c r="E51" s="12" t="s">
        <v>67</v>
      </c>
      <c r="F51" s="78" t="s">
        <v>68</v>
      </c>
      <c r="G51" s="112"/>
      <c r="H51" s="464">
        <v>210000</v>
      </c>
      <c r="I51" s="464"/>
      <c r="J51" s="464">
        <f t="shared" si="1"/>
        <v>210000</v>
      </c>
      <c r="K51" s="446"/>
      <c r="L51" s="930">
        <v>102461</v>
      </c>
      <c r="M51" s="920">
        <f t="shared" si="2"/>
        <v>0.4879095238095238</v>
      </c>
      <c r="O51" s="19"/>
    </row>
    <row r="52" spans="2:13" ht="12.75">
      <c r="B52" s="68">
        <f t="shared" si="0"/>
        <v>47</v>
      </c>
      <c r="C52" s="9"/>
      <c r="D52" s="83"/>
      <c r="E52" s="12" t="s">
        <v>311</v>
      </c>
      <c r="F52" s="78" t="s">
        <v>312</v>
      </c>
      <c r="G52" s="112"/>
      <c r="H52" s="464">
        <v>0</v>
      </c>
      <c r="I52" s="464"/>
      <c r="J52" s="464"/>
      <c r="L52" s="930">
        <v>0</v>
      </c>
      <c r="M52" s="920"/>
    </row>
    <row r="53" spans="2:13" ht="12.75">
      <c r="B53" s="68">
        <f t="shared" si="0"/>
        <v>48</v>
      </c>
      <c r="C53" s="90"/>
      <c r="D53" s="96" t="s">
        <v>66</v>
      </c>
      <c r="E53" s="13"/>
      <c r="F53" s="86" t="s">
        <v>69</v>
      </c>
      <c r="G53" s="118"/>
      <c r="H53" s="464">
        <v>70000</v>
      </c>
      <c r="I53" s="464">
        <f>30000+22+20000+10000</f>
        <v>60022</v>
      </c>
      <c r="J53" s="464">
        <f t="shared" si="1"/>
        <v>130022</v>
      </c>
      <c r="L53" s="930">
        <f>3087+4510+84761</f>
        <v>92358</v>
      </c>
      <c r="M53" s="920">
        <f t="shared" si="2"/>
        <v>0.710325944840104</v>
      </c>
    </row>
    <row r="54" spans="2:13" ht="12.75">
      <c r="B54" s="68">
        <f t="shared" si="0"/>
        <v>49</v>
      </c>
      <c r="C54" s="95"/>
      <c r="D54" s="96"/>
      <c r="E54" s="13"/>
      <c r="F54" s="86"/>
      <c r="G54" s="118"/>
      <c r="H54" s="465"/>
      <c r="I54" s="465"/>
      <c r="J54" s="465"/>
      <c r="L54" s="935"/>
      <c r="M54" s="926"/>
    </row>
    <row r="55" spans="2:13" ht="12.75">
      <c r="B55" s="68">
        <f t="shared" si="0"/>
        <v>50</v>
      </c>
      <c r="C55" s="97"/>
      <c r="D55" s="98"/>
      <c r="E55" s="97"/>
      <c r="F55" s="345" t="s">
        <v>70</v>
      </c>
      <c r="G55" s="346"/>
      <c r="H55" s="467">
        <f>H57+H60</f>
        <v>194800</v>
      </c>
      <c r="I55" s="467">
        <f>I57+I60</f>
        <v>185400</v>
      </c>
      <c r="J55" s="467">
        <f t="shared" si="1"/>
        <v>380200</v>
      </c>
      <c r="L55" s="948">
        <f>L57+L60</f>
        <v>78817</v>
      </c>
      <c r="M55" s="942">
        <f t="shared" si="2"/>
        <v>0.207304050499737</v>
      </c>
    </row>
    <row r="56" spans="2:13" ht="12.75">
      <c r="B56" s="68">
        <f t="shared" si="0"/>
        <v>51</v>
      </c>
      <c r="C56" s="99"/>
      <c r="D56" s="100"/>
      <c r="E56" s="97"/>
      <c r="F56" s="101"/>
      <c r="G56" s="119"/>
      <c r="H56" s="468"/>
      <c r="I56" s="468"/>
      <c r="J56" s="468"/>
      <c r="L56" s="160"/>
      <c r="M56" s="943"/>
    </row>
    <row r="57" spans="2:15" ht="12.75">
      <c r="B57" s="68">
        <f t="shared" si="0"/>
        <v>52</v>
      </c>
      <c r="C57" s="9" t="s">
        <v>43</v>
      </c>
      <c r="D57" s="100"/>
      <c r="E57" s="97"/>
      <c r="F57" s="73" t="s">
        <v>44</v>
      </c>
      <c r="G57" s="119"/>
      <c r="H57" s="462">
        <f>H58</f>
        <v>21000</v>
      </c>
      <c r="I57" s="462">
        <f>I58</f>
        <v>35800</v>
      </c>
      <c r="J57" s="462">
        <f t="shared" si="1"/>
        <v>56800</v>
      </c>
      <c r="L57" s="946">
        <f>L58</f>
        <v>11234</v>
      </c>
      <c r="M57" s="940">
        <f t="shared" si="2"/>
        <v>0.19778169014084507</v>
      </c>
      <c r="O57" s="19"/>
    </row>
    <row r="58" spans="2:13" ht="12.75">
      <c r="B58" s="68">
        <f t="shared" si="0"/>
        <v>53</v>
      </c>
      <c r="C58" s="102"/>
      <c r="D58" s="14"/>
      <c r="E58" s="3" t="s">
        <v>24</v>
      </c>
      <c r="F58" s="103" t="s">
        <v>47</v>
      </c>
      <c r="G58" s="332"/>
      <c r="H58" s="464">
        <f>21000</f>
        <v>21000</v>
      </c>
      <c r="I58" s="464">
        <f>32000+3800</f>
        <v>35800</v>
      </c>
      <c r="J58" s="464">
        <f t="shared" si="1"/>
        <v>56800</v>
      </c>
      <c r="L58" s="930">
        <v>11234</v>
      </c>
      <c r="M58" s="920">
        <f t="shared" si="2"/>
        <v>0.19778169014084507</v>
      </c>
    </row>
    <row r="59" spans="2:13" ht="12.75">
      <c r="B59" s="68">
        <f t="shared" si="0"/>
        <v>54</v>
      </c>
      <c r="C59" s="102"/>
      <c r="D59" s="14"/>
      <c r="E59" s="3"/>
      <c r="F59" s="103"/>
      <c r="G59" s="332"/>
      <c r="H59" s="464"/>
      <c r="I59" s="464"/>
      <c r="J59" s="464"/>
      <c r="L59" s="930"/>
      <c r="M59" s="920"/>
    </row>
    <row r="60" spans="2:13" ht="12.75">
      <c r="B60" s="68">
        <f t="shared" si="0"/>
        <v>55</v>
      </c>
      <c r="C60" s="9" t="s">
        <v>50</v>
      </c>
      <c r="D60" s="100"/>
      <c r="E60" s="97"/>
      <c r="F60" s="73" t="s">
        <v>51</v>
      </c>
      <c r="G60" s="332"/>
      <c r="H60" s="466">
        <f>H61</f>
        <v>173800</v>
      </c>
      <c r="I60" s="466">
        <f>I61</f>
        <v>149600</v>
      </c>
      <c r="J60" s="466">
        <f t="shared" si="1"/>
        <v>323400</v>
      </c>
      <c r="L60" s="198">
        <f>L61</f>
        <v>67583</v>
      </c>
      <c r="M60" s="921">
        <f t="shared" si="2"/>
        <v>0.2089764996907854</v>
      </c>
    </row>
    <row r="61" spans="2:13" ht="12.75">
      <c r="B61" s="68">
        <f t="shared" si="0"/>
        <v>56</v>
      </c>
      <c r="C61" s="99"/>
      <c r="D61" s="14" t="s">
        <v>58</v>
      </c>
      <c r="E61" s="3" t="s">
        <v>30</v>
      </c>
      <c r="F61" s="78" t="s">
        <v>71</v>
      </c>
      <c r="G61" s="332"/>
      <c r="H61" s="464">
        <f>SUM(H62:H67)</f>
        <v>173800</v>
      </c>
      <c r="I61" s="464">
        <f>SUM(I62:I67)</f>
        <v>149600</v>
      </c>
      <c r="J61" s="464">
        <f t="shared" si="1"/>
        <v>323400</v>
      </c>
      <c r="L61" s="930">
        <f>SUM(L62:L67)</f>
        <v>67583</v>
      </c>
      <c r="M61" s="920">
        <f t="shared" si="2"/>
        <v>0.2089764996907854</v>
      </c>
    </row>
    <row r="62" spans="2:13" ht="12.75">
      <c r="B62" s="68">
        <f t="shared" si="0"/>
        <v>57</v>
      </c>
      <c r="C62" s="102"/>
      <c r="D62" s="3"/>
      <c r="E62" s="3"/>
      <c r="F62" s="78"/>
      <c r="G62" s="333" t="s">
        <v>102</v>
      </c>
      <c r="H62" s="464">
        <v>23300</v>
      </c>
      <c r="I62" s="464"/>
      <c r="J62" s="464">
        <f t="shared" si="1"/>
        <v>23300</v>
      </c>
      <c r="L62" s="930">
        <v>9185</v>
      </c>
      <c r="M62" s="920">
        <f t="shared" si="2"/>
        <v>0.394206008583691</v>
      </c>
    </row>
    <row r="63" spans="2:15" ht="12.75">
      <c r="B63" s="68">
        <f t="shared" si="0"/>
        <v>58</v>
      </c>
      <c r="C63" s="99"/>
      <c r="D63" s="404"/>
      <c r="E63" s="404"/>
      <c r="F63" s="86"/>
      <c r="G63" s="332" t="s">
        <v>444</v>
      </c>
      <c r="H63" s="465">
        <v>55000</v>
      </c>
      <c r="I63" s="464"/>
      <c r="J63" s="465">
        <f t="shared" si="1"/>
        <v>55000</v>
      </c>
      <c r="L63" s="935">
        <f>1661+384</f>
        <v>2045</v>
      </c>
      <c r="M63" s="926">
        <f t="shared" si="2"/>
        <v>0.037181818181818184</v>
      </c>
      <c r="O63" s="19"/>
    </row>
    <row r="64" spans="2:13" ht="12.75">
      <c r="B64" s="68">
        <f t="shared" si="0"/>
        <v>59</v>
      </c>
      <c r="C64" s="102"/>
      <c r="D64" s="3"/>
      <c r="E64" s="3"/>
      <c r="F64" s="78"/>
      <c r="G64" s="333" t="s">
        <v>103</v>
      </c>
      <c r="H64" s="464">
        <f>78500+9500</f>
        <v>88000</v>
      </c>
      <c r="I64" s="464">
        <f>7500+800+3300+10000</f>
        <v>21600</v>
      </c>
      <c r="J64" s="464">
        <f t="shared" si="1"/>
        <v>109600</v>
      </c>
      <c r="L64" s="930">
        <v>50267</v>
      </c>
      <c r="M64" s="920">
        <f t="shared" si="2"/>
        <v>0.4586405109489051</v>
      </c>
    </row>
    <row r="65" spans="2:13" ht="12.75">
      <c r="B65" s="68">
        <f t="shared" si="0"/>
        <v>60</v>
      </c>
      <c r="C65" s="102"/>
      <c r="D65" s="3"/>
      <c r="E65" s="3"/>
      <c r="F65" s="78"/>
      <c r="G65" s="333" t="s">
        <v>441</v>
      </c>
      <c r="H65" s="464"/>
      <c r="I65" s="464">
        <v>50000</v>
      </c>
      <c r="J65" s="464">
        <f t="shared" si="1"/>
        <v>50000</v>
      </c>
      <c r="L65" s="930"/>
      <c r="M65" s="920">
        <f t="shared" si="2"/>
        <v>0</v>
      </c>
    </row>
    <row r="66" spans="2:13" ht="12.75">
      <c r="B66" s="68">
        <f t="shared" si="0"/>
        <v>61</v>
      </c>
      <c r="C66" s="102"/>
      <c r="D66" s="3"/>
      <c r="E66" s="3"/>
      <c r="F66" s="78"/>
      <c r="G66" s="333" t="s">
        <v>442</v>
      </c>
      <c r="H66" s="464"/>
      <c r="I66" s="464">
        <v>60000</v>
      </c>
      <c r="J66" s="464">
        <f t="shared" si="1"/>
        <v>60000</v>
      </c>
      <c r="L66" s="930"/>
      <c r="M66" s="920">
        <f t="shared" si="2"/>
        <v>0</v>
      </c>
    </row>
    <row r="67" spans="2:13" ht="13.5" thickBot="1">
      <c r="B67" s="122">
        <f>B66+1</f>
        <v>62</v>
      </c>
      <c r="C67" s="400"/>
      <c r="D67" s="401"/>
      <c r="E67" s="401"/>
      <c r="F67" s="402"/>
      <c r="G67" s="403" t="s">
        <v>72</v>
      </c>
      <c r="H67" s="469">
        <f>6500+1000</f>
        <v>7500</v>
      </c>
      <c r="I67" s="469">
        <f>-4700+11700+11000</f>
        <v>18000</v>
      </c>
      <c r="J67" s="469">
        <f t="shared" si="1"/>
        <v>25500</v>
      </c>
      <c r="L67" s="949">
        <f>5490+3+401+192</f>
        <v>6086</v>
      </c>
      <c r="M67" s="944">
        <f t="shared" si="2"/>
        <v>0.23866666666666667</v>
      </c>
    </row>
    <row r="68" spans="2:13" ht="12.75">
      <c r="B68" s="15"/>
      <c r="C68" s="120"/>
      <c r="D68" s="104"/>
      <c r="E68" s="104"/>
      <c r="F68" s="65"/>
      <c r="G68" s="105"/>
      <c r="H68" s="121"/>
      <c r="M68" s="913"/>
    </row>
    <row r="69" spans="2:13" ht="13.5" thickBot="1">
      <c r="B69" s="15"/>
      <c r="C69" s="120"/>
      <c r="D69" s="104"/>
      <c r="E69" s="104"/>
      <c r="F69" s="65"/>
      <c r="G69" s="105"/>
      <c r="H69" s="121"/>
      <c r="M69" s="913"/>
    </row>
    <row r="70" spans="2:13" ht="13.5" customHeight="1">
      <c r="B70" s="1120" t="s">
        <v>13</v>
      </c>
      <c r="C70" s="1121"/>
      <c r="D70" s="1121"/>
      <c r="E70" s="1121"/>
      <c r="F70" s="1121"/>
      <c r="G70" s="1122"/>
      <c r="H70" s="1139" t="s">
        <v>410</v>
      </c>
      <c r="I70" s="1130" t="s">
        <v>417</v>
      </c>
      <c r="J70" s="1136" t="s">
        <v>415</v>
      </c>
      <c r="L70" s="1133" t="s">
        <v>418</v>
      </c>
      <c r="M70" s="1126" t="s">
        <v>450</v>
      </c>
    </row>
    <row r="71" spans="2:13" ht="12.75" customHeight="1">
      <c r="B71" s="1123"/>
      <c r="C71" s="1124"/>
      <c r="D71" s="1124"/>
      <c r="E71" s="1124"/>
      <c r="F71" s="1124"/>
      <c r="G71" s="1125"/>
      <c r="H71" s="1140"/>
      <c r="I71" s="1131"/>
      <c r="J71" s="1137"/>
      <c r="L71" s="1134"/>
      <c r="M71" s="1127"/>
    </row>
    <row r="72" spans="2:13" ht="16.5" customHeight="1">
      <c r="B72" s="161"/>
      <c r="C72" s="162" t="s">
        <v>14</v>
      </c>
      <c r="D72" s="162" t="s">
        <v>15</v>
      </c>
      <c r="E72" s="162" t="s">
        <v>16</v>
      </c>
      <c r="F72" s="163"/>
      <c r="G72" s="164"/>
      <c r="H72" s="1140"/>
      <c r="I72" s="1131"/>
      <c r="J72" s="1137"/>
      <c r="L72" s="1134"/>
      <c r="M72" s="1127"/>
    </row>
    <row r="73" spans="2:13" ht="26.25" customHeight="1" thickBot="1">
      <c r="B73" s="165"/>
      <c r="C73" s="166"/>
      <c r="D73" s="167"/>
      <c r="E73" s="166" t="s">
        <v>17</v>
      </c>
      <c r="F73" s="168" t="s">
        <v>18</v>
      </c>
      <c r="G73" s="169"/>
      <c r="H73" s="1141"/>
      <c r="I73" s="1132"/>
      <c r="J73" s="1138"/>
      <c r="L73" s="1135"/>
      <c r="M73" s="1128"/>
    </row>
    <row r="74" spans="2:15" ht="13.5" customHeight="1" thickTop="1">
      <c r="B74" s="68">
        <f>B67+1</f>
        <v>63</v>
      </c>
      <c r="C74" s="9"/>
      <c r="D74" s="9"/>
      <c r="E74" s="11"/>
      <c r="F74" s="347" t="s">
        <v>73</v>
      </c>
      <c r="G74" s="348"/>
      <c r="H74" s="471">
        <f>H75+H79+H85+H87+H92+H96+H97+H86</f>
        <v>669000</v>
      </c>
      <c r="I74" s="471">
        <f>I75+I79+I85+I87+I92+I96+I97+I86</f>
        <v>-16500</v>
      </c>
      <c r="J74" s="471">
        <f aca="true" t="shared" si="3" ref="J74:J139">I74+H74</f>
        <v>652500</v>
      </c>
      <c r="L74" s="928">
        <f>L75+L79+L85+L87+L92+L96+L97+L86</f>
        <v>241623</v>
      </c>
      <c r="M74" s="917">
        <f aca="true" t="shared" si="4" ref="M74:M134">L74/J74</f>
        <v>0.3703034482758621</v>
      </c>
      <c r="O74" s="19"/>
    </row>
    <row r="75" spans="2:13" ht="12.75">
      <c r="B75" s="94">
        <f>B74+1</f>
        <v>64</v>
      </c>
      <c r="C75" s="71"/>
      <c r="D75" s="71"/>
      <c r="E75" s="3"/>
      <c r="F75" s="106" t="s">
        <v>74</v>
      </c>
      <c r="G75" s="21"/>
      <c r="H75" s="472">
        <f>SUM(H76:H78)</f>
        <v>116000</v>
      </c>
      <c r="I75" s="472">
        <f>SUM(I76:I78)</f>
        <v>0</v>
      </c>
      <c r="J75" s="472">
        <f t="shared" si="3"/>
        <v>116000</v>
      </c>
      <c r="L75" s="157">
        <f>SUM(L76:L78)</f>
        <v>43442</v>
      </c>
      <c r="M75" s="918">
        <f t="shared" si="4"/>
        <v>0.3745</v>
      </c>
    </row>
    <row r="76" spans="2:13" ht="12.75">
      <c r="B76" s="94">
        <f aca="true" t="shared" si="5" ref="B76:B138">B75+1</f>
        <v>65</v>
      </c>
      <c r="C76" s="14"/>
      <c r="D76" s="14" t="s">
        <v>58</v>
      </c>
      <c r="E76" s="3" t="s">
        <v>32</v>
      </c>
      <c r="F76" s="84" t="s">
        <v>185</v>
      </c>
      <c r="G76" s="21"/>
      <c r="H76" s="473">
        <f>95000+6000</f>
        <v>101000</v>
      </c>
      <c r="I76" s="473"/>
      <c r="J76" s="473">
        <f t="shared" si="3"/>
        <v>101000</v>
      </c>
      <c r="L76" s="929">
        <v>37323</v>
      </c>
      <c r="M76" s="919">
        <f t="shared" si="4"/>
        <v>0.36953465346534653</v>
      </c>
    </row>
    <row r="77" spans="2:13" ht="12.75">
      <c r="B77" s="94">
        <f t="shared" si="5"/>
        <v>66</v>
      </c>
      <c r="C77" s="71"/>
      <c r="D77" s="71" t="s">
        <v>58</v>
      </c>
      <c r="E77" s="72" t="s">
        <v>24</v>
      </c>
      <c r="F77" s="66" t="s">
        <v>186</v>
      </c>
      <c r="G77" s="22"/>
      <c r="H77" s="464">
        <v>9000</v>
      </c>
      <c r="I77" s="464"/>
      <c r="J77" s="464">
        <f t="shared" si="3"/>
        <v>9000</v>
      </c>
      <c r="L77" s="930">
        <v>3535</v>
      </c>
      <c r="M77" s="920">
        <f t="shared" si="4"/>
        <v>0.3927777777777778</v>
      </c>
    </row>
    <row r="78" spans="2:13" ht="12.75">
      <c r="B78" s="94">
        <f t="shared" si="5"/>
        <v>67</v>
      </c>
      <c r="C78" s="71"/>
      <c r="D78" s="71" t="s">
        <v>58</v>
      </c>
      <c r="E78" s="72" t="s">
        <v>24</v>
      </c>
      <c r="F78" s="66" t="s">
        <v>187</v>
      </c>
      <c r="G78" s="22"/>
      <c r="H78" s="464">
        <v>6000</v>
      </c>
      <c r="I78" s="464"/>
      <c r="J78" s="464">
        <f t="shared" si="3"/>
        <v>6000</v>
      </c>
      <c r="L78" s="930">
        <v>2584</v>
      </c>
      <c r="M78" s="920">
        <f t="shared" si="4"/>
        <v>0.43066666666666664</v>
      </c>
    </row>
    <row r="79" spans="2:13" ht="12.75">
      <c r="B79" s="94">
        <f t="shared" si="5"/>
        <v>68</v>
      </c>
      <c r="C79" s="71"/>
      <c r="D79" s="71"/>
      <c r="E79" s="72"/>
      <c r="F79" s="107" t="s">
        <v>76</v>
      </c>
      <c r="G79" s="22"/>
      <c r="H79" s="466">
        <f>SUM(H80:H84)</f>
        <v>151000</v>
      </c>
      <c r="I79" s="466">
        <f>SUM(I80:I84)</f>
        <v>-32500</v>
      </c>
      <c r="J79" s="466">
        <f t="shared" si="3"/>
        <v>118500</v>
      </c>
      <c r="L79" s="198">
        <f>SUM(L80:L84)</f>
        <v>30827</v>
      </c>
      <c r="M79" s="921">
        <f t="shared" si="4"/>
        <v>0.26014345991561183</v>
      </c>
    </row>
    <row r="80" spans="2:13" ht="12.75">
      <c r="B80" s="94">
        <f t="shared" si="5"/>
        <v>69</v>
      </c>
      <c r="C80" s="71"/>
      <c r="D80" s="71" t="s">
        <v>58</v>
      </c>
      <c r="E80" s="72" t="s">
        <v>30</v>
      </c>
      <c r="F80" s="66" t="s">
        <v>195</v>
      </c>
      <c r="G80" s="22"/>
      <c r="H80" s="464">
        <f>302000-163000</f>
        <v>139000</v>
      </c>
      <c r="I80" s="464">
        <v>-30000</v>
      </c>
      <c r="J80" s="464">
        <f t="shared" si="3"/>
        <v>109000</v>
      </c>
      <c r="L80" s="930">
        <v>27869</v>
      </c>
      <c r="M80" s="920">
        <f t="shared" si="4"/>
        <v>0.2556788990825688</v>
      </c>
    </row>
    <row r="81" spans="2:13" ht="12.75">
      <c r="B81" s="94">
        <f t="shared" si="5"/>
        <v>70</v>
      </c>
      <c r="C81" s="71"/>
      <c r="D81" s="71" t="s">
        <v>58</v>
      </c>
      <c r="E81" s="72" t="s">
        <v>30</v>
      </c>
      <c r="F81" s="66" t="s">
        <v>189</v>
      </c>
      <c r="G81" s="22"/>
      <c r="H81" s="464">
        <v>0</v>
      </c>
      <c r="I81" s="464"/>
      <c r="J81" s="464">
        <f t="shared" si="3"/>
        <v>0</v>
      </c>
      <c r="L81" s="930">
        <v>0</v>
      </c>
      <c r="M81" s="920"/>
    </row>
    <row r="82" spans="2:13" ht="12.75">
      <c r="B82" s="94">
        <f t="shared" si="5"/>
        <v>71</v>
      </c>
      <c r="C82" s="71"/>
      <c r="D82" s="71" t="s">
        <v>58</v>
      </c>
      <c r="E82" s="72" t="s">
        <v>30</v>
      </c>
      <c r="F82" s="66" t="s">
        <v>184</v>
      </c>
      <c r="G82" s="22"/>
      <c r="H82" s="464">
        <v>0</v>
      </c>
      <c r="I82" s="464"/>
      <c r="J82" s="464">
        <f t="shared" si="3"/>
        <v>0</v>
      </c>
      <c r="L82" s="930">
        <v>0</v>
      </c>
      <c r="M82" s="920"/>
    </row>
    <row r="83" spans="2:13" ht="12.75">
      <c r="B83" s="94">
        <f t="shared" si="5"/>
        <v>72</v>
      </c>
      <c r="C83" s="71"/>
      <c r="D83" s="71" t="s">
        <v>58</v>
      </c>
      <c r="E83" s="72" t="s">
        <v>30</v>
      </c>
      <c r="F83" s="66" t="s">
        <v>196</v>
      </c>
      <c r="G83" s="22"/>
      <c r="H83" s="464">
        <f>3000+2000</f>
        <v>5000</v>
      </c>
      <c r="I83" s="464">
        <v>-2500</v>
      </c>
      <c r="J83" s="464">
        <f t="shared" si="3"/>
        <v>2500</v>
      </c>
      <c r="L83" s="930">
        <v>988</v>
      </c>
      <c r="M83" s="920">
        <f t="shared" si="4"/>
        <v>0.3952</v>
      </c>
    </row>
    <row r="84" spans="2:13" ht="12.75" customHeight="1">
      <c r="B84" s="94">
        <f t="shared" si="5"/>
        <v>73</v>
      </c>
      <c r="C84" s="71"/>
      <c r="D84" s="71" t="s">
        <v>58</v>
      </c>
      <c r="E84" s="72" t="s">
        <v>30</v>
      </c>
      <c r="F84" s="66" t="s">
        <v>77</v>
      </c>
      <c r="G84" s="22"/>
      <c r="H84" s="464">
        <v>7000</v>
      </c>
      <c r="I84" s="464"/>
      <c r="J84" s="464">
        <f t="shared" si="3"/>
        <v>7000</v>
      </c>
      <c r="L84" s="930">
        <v>1970</v>
      </c>
      <c r="M84" s="920">
        <f t="shared" si="4"/>
        <v>0.2814285714285714</v>
      </c>
    </row>
    <row r="85" spans="2:13" ht="12.75" customHeight="1">
      <c r="B85" s="94">
        <f t="shared" si="5"/>
        <v>74</v>
      </c>
      <c r="C85" s="71"/>
      <c r="D85" s="71"/>
      <c r="E85" s="72"/>
      <c r="F85" s="107" t="s">
        <v>147</v>
      </c>
      <c r="G85" s="22"/>
      <c r="H85" s="466">
        <v>3000</v>
      </c>
      <c r="I85" s="466"/>
      <c r="J85" s="466">
        <f t="shared" si="3"/>
        <v>3000</v>
      </c>
      <c r="L85" s="198">
        <v>560</v>
      </c>
      <c r="M85" s="921">
        <f t="shared" si="4"/>
        <v>0.18666666666666668</v>
      </c>
    </row>
    <row r="86" spans="2:13" ht="12.75" customHeight="1">
      <c r="B86" s="94">
        <f t="shared" si="5"/>
        <v>75</v>
      </c>
      <c r="C86" s="71"/>
      <c r="D86" s="71"/>
      <c r="E86" s="72"/>
      <c r="F86" s="107" t="s">
        <v>178</v>
      </c>
      <c r="G86" s="22"/>
      <c r="H86" s="466">
        <v>2000</v>
      </c>
      <c r="I86" s="466"/>
      <c r="J86" s="466">
        <f t="shared" si="3"/>
        <v>2000</v>
      </c>
      <c r="L86" s="198">
        <v>0</v>
      </c>
      <c r="M86" s="921">
        <f t="shared" si="4"/>
        <v>0</v>
      </c>
    </row>
    <row r="87" spans="2:13" ht="12.75" customHeight="1">
      <c r="B87" s="94">
        <f t="shared" si="5"/>
        <v>76</v>
      </c>
      <c r="C87" s="71"/>
      <c r="D87" s="71"/>
      <c r="E87" s="72"/>
      <c r="F87" s="107" t="s">
        <v>75</v>
      </c>
      <c r="G87" s="22"/>
      <c r="H87" s="466">
        <f>SUM(H88:H90)</f>
        <v>270000</v>
      </c>
      <c r="I87" s="466">
        <f>SUM(I88:I90)</f>
        <v>0</v>
      </c>
      <c r="J87" s="466">
        <f t="shared" si="3"/>
        <v>270000</v>
      </c>
      <c r="L87" s="198">
        <f>SUM(L88:L90)</f>
        <v>95525</v>
      </c>
      <c r="M87" s="921">
        <f t="shared" si="4"/>
        <v>0.3537962962962963</v>
      </c>
    </row>
    <row r="88" spans="2:13" ht="13.5" customHeight="1">
      <c r="B88" s="94">
        <f t="shared" si="5"/>
        <v>77</v>
      </c>
      <c r="C88" s="71"/>
      <c r="D88" s="71" t="s">
        <v>58</v>
      </c>
      <c r="E88" s="72" t="s">
        <v>30</v>
      </c>
      <c r="F88" s="66" t="s">
        <v>191</v>
      </c>
      <c r="G88" s="22"/>
      <c r="H88" s="464">
        <f>22000-1000</f>
        <v>21000</v>
      </c>
      <c r="I88" s="464"/>
      <c r="J88" s="464">
        <f t="shared" si="3"/>
        <v>21000</v>
      </c>
      <c r="L88" s="930">
        <v>5366</v>
      </c>
      <c r="M88" s="920">
        <f t="shared" si="4"/>
        <v>0.25552380952380954</v>
      </c>
    </row>
    <row r="89" spans="2:13" ht="12.75">
      <c r="B89" s="94">
        <f t="shared" si="5"/>
        <v>78</v>
      </c>
      <c r="C89" s="71"/>
      <c r="D89" s="71" t="s">
        <v>58</v>
      </c>
      <c r="E89" s="72" t="s">
        <v>30</v>
      </c>
      <c r="F89" s="66" t="s">
        <v>190</v>
      </c>
      <c r="G89" s="22"/>
      <c r="H89" s="464">
        <f>115000+2000</f>
        <v>117000</v>
      </c>
      <c r="I89" s="464"/>
      <c r="J89" s="464">
        <f t="shared" si="3"/>
        <v>117000</v>
      </c>
      <c r="L89" s="930">
        <v>43913</v>
      </c>
      <c r="M89" s="920">
        <f t="shared" si="4"/>
        <v>0.37532478632478633</v>
      </c>
    </row>
    <row r="90" spans="2:13" ht="12.75">
      <c r="B90" s="94">
        <f t="shared" si="5"/>
        <v>79</v>
      </c>
      <c r="C90" s="71"/>
      <c r="D90" s="71" t="s">
        <v>58</v>
      </c>
      <c r="E90" s="72" t="s">
        <v>30</v>
      </c>
      <c r="F90" s="66" t="s">
        <v>280</v>
      </c>
      <c r="G90" s="22"/>
      <c r="H90" s="464">
        <f>138000-6000</f>
        <v>132000</v>
      </c>
      <c r="I90" s="464"/>
      <c r="J90" s="464">
        <f t="shared" si="3"/>
        <v>132000</v>
      </c>
      <c r="L90" s="930">
        <v>46246</v>
      </c>
      <c r="M90" s="920">
        <f t="shared" si="4"/>
        <v>0.35034848484848485</v>
      </c>
    </row>
    <row r="91" spans="2:13" ht="12.75">
      <c r="B91" s="94">
        <f t="shared" si="5"/>
        <v>80</v>
      </c>
      <c r="C91" s="71"/>
      <c r="D91" s="71"/>
      <c r="E91" s="72"/>
      <c r="F91" s="84"/>
      <c r="G91" s="22"/>
      <c r="H91" s="464"/>
      <c r="I91" s="464"/>
      <c r="J91" s="464"/>
      <c r="L91" s="930"/>
      <c r="M91" s="920"/>
    </row>
    <row r="92" spans="2:13" ht="12.75">
      <c r="B92" s="94">
        <f t="shared" si="5"/>
        <v>81</v>
      </c>
      <c r="C92" s="71"/>
      <c r="D92" s="72"/>
      <c r="E92" s="72"/>
      <c r="F92" s="107" t="s">
        <v>314</v>
      </c>
      <c r="G92" s="22"/>
      <c r="H92" s="466">
        <f>H93+H94</f>
        <v>126000</v>
      </c>
      <c r="I92" s="466">
        <f>I93+I94</f>
        <v>-4000</v>
      </c>
      <c r="J92" s="466">
        <f t="shared" si="3"/>
        <v>122000</v>
      </c>
      <c r="L92" s="198">
        <f>L93+L94</f>
        <v>52059</v>
      </c>
      <c r="M92" s="921">
        <f t="shared" si="4"/>
        <v>0.42671311475409834</v>
      </c>
    </row>
    <row r="93" spans="2:13" ht="13.5" customHeight="1">
      <c r="B93" s="94">
        <f t="shared" si="5"/>
        <v>82</v>
      </c>
      <c r="C93" s="71"/>
      <c r="D93" s="3" t="s">
        <v>58</v>
      </c>
      <c r="E93" s="3" t="s">
        <v>30</v>
      </c>
      <c r="F93" s="66" t="s">
        <v>87</v>
      </c>
      <c r="G93" s="21"/>
      <c r="H93" s="464">
        <f>97000+3000</f>
        <v>100000</v>
      </c>
      <c r="I93" s="464"/>
      <c r="J93" s="464">
        <f t="shared" si="3"/>
        <v>100000</v>
      </c>
      <c r="L93" s="930">
        <v>36743</v>
      </c>
      <c r="M93" s="920">
        <f t="shared" si="4"/>
        <v>0.36743</v>
      </c>
    </row>
    <row r="94" spans="2:13" ht="13.5" customHeight="1">
      <c r="B94" s="94">
        <f t="shared" si="5"/>
        <v>83</v>
      </c>
      <c r="C94" s="71"/>
      <c r="D94" s="3" t="s">
        <v>58</v>
      </c>
      <c r="E94" s="3" t="s">
        <v>30</v>
      </c>
      <c r="F94" s="66" t="s">
        <v>80</v>
      </c>
      <c r="G94" s="21"/>
      <c r="H94" s="464">
        <f>29000-3000</f>
        <v>26000</v>
      </c>
      <c r="I94" s="464">
        <v>-4000</v>
      </c>
      <c r="J94" s="464">
        <f t="shared" si="3"/>
        <v>22000</v>
      </c>
      <c r="L94" s="930">
        <f>5771+9545</f>
        <v>15316</v>
      </c>
      <c r="M94" s="920">
        <f t="shared" si="4"/>
        <v>0.6961818181818182</v>
      </c>
    </row>
    <row r="95" spans="2:13" ht="12.75">
      <c r="B95" s="94">
        <f t="shared" si="5"/>
        <v>84</v>
      </c>
      <c r="C95" s="71"/>
      <c r="D95" s="3"/>
      <c r="E95" s="3"/>
      <c r="F95" s="66"/>
      <c r="G95" s="21"/>
      <c r="H95" s="464"/>
      <c r="I95" s="464"/>
      <c r="J95" s="464"/>
      <c r="L95" s="930"/>
      <c r="M95" s="920"/>
    </row>
    <row r="96" spans="2:13" ht="12.75">
      <c r="B96" s="94">
        <f t="shared" si="5"/>
        <v>85</v>
      </c>
      <c r="C96" s="71"/>
      <c r="D96" s="71" t="s">
        <v>45</v>
      </c>
      <c r="E96" s="72" t="s">
        <v>24</v>
      </c>
      <c r="F96" s="84" t="s">
        <v>78</v>
      </c>
      <c r="G96" s="22"/>
      <c r="H96" s="464">
        <v>1000</v>
      </c>
      <c r="I96" s="464"/>
      <c r="J96" s="464">
        <f t="shared" si="3"/>
        <v>1000</v>
      </c>
      <c r="L96" s="930">
        <v>378</v>
      </c>
      <c r="M96" s="920">
        <f t="shared" si="4"/>
        <v>0.378</v>
      </c>
    </row>
    <row r="97" spans="2:13" ht="12.75">
      <c r="B97" s="94">
        <f t="shared" si="5"/>
        <v>86</v>
      </c>
      <c r="C97" s="71"/>
      <c r="D97" s="71"/>
      <c r="E97" s="72"/>
      <c r="F97" s="84" t="s">
        <v>437</v>
      </c>
      <c r="G97" s="22"/>
      <c r="H97" s="464">
        <v>0</v>
      </c>
      <c r="I97" s="464">
        <v>20000</v>
      </c>
      <c r="J97" s="464">
        <f t="shared" si="3"/>
        <v>20000</v>
      </c>
      <c r="L97" s="930">
        <f>10+213+2404+45+16160</f>
        <v>18832</v>
      </c>
      <c r="M97" s="920">
        <f t="shared" si="4"/>
        <v>0.9416</v>
      </c>
    </row>
    <row r="98" spans="2:13" ht="12.75">
      <c r="B98" s="94">
        <f t="shared" si="5"/>
        <v>87</v>
      </c>
      <c r="C98" s="71"/>
      <c r="D98" s="71"/>
      <c r="E98" s="72"/>
      <c r="F98" s="84"/>
      <c r="G98" s="22"/>
      <c r="H98" s="464"/>
      <c r="I98" s="464"/>
      <c r="J98" s="464"/>
      <c r="L98" s="930"/>
      <c r="M98" s="920"/>
    </row>
    <row r="99" spans="2:15" ht="12.75">
      <c r="B99" s="94">
        <f t="shared" si="5"/>
        <v>88</v>
      </c>
      <c r="C99" s="9"/>
      <c r="D99" s="90"/>
      <c r="E99" s="108"/>
      <c r="F99" s="347" t="s">
        <v>79</v>
      </c>
      <c r="G99" s="348"/>
      <c r="H99" s="474">
        <f>H100+H102+H105</f>
        <v>130000</v>
      </c>
      <c r="I99" s="474">
        <f>I100+I102+I105</f>
        <v>4850</v>
      </c>
      <c r="J99" s="474">
        <f t="shared" si="3"/>
        <v>134850</v>
      </c>
      <c r="L99" s="931">
        <f>L100+L102+L105+L107</f>
        <v>67096</v>
      </c>
      <c r="M99" s="922">
        <f t="shared" si="4"/>
        <v>0.4975602521319985</v>
      </c>
      <c r="O99" s="19"/>
    </row>
    <row r="100" spans="2:15" ht="12.75">
      <c r="B100" s="94">
        <f t="shared" si="5"/>
        <v>89</v>
      </c>
      <c r="C100" s="9" t="s">
        <v>43</v>
      </c>
      <c r="D100" s="9"/>
      <c r="E100" s="11"/>
      <c r="F100" s="73" t="s">
        <v>44</v>
      </c>
      <c r="G100" s="112"/>
      <c r="H100" s="466">
        <f>H101</f>
        <v>6880</v>
      </c>
      <c r="I100" s="466">
        <f>I101</f>
        <v>0</v>
      </c>
      <c r="J100" s="466">
        <f t="shared" si="3"/>
        <v>6880</v>
      </c>
      <c r="L100" s="198">
        <f>L101</f>
        <v>2143</v>
      </c>
      <c r="M100" s="921">
        <f t="shared" si="4"/>
        <v>0.3114825581395349</v>
      </c>
      <c r="O100" s="19"/>
    </row>
    <row r="101" spans="2:13" ht="14.25" customHeight="1">
      <c r="B101" s="94">
        <f t="shared" si="5"/>
        <v>90</v>
      </c>
      <c r="C101" s="82"/>
      <c r="D101" s="71" t="s">
        <v>45</v>
      </c>
      <c r="E101" s="12" t="s">
        <v>24</v>
      </c>
      <c r="F101" s="78" t="s">
        <v>84</v>
      </c>
      <c r="G101" s="112"/>
      <c r="H101" s="464">
        <v>6880</v>
      </c>
      <c r="I101" s="464"/>
      <c r="J101" s="464">
        <f t="shared" si="3"/>
        <v>6880</v>
      </c>
      <c r="L101" s="930">
        <v>2143</v>
      </c>
      <c r="M101" s="920">
        <f t="shared" si="4"/>
        <v>0.3114825581395349</v>
      </c>
    </row>
    <row r="102" spans="2:13" ht="12.75">
      <c r="B102" s="94">
        <f t="shared" si="5"/>
        <v>91</v>
      </c>
      <c r="C102" s="9" t="s">
        <v>50</v>
      </c>
      <c r="D102" s="82"/>
      <c r="E102" s="83"/>
      <c r="F102" s="73" t="s">
        <v>51</v>
      </c>
      <c r="G102" s="112"/>
      <c r="H102" s="466">
        <f>SUM(H103:H104)</f>
        <v>123020</v>
      </c>
      <c r="I102" s="466">
        <f>SUM(I103:I104)</f>
        <v>4850</v>
      </c>
      <c r="J102" s="466">
        <f t="shared" si="3"/>
        <v>127870</v>
      </c>
      <c r="L102" s="198">
        <f>SUM(L103:L104)</f>
        <v>61111</v>
      </c>
      <c r="M102" s="921">
        <f t="shared" si="4"/>
        <v>0.4779150699929616</v>
      </c>
    </row>
    <row r="103" spans="2:13" ht="14.25" customHeight="1">
      <c r="B103" s="94">
        <f t="shared" si="5"/>
        <v>92</v>
      </c>
      <c r="C103" s="82"/>
      <c r="D103" s="72" t="s">
        <v>58</v>
      </c>
      <c r="E103" s="72" t="s">
        <v>32</v>
      </c>
      <c r="F103" s="78" t="s">
        <v>85</v>
      </c>
      <c r="G103" s="112"/>
      <c r="H103" s="464">
        <v>121840</v>
      </c>
      <c r="I103" s="464">
        <v>4850</v>
      </c>
      <c r="J103" s="464">
        <f t="shared" si="3"/>
        <v>126690</v>
      </c>
      <c r="L103" s="930">
        <v>61111</v>
      </c>
      <c r="M103" s="920">
        <f t="shared" si="4"/>
        <v>0.4823664061883337</v>
      </c>
    </row>
    <row r="104" spans="2:13" ht="12.75">
      <c r="B104" s="94">
        <f t="shared" si="5"/>
        <v>93</v>
      </c>
      <c r="C104" s="82"/>
      <c r="D104" s="72"/>
      <c r="E104" s="72"/>
      <c r="F104" s="78" t="s">
        <v>143</v>
      </c>
      <c r="G104" s="112"/>
      <c r="H104" s="464">
        <v>1180</v>
      </c>
      <c r="I104" s="464"/>
      <c r="J104" s="464">
        <f t="shared" si="3"/>
        <v>1180</v>
      </c>
      <c r="L104" s="930">
        <v>0</v>
      </c>
      <c r="M104" s="920">
        <f t="shared" si="4"/>
        <v>0</v>
      </c>
    </row>
    <row r="105" spans="2:13" ht="12.75" customHeight="1">
      <c r="B105" s="94">
        <f t="shared" si="5"/>
        <v>94</v>
      </c>
      <c r="C105" s="9" t="s">
        <v>62</v>
      </c>
      <c r="D105" s="89"/>
      <c r="E105" s="91"/>
      <c r="F105" s="73" t="s">
        <v>63</v>
      </c>
      <c r="G105" s="118"/>
      <c r="H105" s="466">
        <f>H106</f>
        <v>100</v>
      </c>
      <c r="I105" s="466">
        <f>I106</f>
        <v>0</v>
      </c>
      <c r="J105" s="466">
        <f t="shared" si="3"/>
        <v>100</v>
      </c>
      <c r="L105" s="198">
        <f>L106</f>
        <v>9</v>
      </c>
      <c r="M105" s="921">
        <f t="shared" si="4"/>
        <v>0.09</v>
      </c>
    </row>
    <row r="106" spans="2:13" ht="12.75" customHeight="1">
      <c r="B106" s="94">
        <f t="shared" si="5"/>
        <v>95</v>
      </c>
      <c r="C106" s="90"/>
      <c r="D106" s="10" t="s">
        <v>138</v>
      </c>
      <c r="E106" s="91"/>
      <c r="F106" s="84" t="s">
        <v>139</v>
      </c>
      <c r="G106" s="118"/>
      <c r="H106" s="464">
        <v>100</v>
      </c>
      <c r="I106" s="464"/>
      <c r="J106" s="464">
        <f t="shared" si="3"/>
        <v>100</v>
      </c>
      <c r="L106" s="930">
        <v>9</v>
      </c>
      <c r="M106" s="920">
        <f t="shared" si="4"/>
        <v>0.09</v>
      </c>
    </row>
    <row r="107" spans="2:13" ht="12.75" customHeight="1">
      <c r="B107" s="94">
        <f t="shared" si="5"/>
        <v>96</v>
      </c>
      <c r="C107" s="90"/>
      <c r="D107" s="13"/>
      <c r="E107" s="91"/>
      <c r="F107" s="84" t="s">
        <v>69</v>
      </c>
      <c r="G107" s="118"/>
      <c r="H107" s="464"/>
      <c r="I107" s="464"/>
      <c r="J107" s="464"/>
      <c r="L107" s="930">
        <f>3661+172</f>
        <v>3833</v>
      </c>
      <c r="M107" s="920"/>
    </row>
    <row r="108" spans="2:13" ht="12.75" customHeight="1">
      <c r="B108" s="94">
        <f t="shared" si="5"/>
        <v>97</v>
      </c>
      <c r="C108" s="90"/>
      <c r="D108" s="13"/>
      <c r="E108" s="91"/>
      <c r="F108" s="405"/>
      <c r="G108" s="406"/>
      <c r="H108" s="475"/>
      <c r="I108" s="475"/>
      <c r="J108" s="475"/>
      <c r="L108" s="932"/>
      <c r="M108" s="923"/>
    </row>
    <row r="109" spans="2:13" ht="12.75" customHeight="1">
      <c r="B109" s="94">
        <f t="shared" si="5"/>
        <v>98</v>
      </c>
      <c r="C109" s="90"/>
      <c r="D109" s="95"/>
      <c r="E109" s="108"/>
      <c r="F109" s="349" t="s">
        <v>141</v>
      </c>
      <c r="G109" s="350"/>
      <c r="H109" s="476"/>
      <c r="I109" s="476"/>
      <c r="J109" s="476"/>
      <c r="L109" s="933"/>
      <c r="M109" s="924"/>
    </row>
    <row r="110" spans="2:15" ht="13.5" customHeight="1">
      <c r="B110" s="94">
        <f t="shared" si="5"/>
        <v>99</v>
      </c>
      <c r="C110" s="9"/>
      <c r="D110" s="16"/>
      <c r="E110" s="109"/>
      <c r="F110" s="347" t="s">
        <v>142</v>
      </c>
      <c r="G110" s="348"/>
      <c r="H110" s="477">
        <f>H111+H113</f>
        <v>218170</v>
      </c>
      <c r="I110" s="477">
        <f>I111+I113</f>
        <v>8300</v>
      </c>
      <c r="J110" s="477">
        <f t="shared" si="3"/>
        <v>226470</v>
      </c>
      <c r="L110" s="928">
        <f>L111+L113+L116</f>
        <v>109253</v>
      </c>
      <c r="M110" s="917">
        <f t="shared" si="4"/>
        <v>0.48241709718726544</v>
      </c>
      <c r="O110" s="19"/>
    </row>
    <row r="111" spans="2:13" ht="12.75">
      <c r="B111" s="94">
        <f t="shared" si="5"/>
        <v>100</v>
      </c>
      <c r="C111" s="9" t="s">
        <v>43</v>
      </c>
      <c r="D111" s="9"/>
      <c r="E111" s="11"/>
      <c r="F111" s="73" t="s">
        <v>44</v>
      </c>
      <c r="G111" s="112"/>
      <c r="H111" s="466">
        <f>H112</f>
        <v>106670</v>
      </c>
      <c r="I111" s="466">
        <f>I112</f>
        <v>0</v>
      </c>
      <c r="J111" s="466">
        <f t="shared" si="3"/>
        <v>106670</v>
      </c>
      <c r="L111" s="198">
        <f>L112</f>
        <v>43157</v>
      </c>
      <c r="M111" s="921">
        <f t="shared" si="4"/>
        <v>0.40458423174275804</v>
      </c>
    </row>
    <row r="112" spans="2:13" ht="12.75">
      <c r="B112" s="94">
        <f t="shared" si="5"/>
        <v>101</v>
      </c>
      <c r="C112" s="82"/>
      <c r="D112" s="71" t="s">
        <v>45</v>
      </c>
      <c r="E112" s="79" t="s">
        <v>24</v>
      </c>
      <c r="F112" s="78" t="s">
        <v>84</v>
      </c>
      <c r="G112" s="112"/>
      <c r="H112" s="464">
        <v>106670</v>
      </c>
      <c r="I112" s="464"/>
      <c r="J112" s="464">
        <f t="shared" si="3"/>
        <v>106670</v>
      </c>
      <c r="L112" s="930">
        <v>43157</v>
      </c>
      <c r="M112" s="920">
        <f t="shared" si="4"/>
        <v>0.40458423174275804</v>
      </c>
    </row>
    <row r="113" spans="2:13" ht="12.75">
      <c r="B113" s="94">
        <f t="shared" si="5"/>
        <v>102</v>
      </c>
      <c r="C113" s="9" t="s">
        <v>50</v>
      </c>
      <c r="D113" s="82"/>
      <c r="E113" s="83"/>
      <c r="F113" s="73" t="s">
        <v>51</v>
      </c>
      <c r="G113" s="112"/>
      <c r="H113" s="466">
        <f>SUM(H114:H115)</f>
        <v>111500</v>
      </c>
      <c r="I113" s="466">
        <f>SUM(I114:I115)</f>
        <v>8300</v>
      </c>
      <c r="J113" s="466">
        <f t="shared" si="3"/>
        <v>119800</v>
      </c>
      <c r="L113" s="198">
        <f>SUM(L114:L115)</f>
        <v>58937</v>
      </c>
      <c r="M113" s="921">
        <f t="shared" si="4"/>
        <v>0.49196160267111855</v>
      </c>
    </row>
    <row r="114" spans="2:13" ht="12.75">
      <c r="B114" s="94">
        <f t="shared" si="5"/>
        <v>103</v>
      </c>
      <c r="C114" s="82"/>
      <c r="D114" s="72" t="s">
        <v>58</v>
      </c>
      <c r="E114" s="72" t="s">
        <v>32</v>
      </c>
      <c r="F114" s="78" t="s">
        <v>86</v>
      </c>
      <c r="G114" s="112"/>
      <c r="H114" s="464">
        <v>54900</v>
      </c>
      <c r="I114" s="464">
        <v>8300</v>
      </c>
      <c r="J114" s="464">
        <f t="shared" si="3"/>
        <v>63200</v>
      </c>
      <c r="L114" s="930">
        <f>27406</f>
        <v>27406</v>
      </c>
      <c r="M114" s="920">
        <f t="shared" si="4"/>
        <v>0.4336392405063291</v>
      </c>
    </row>
    <row r="115" spans="2:13" ht="12.75">
      <c r="B115" s="94">
        <f t="shared" si="5"/>
        <v>104</v>
      </c>
      <c r="C115" s="82"/>
      <c r="D115" s="72" t="s">
        <v>58</v>
      </c>
      <c r="E115" s="72" t="s">
        <v>32</v>
      </c>
      <c r="F115" s="74" t="s">
        <v>143</v>
      </c>
      <c r="G115" s="112"/>
      <c r="H115" s="464">
        <v>56600</v>
      </c>
      <c r="I115" s="464"/>
      <c r="J115" s="464">
        <f t="shared" si="3"/>
        <v>56600</v>
      </c>
      <c r="L115" s="930">
        <v>31531</v>
      </c>
      <c r="M115" s="920">
        <f t="shared" si="4"/>
        <v>0.5570848056537102</v>
      </c>
    </row>
    <row r="116" spans="2:13" ht="12.75" customHeight="1">
      <c r="B116" s="94">
        <f t="shared" si="5"/>
        <v>105</v>
      </c>
      <c r="C116" s="9"/>
      <c r="D116" s="3"/>
      <c r="E116" s="3"/>
      <c r="F116" s="84" t="s">
        <v>69</v>
      </c>
      <c r="G116" s="21"/>
      <c r="H116" s="464"/>
      <c r="I116" s="464"/>
      <c r="J116" s="464"/>
      <c r="L116" s="930">
        <v>7159</v>
      </c>
      <c r="M116" s="920"/>
    </row>
    <row r="117" spans="2:13" ht="12.75" customHeight="1">
      <c r="B117" s="94">
        <f t="shared" si="5"/>
        <v>106</v>
      </c>
      <c r="C117" s="9"/>
      <c r="D117" s="3"/>
      <c r="E117" s="3"/>
      <c r="F117" s="84"/>
      <c r="G117" s="21"/>
      <c r="H117" s="464"/>
      <c r="I117" s="464"/>
      <c r="J117" s="464"/>
      <c r="L117" s="930"/>
      <c r="M117" s="920"/>
    </row>
    <row r="118" spans="2:15" ht="12.75" customHeight="1">
      <c r="B118" s="94">
        <f t="shared" si="5"/>
        <v>107</v>
      </c>
      <c r="C118" s="9"/>
      <c r="D118" s="16"/>
      <c r="E118" s="11"/>
      <c r="F118" s="347" t="s">
        <v>140</v>
      </c>
      <c r="G118" s="348"/>
      <c r="H118" s="474">
        <v>71600</v>
      </c>
      <c r="I118" s="474">
        <v>19300</v>
      </c>
      <c r="J118" s="474">
        <f t="shared" si="3"/>
        <v>90900</v>
      </c>
      <c r="L118" s="931">
        <v>41497</v>
      </c>
      <c r="M118" s="922">
        <f t="shared" si="4"/>
        <v>0.4565126512651265</v>
      </c>
      <c r="O118" s="19"/>
    </row>
    <row r="119" spans="2:13" ht="12" customHeight="1">
      <c r="B119" s="94">
        <f t="shared" si="5"/>
        <v>108</v>
      </c>
      <c r="C119" s="9"/>
      <c r="D119" s="12"/>
      <c r="E119" s="83"/>
      <c r="F119" s="84"/>
      <c r="G119" s="112"/>
      <c r="H119" s="464"/>
      <c r="I119" s="464"/>
      <c r="J119" s="464"/>
      <c r="L119" s="930"/>
      <c r="M119" s="920"/>
    </row>
    <row r="120" spans="2:13" ht="12.75" customHeight="1">
      <c r="B120" s="94">
        <f t="shared" si="5"/>
        <v>109</v>
      </c>
      <c r="C120" s="9"/>
      <c r="D120" s="16"/>
      <c r="E120" s="11"/>
      <c r="F120" s="347" t="s">
        <v>445</v>
      </c>
      <c r="G120" s="348"/>
      <c r="H120" s="474">
        <v>0</v>
      </c>
      <c r="I120" s="474"/>
      <c r="J120" s="474">
        <f>SUM(H120:I120)</f>
        <v>0</v>
      </c>
      <c r="L120" s="931">
        <v>6941</v>
      </c>
      <c r="M120" s="922"/>
    </row>
    <row r="121" spans="2:13" ht="12" customHeight="1">
      <c r="B121" s="94">
        <f t="shared" si="5"/>
        <v>110</v>
      </c>
      <c r="C121" s="9"/>
      <c r="D121" s="12"/>
      <c r="E121" s="83"/>
      <c r="F121" s="84"/>
      <c r="G121" s="112"/>
      <c r="H121" s="464"/>
      <c r="I121" s="464"/>
      <c r="J121" s="464"/>
      <c r="L121" s="930"/>
      <c r="M121" s="920"/>
    </row>
    <row r="122" spans="2:13" ht="19.5" customHeight="1">
      <c r="B122" s="94">
        <f t="shared" si="5"/>
        <v>111</v>
      </c>
      <c r="C122" s="231" t="s">
        <v>88</v>
      </c>
      <c r="D122" s="232"/>
      <c r="E122" s="233"/>
      <c r="F122" s="235" t="s">
        <v>89</v>
      </c>
      <c r="G122" s="234"/>
      <c r="H122" s="478">
        <f>H124</f>
        <v>5728630</v>
      </c>
      <c r="I122" s="479">
        <f>I124</f>
        <v>30378</v>
      </c>
      <c r="J122" s="480">
        <f t="shared" si="3"/>
        <v>5759008</v>
      </c>
      <c r="L122" s="934">
        <f>L124</f>
        <v>2872423</v>
      </c>
      <c r="M122" s="925">
        <f t="shared" si="4"/>
        <v>0.4987704479660386</v>
      </c>
    </row>
    <row r="123" spans="2:15" ht="12.75">
      <c r="B123" s="94">
        <f t="shared" si="5"/>
        <v>112</v>
      </c>
      <c r="C123" s="9"/>
      <c r="D123" s="10"/>
      <c r="E123" s="12"/>
      <c r="F123" s="106"/>
      <c r="G123" s="112"/>
      <c r="H123" s="464"/>
      <c r="I123" s="464"/>
      <c r="J123" s="464"/>
      <c r="L123" s="930"/>
      <c r="M123" s="920"/>
      <c r="O123" s="19"/>
    </row>
    <row r="124" spans="2:15" ht="12.75">
      <c r="B124" s="94">
        <f t="shared" si="5"/>
        <v>113</v>
      </c>
      <c r="C124" s="9"/>
      <c r="D124" s="10" t="s">
        <v>90</v>
      </c>
      <c r="E124" s="12"/>
      <c r="F124" s="106" t="s">
        <v>91</v>
      </c>
      <c r="G124" s="112"/>
      <c r="H124" s="466">
        <f>H125</f>
        <v>5728630</v>
      </c>
      <c r="I124" s="466">
        <f>I125</f>
        <v>30378</v>
      </c>
      <c r="J124" s="466">
        <f t="shared" si="3"/>
        <v>5759008</v>
      </c>
      <c r="L124" s="198">
        <f>L125</f>
        <v>2872423</v>
      </c>
      <c r="M124" s="921">
        <f t="shared" si="4"/>
        <v>0.4987704479660386</v>
      </c>
      <c r="O124" s="19"/>
    </row>
    <row r="125" spans="2:15" ht="12.75">
      <c r="B125" s="94">
        <f t="shared" si="5"/>
        <v>114</v>
      </c>
      <c r="C125" s="9"/>
      <c r="D125" s="12"/>
      <c r="E125" s="12" t="s">
        <v>30</v>
      </c>
      <c r="F125" s="66" t="s">
        <v>92</v>
      </c>
      <c r="G125" s="112"/>
      <c r="H125" s="464">
        <f>SUM(H126:H134)</f>
        <v>5728630</v>
      </c>
      <c r="I125" s="464">
        <f>SUM(I126:I138)</f>
        <v>30378</v>
      </c>
      <c r="J125" s="464">
        <f t="shared" si="3"/>
        <v>5759008</v>
      </c>
      <c r="L125" s="930">
        <f>SUM(L126:L138)</f>
        <v>2872423</v>
      </c>
      <c r="M125" s="920">
        <f t="shared" si="4"/>
        <v>0.4987704479660386</v>
      </c>
      <c r="O125" s="19"/>
    </row>
    <row r="126" spans="2:13" ht="12.75">
      <c r="B126" s="94">
        <f t="shared" si="5"/>
        <v>115</v>
      </c>
      <c r="C126" s="90"/>
      <c r="D126" s="13"/>
      <c r="E126" s="13"/>
      <c r="F126" s="142" t="s">
        <v>93</v>
      </c>
      <c r="G126" s="118"/>
      <c r="H126" s="465">
        <v>5028530</v>
      </c>
      <c r="I126" s="465"/>
      <c r="J126" s="465">
        <f t="shared" si="3"/>
        <v>5028530</v>
      </c>
      <c r="L126" s="935">
        <f>1253348+26913+5400+890000+4994</f>
        <v>2180655</v>
      </c>
      <c r="M126" s="926">
        <f t="shared" si="4"/>
        <v>0.43365655569321454</v>
      </c>
    </row>
    <row r="127" spans="2:13" ht="15.75" customHeight="1">
      <c r="B127" s="94">
        <f t="shared" si="5"/>
        <v>116</v>
      </c>
      <c r="C127" s="9"/>
      <c r="D127" s="12"/>
      <c r="E127" s="12"/>
      <c r="F127" s="70" t="s">
        <v>215</v>
      </c>
      <c r="G127" s="112"/>
      <c r="H127" s="464">
        <v>79650</v>
      </c>
      <c r="I127" s="464"/>
      <c r="J127" s="464">
        <f t="shared" si="3"/>
        <v>79650</v>
      </c>
      <c r="L127" s="930">
        <v>79650</v>
      </c>
      <c r="M127" s="920">
        <f t="shared" si="4"/>
        <v>1</v>
      </c>
    </row>
    <row r="128" spans="2:13" ht="15.75" customHeight="1">
      <c r="B128" s="94">
        <f t="shared" si="5"/>
        <v>117</v>
      </c>
      <c r="C128" s="9"/>
      <c r="D128" s="12"/>
      <c r="E128" s="12"/>
      <c r="F128" s="78" t="s">
        <v>94</v>
      </c>
      <c r="G128" s="112"/>
      <c r="H128" s="464">
        <v>433090</v>
      </c>
      <c r="I128" s="464"/>
      <c r="J128" s="464">
        <f t="shared" si="3"/>
        <v>433090</v>
      </c>
      <c r="L128" s="930">
        <v>433090</v>
      </c>
      <c r="M128" s="920">
        <f t="shared" si="4"/>
        <v>1</v>
      </c>
    </row>
    <row r="129" spans="2:13" ht="12.75">
      <c r="B129" s="94">
        <f t="shared" si="5"/>
        <v>118</v>
      </c>
      <c r="C129" s="9"/>
      <c r="D129" s="16"/>
      <c r="E129" s="11"/>
      <c r="F129" s="78" t="s">
        <v>95</v>
      </c>
      <c r="G129" s="112"/>
      <c r="H129" s="464">
        <v>59000</v>
      </c>
      <c r="I129" s="464">
        <v>7631</v>
      </c>
      <c r="J129" s="464">
        <f t="shared" si="3"/>
        <v>66631</v>
      </c>
      <c r="L129" s="930">
        <v>16658</v>
      </c>
      <c r="M129" s="920">
        <f t="shared" si="4"/>
        <v>0.25000375200732394</v>
      </c>
    </row>
    <row r="130" spans="2:13" ht="12.75">
      <c r="B130" s="94">
        <f t="shared" si="5"/>
        <v>119</v>
      </c>
      <c r="C130" s="9"/>
      <c r="D130" s="16"/>
      <c r="E130" s="11"/>
      <c r="F130" s="78" t="s">
        <v>83</v>
      </c>
      <c r="G130" s="112"/>
      <c r="H130" s="464">
        <v>50000</v>
      </c>
      <c r="I130" s="464"/>
      <c r="J130" s="464">
        <f t="shared" si="3"/>
        <v>50000</v>
      </c>
      <c r="L130" s="930">
        <v>13139</v>
      </c>
      <c r="M130" s="920">
        <f t="shared" si="4"/>
        <v>0.26278</v>
      </c>
    </row>
    <row r="131" spans="2:13" ht="12.75">
      <c r="B131" s="94">
        <f t="shared" si="5"/>
        <v>120</v>
      </c>
      <c r="C131" s="9"/>
      <c r="D131" s="16"/>
      <c r="E131" s="11"/>
      <c r="F131" s="78" t="s">
        <v>96</v>
      </c>
      <c r="G131" s="112"/>
      <c r="H131" s="464">
        <v>37160</v>
      </c>
      <c r="I131" s="464"/>
      <c r="J131" s="464">
        <f t="shared" si="3"/>
        <v>37160</v>
      </c>
      <c r="L131" s="930">
        <v>9290</v>
      </c>
      <c r="M131" s="920">
        <f t="shared" si="4"/>
        <v>0.25</v>
      </c>
    </row>
    <row r="132" spans="2:13" ht="12.75">
      <c r="B132" s="94">
        <f t="shared" si="5"/>
        <v>121</v>
      </c>
      <c r="C132" s="9"/>
      <c r="D132" s="16"/>
      <c r="E132" s="11"/>
      <c r="F132" s="78" t="s">
        <v>2</v>
      </c>
      <c r="G132" s="112"/>
      <c r="H132" s="464">
        <v>18700</v>
      </c>
      <c r="I132" s="464"/>
      <c r="J132" s="464">
        <f t="shared" si="3"/>
        <v>18700</v>
      </c>
      <c r="L132" s="930">
        <v>4662</v>
      </c>
      <c r="M132" s="920">
        <f t="shared" si="4"/>
        <v>0.2493048128342246</v>
      </c>
    </row>
    <row r="133" spans="2:13" ht="12.75">
      <c r="B133" s="94">
        <f t="shared" si="5"/>
        <v>122</v>
      </c>
      <c r="C133" s="9"/>
      <c r="D133" s="16"/>
      <c r="E133" s="11"/>
      <c r="F133" s="78" t="s">
        <v>425</v>
      </c>
      <c r="G133" s="112"/>
      <c r="H133" s="464"/>
      <c r="I133" s="464">
        <v>5584</v>
      </c>
      <c r="J133" s="464">
        <f t="shared" si="3"/>
        <v>5584</v>
      </c>
      <c r="L133" s="930">
        <v>5584</v>
      </c>
      <c r="M133" s="920">
        <f t="shared" si="4"/>
        <v>1</v>
      </c>
    </row>
    <row r="134" spans="2:13" ht="12.75">
      <c r="B134" s="94">
        <f t="shared" si="5"/>
        <v>123</v>
      </c>
      <c r="C134" s="9"/>
      <c r="D134" s="16"/>
      <c r="E134" s="11"/>
      <c r="F134" s="78" t="s">
        <v>97</v>
      </c>
      <c r="G134" s="112"/>
      <c r="H134" s="464">
        <v>22500</v>
      </c>
      <c r="I134" s="464"/>
      <c r="J134" s="464">
        <f t="shared" si="3"/>
        <v>22500</v>
      </c>
      <c r="L134" s="935">
        <v>12502</v>
      </c>
      <c r="M134" s="926">
        <f t="shared" si="4"/>
        <v>0.5556444444444445</v>
      </c>
    </row>
    <row r="135" spans="2:13" ht="12.75">
      <c r="B135" s="94">
        <f t="shared" si="5"/>
        <v>124</v>
      </c>
      <c r="C135" s="90"/>
      <c r="D135" s="90"/>
      <c r="E135" s="108"/>
      <c r="F135" s="914" t="s">
        <v>446</v>
      </c>
      <c r="G135" s="915"/>
      <c r="H135" s="916"/>
      <c r="I135" s="916"/>
      <c r="J135" s="464">
        <f t="shared" si="3"/>
        <v>0</v>
      </c>
      <c r="L135" s="935">
        <v>11840</v>
      </c>
      <c r="M135" s="926"/>
    </row>
    <row r="136" spans="2:13" ht="12.75">
      <c r="B136" s="94">
        <f t="shared" si="5"/>
        <v>125</v>
      </c>
      <c r="C136" s="90"/>
      <c r="D136" s="90"/>
      <c r="E136" s="108"/>
      <c r="F136" s="914" t="s">
        <v>447</v>
      </c>
      <c r="G136" s="915"/>
      <c r="H136" s="916"/>
      <c r="I136" s="916"/>
      <c r="J136" s="464">
        <f t="shared" si="3"/>
        <v>0</v>
      </c>
      <c r="L136" s="935">
        <v>51386</v>
      </c>
      <c r="M136" s="926"/>
    </row>
    <row r="137" spans="2:13" ht="12.75">
      <c r="B137" s="94">
        <f t="shared" si="5"/>
        <v>126</v>
      </c>
      <c r="C137" s="90"/>
      <c r="D137" s="90"/>
      <c r="E137" s="108"/>
      <c r="F137" s="1117" t="s">
        <v>448</v>
      </c>
      <c r="G137" s="118"/>
      <c r="H137" s="916"/>
      <c r="I137" s="916"/>
      <c r="J137" s="464">
        <f t="shared" si="3"/>
        <v>0</v>
      </c>
      <c r="L137" s="935">
        <v>36804</v>
      </c>
      <c r="M137" s="926"/>
    </row>
    <row r="138" spans="2:13" ht="12.75">
      <c r="B138" s="94">
        <f t="shared" si="5"/>
        <v>127</v>
      </c>
      <c r="C138" s="90"/>
      <c r="D138" s="90"/>
      <c r="E138" s="108"/>
      <c r="F138" s="914" t="s">
        <v>449</v>
      </c>
      <c r="G138" s="915"/>
      <c r="H138" s="916"/>
      <c r="I138" s="916">
        <v>17163</v>
      </c>
      <c r="J138" s="464">
        <f t="shared" si="3"/>
        <v>17163</v>
      </c>
      <c r="L138" s="935">
        <v>17163</v>
      </c>
      <c r="M138" s="926">
        <f>L138/J138</f>
        <v>1</v>
      </c>
    </row>
    <row r="139" spans="2:15" ht="24.75" customHeight="1" thickBot="1">
      <c r="B139" s="352">
        <f>B138+1</f>
        <v>128</v>
      </c>
      <c r="C139" s="353"/>
      <c r="D139" s="354"/>
      <c r="E139" s="355"/>
      <c r="F139" s="357" t="s">
        <v>98</v>
      </c>
      <c r="G139" s="356"/>
      <c r="H139" s="409">
        <f>H122+H22+H6</f>
        <v>26642000</v>
      </c>
      <c r="I139" s="453">
        <f>I122+I22+I6</f>
        <v>433140</v>
      </c>
      <c r="J139" s="470">
        <f t="shared" si="3"/>
        <v>27075140</v>
      </c>
      <c r="L139" s="936">
        <f>L122+L22+L6</f>
        <v>13213395</v>
      </c>
      <c r="M139" s="927">
        <f>L139/J139</f>
        <v>0.4880268393810706</v>
      </c>
      <c r="O139" s="19"/>
    </row>
    <row r="140" ht="15.75" customHeight="1"/>
    <row r="141" spans="2:7" ht="13.5" customHeight="1">
      <c r="B141"/>
      <c r="C141" s="110"/>
      <c r="D141"/>
      <c r="E141"/>
      <c r="F141"/>
      <c r="G141"/>
    </row>
    <row r="144" spans="2:7" ht="12.75">
      <c r="B144"/>
      <c r="C144"/>
      <c r="D144"/>
      <c r="E144"/>
      <c r="F144" s="7"/>
      <c r="G144" s="7"/>
    </row>
    <row r="145" spans="2:7" ht="12.75">
      <c r="B145"/>
      <c r="C145"/>
      <c r="D145"/>
      <c r="E145"/>
      <c r="F145" s="7"/>
      <c r="G145" s="7"/>
    </row>
    <row r="146" spans="6:7" ht="12.75">
      <c r="F146" s="7"/>
      <c r="G146" s="7"/>
    </row>
    <row r="147" spans="6:7" ht="12.75">
      <c r="F147" s="111"/>
      <c r="G147" s="7"/>
    </row>
    <row r="148" spans="6:7" ht="12.75">
      <c r="F148" s="111"/>
      <c r="G148" s="7"/>
    </row>
    <row r="149" spans="6:7" ht="12.75">
      <c r="F149" s="111"/>
      <c r="G149" s="7"/>
    </row>
    <row r="150" spans="6:7" ht="12.75">
      <c r="F150" s="111"/>
      <c r="G150" s="7"/>
    </row>
    <row r="151" spans="6:7" ht="12.75">
      <c r="F151" s="111"/>
      <c r="G151" s="7"/>
    </row>
    <row r="152" spans="6:7" ht="12.75">
      <c r="F152" s="111"/>
      <c r="G152" s="7"/>
    </row>
    <row r="153" spans="6:7" ht="12.75">
      <c r="F153" s="111"/>
      <c r="G153" s="7"/>
    </row>
    <row r="154" spans="6:7" ht="15.75" customHeight="1">
      <c r="F154" s="111"/>
      <c r="G154" s="7"/>
    </row>
    <row r="155" spans="6:7" ht="13.5" customHeight="1">
      <c r="F155" s="111"/>
      <c r="G155" s="7"/>
    </row>
    <row r="156" spans="6:7" ht="13.5" customHeight="1">
      <c r="F156" s="111"/>
      <c r="G156" s="7"/>
    </row>
    <row r="157" spans="6:7" ht="12.75">
      <c r="F157" s="111"/>
      <c r="G157" s="7"/>
    </row>
    <row r="158" spans="6:7" ht="12.75">
      <c r="F158" s="111"/>
      <c r="G158" s="7"/>
    </row>
    <row r="159" spans="6:7" ht="12.75">
      <c r="F159" s="111"/>
      <c r="G159" s="7"/>
    </row>
    <row r="160" spans="6:7" ht="12.75">
      <c r="F160" s="111"/>
      <c r="G160" s="7"/>
    </row>
    <row r="161" spans="6:7" ht="12.75">
      <c r="F161" s="111"/>
      <c r="G161" s="7"/>
    </row>
    <row r="162" spans="6:7" ht="12.75">
      <c r="F162" s="111"/>
      <c r="G162" s="7"/>
    </row>
    <row r="163" spans="6:7" ht="12.75">
      <c r="F163" s="111"/>
      <c r="G163" s="7"/>
    </row>
    <row r="164" spans="6:7" ht="12.75">
      <c r="F164" s="111"/>
      <c r="G164" s="7"/>
    </row>
    <row r="165" spans="6:7" ht="12.75">
      <c r="F165" s="111"/>
      <c r="G165" s="7"/>
    </row>
    <row r="166" spans="6:7" ht="12.75">
      <c r="F166" s="7"/>
      <c r="G166" s="7"/>
    </row>
  </sheetData>
  <sheetProtection selectLockedCells="1" selectUnlockedCells="1"/>
  <mergeCells count="13">
    <mergeCell ref="B70:G71"/>
    <mergeCell ref="H2:H5"/>
    <mergeCell ref="H70:H73"/>
    <mergeCell ref="B2:G3"/>
    <mergeCell ref="M2:M5"/>
    <mergeCell ref="M70:M73"/>
    <mergeCell ref="B1:J1"/>
    <mergeCell ref="I2:I5"/>
    <mergeCell ref="L2:L5"/>
    <mergeCell ref="L70:L73"/>
    <mergeCell ref="J2:J5"/>
    <mergeCell ref="I70:I73"/>
    <mergeCell ref="J70:J73"/>
  </mergeCells>
  <printOptions/>
  <pageMargins left="0.15748031496062992" right="0.11811023622047245" top="0.21" bottom="0.15748031496062992" header="0.19" footer="0.15748031496062992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8515625" style="6" customWidth="1"/>
    <col min="3" max="3" width="2.140625" style="5" customWidth="1"/>
    <col min="4" max="4" width="2.28125" style="0" customWidth="1"/>
    <col min="5" max="5" width="37.28125" style="0" customWidth="1"/>
    <col min="6" max="7" width="6.00390625" style="0" customWidth="1"/>
    <col min="8" max="8" width="7.7109375" style="0" customWidth="1"/>
    <col min="9" max="9" width="8.28125" style="0" customWidth="1"/>
    <col min="10" max="10" width="10.421875" style="0" customWidth="1"/>
    <col min="11" max="11" width="9.140625" style="0" customWidth="1"/>
    <col min="12" max="12" width="9.8515625" style="0" customWidth="1"/>
    <col min="13" max="13" width="6.28125" style="0" customWidth="1"/>
    <col min="14" max="14" width="1.1484375" style="126" customWidth="1"/>
    <col min="15" max="15" width="6.7109375" style="0" customWidth="1"/>
    <col min="16" max="16" width="7.57421875" style="0" customWidth="1"/>
    <col min="17" max="17" width="10.140625" style="0" customWidth="1"/>
    <col min="18" max="18" width="9.00390625" style="0" customWidth="1"/>
    <col min="19" max="19" width="9.421875" style="0" customWidth="1"/>
    <col min="20" max="20" width="6.28125" style="1028" customWidth="1"/>
    <col min="21" max="21" width="0.85546875" style="47" customWidth="1"/>
    <col min="22" max="22" width="10.421875" style="0" customWidth="1"/>
    <col min="23" max="23" width="9.421875" style="0" customWidth="1"/>
    <col min="24" max="24" width="9.28125" style="0" customWidth="1"/>
  </cols>
  <sheetData>
    <row r="1" spans="10:23" ht="15.75" customHeight="1">
      <c r="J1" s="173"/>
      <c r="K1" s="173"/>
      <c r="L1" s="173"/>
      <c r="M1" s="173"/>
      <c r="N1" s="268"/>
      <c r="O1" s="45"/>
      <c r="P1" s="45"/>
      <c r="Q1" s="51"/>
      <c r="R1" s="51"/>
      <c r="S1" s="51"/>
      <c r="T1" s="1030"/>
      <c r="U1" s="247"/>
      <c r="V1" s="248"/>
      <c r="W1" s="45"/>
    </row>
    <row r="2" spans="3:22" ht="29.25" customHeight="1">
      <c r="C2" s="249" t="s">
        <v>240</v>
      </c>
      <c r="I2" s="156"/>
      <c r="J2" s="181"/>
      <c r="K2" s="181"/>
      <c r="L2" s="181"/>
      <c r="M2" s="181"/>
      <c r="N2" s="181"/>
      <c r="O2" s="156"/>
      <c r="V2" s="237"/>
    </row>
    <row r="3" ht="6" customHeight="1" thickBot="1"/>
    <row r="4" spans="2:24" ht="12.75" customHeight="1" thickBot="1">
      <c r="B4" s="1253" t="s">
        <v>313</v>
      </c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  <c r="P4" s="1254"/>
      <c r="Q4" s="1254"/>
      <c r="R4" s="1254"/>
      <c r="S4" s="1254"/>
      <c r="T4" s="1255"/>
      <c r="U4" s="238"/>
      <c r="V4" s="1189" t="s">
        <v>410</v>
      </c>
      <c r="W4" s="1162" t="s">
        <v>417</v>
      </c>
      <c r="X4" s="1203" t="s">
        <v>415</v>
      </c>
    </row>
    <row r="5" spans="2:24" ht="18.75" customHeight="1" thickTop="1">
      <c r="B5" s="1263" t="s">
        <v>12</v>
      </c>
      <c r="C5" s="1264"/>
      <c r="D5" s="1264"/>
      <c r="E5" s="1264"/>
      <c r="F5" s="1264"/>
      <c r="G5" s="1264"/>
      <c r="H5" s="1264"/>
      <c r="I5" s="1264"/>
      <c r="J5" s="1264"/>
      <c r="K5" s="1264"/>
      <c r="L5" s="1265"/>
      <c r="M5" s="1031"/>
      <c r="N5" s="1032"/>
      <c r="O5" s="1153" t="s">
        <v>297</v>
      </c>
      <c r="P5" s="1154"/>
      <c r="Q5" s="1154"/>
      <c r="R5" s="1154"/>
      <c r="S5" s="1266"/>
      <c r="T5" s="1033"/>
      <c r="U5" s="239"/>
      <c r="V5" s="1190"/>
      <c r="W5" s="1163"/>
      <c r="X5" s="1204"/>
    </row>
    <row r="6" spans="2:24" ht="12.75" customHeight="1">
      <c r="B6" s="41"/>
      <c r="C6" s="1175" t="s">
        <v>148</v>
      </c>
      <c r="D6" s="1175" t="s">
        <v>149</v>
      </c>
      <c r="E6" s="1174" t="s">
        <v>11</v>
      </c>
      <c r="F6" s="1157"/>
      <c r="G6" s="1157"/>
      <c r="H6" s="1157"/>
      <c r="I6" s="1157"/>
      <c r="J6" s="1157"/>
      <c r="K6" s="1157"/>
      <c r="L6" s="1158"/>
      <c r="M6" s="1019"/>
      <c r="N6" s="311"/>
      <c r="O6" s="1212" t="s">
        <v>11</v>
      </c>
      <c r="P6" s="1213"/>
      <c r="Q6" s="1213"/>
      <c r="R6" s="1213"/>
      <c r="S6" s="1214"/>
      <c r="T6" s="94"/>
      <c r="U6" s="15"/>
      <c r="V6" s="1190"/>
      <c r="W6" s="1163"/>
      <c r="X6" s="1204"/>
    </row>
    <row r="7" spans="2:24" ht="39" customHeight="1">
      <c r="B7" s="41"/>
      <c r="C7" s="1176"/>
      <c r="D7" s="1176"/>
      <c r="E7" s="52" t="s">
        <v>5</v>
      </c>
      <c r="F7" s="1224">
        <v>610</v>
      </c>
      <c r="G7" s="1184">
        <v>620</v>
      </c>
      <c r="H7" s="1184">
        <v>630</v>
      </c>
      <c r="I7" s="1194">
        <v>640</v>
      </c>
      <c r="J7" s="1201" t="s">
        <v>410</v>
      </c>
      <c r="K7" s="1180" t="s">
        <v>417</v>
      </c>
      <c r="L7" s="1217" t="s">
        <v>415</v>
      </c>
      <c r="M7" s="1178" t="s">
        <v>453</v>
      </c>
      <c r="N7" s="153"/>
      <c r="O7" s="1222">
        <v>716</v>
      </c>
      <c r="P7" s="1184">
        <v>717</v>
      </c>
      <c r="Q7" s="1201" t="s">
        <v>410</v>
      </c>
      <c r="R7" s="1180" t="s">
        <v>417</v>
      </c>
      <c r="S7" s="1217" t="s">
        <v>415</v>
      </c>
      <c r="T7" s="1178" t="s">
        <v>453</v>
      </c>
      <c r="U7" s="240"/>
      <c r="V7" s="1190"/>
      <c r="W7" s="1163"/>
      <c r="X7" s="1204"/>
    </row>
    <row r="8" spans="2:24" ht="33.75" customHeight="1" thickBot="1">
      <c r="B8" s="41"/>
      <c r="C8" s="1176"/>
      <c r="D8" s="1176"/>
      <c r="E8" s="52"/>
      <c r="F8" s="1224"/>
      <c r="G8" s="1184"/>
      <c r="H8" s="1184"/>
      <c r="I8" s="1185"/>
      <c r="J8" s="1202"/>
      <c r="K8" s="1181"/>
      <c r="L8" s="1218"/>
      <c r="M8" s="1258"/>
      <c r="N8" s="325"/>
      <c r="O8" s="1222"/>
      <c r="P8" s="1184"/>
      <c r="Q8" s="1202"/>
      <c r="R8" s="1181"/>
      <c r="S8" s="1218"/>
      <c r="T8" s="1258"/>
      <c r="U8" s="180"/>
      <c r="V8" s="1191"/>
      <c r="W8" s="1164"/>
      <c r="X8" s="1205"/>
    </row>
    <row r="9" spans="2:28" ht="25.5" customHeight="1" thickBot="1" thickTop="1">
      <c r="B9" s="125">
        <v>1</v>
      </c>
      <c r="C9" s="189" t="s">
        <v>241</v>
      </c>
      <c r="D9" s="286"/>
      <c r="E9" s="287"/>
      <c r="F9" s="288">
        <f>F10+F11+F14+F46</f>
        <v>6650</v>
      </c>
      <c r="G9" s="289">
        <f>G10+G11+G14+G46</f>
        <v>2361</v>
      </c>
      <c r="H9" s="289">
        <f>H10+H11+H14+H46</f>
        <v>307859</v>
      </c>
      <c r="I9" s="258">
        <f>I10+I11+I14+I46</f>
        <v>202330</v>
      </c>
      <c r="J9" s="714">
        <f aca="true" t="shared" si="0" ref="J9:J48">SUM(F9:I9)</f>
        <v>519200</v>
      </c>
      <c r="K9" s="731">
        <f>K10+K11+K14+K46</f>
        <v>363545</v>
      </c>
      <c r="L9" s="716">
        <f>J9+K9</f>
        <v>882745</v>
      </c>
      <c r="M9" s="1026">
        <f>M10+M11+M14+M46</f>
        <v>106058</v>
      </c>
      <c r="N9" s="323"/>
      <c r="O9" s="290">
        <f>O10+O11+O14</f>
        <v>46350</v>
      </c>
      <c r="P9" s="289">
        <f>P10+P11+P14+P46</f>
        <v>388672</v>
      </c>
      <c r="Q9" s="711">
        <f>SUM(O9:P9)</f>
        <v>435022</v>
      </c>
      <c r="R9" s="713">
        <f>R10+R11+R14+R46</f>
        <v>192074</v>
      </c>
      <c r="S9" s="655">
        <f>Q9+R9</f>
        <v>627096</v>
      </c>
      <c r="T9" s="1029">
        <f>T28</f>
        <v>27877</v>
      </c>
      <c r="U9" s="259"/>
      <c r="V9" s="675">
        <f aca="true" t="shared" si="1" ref="V9:V17">J9+Q9</f>
        <v>954222</v>
      </c>
      <c r="W9" s="682">
        <f>W10+W11+W14+W46</f>
        <v>555619</v>
      </c>
      <c r="X9" s="680">
        <f>V9+W9</f>
        <v>1509841</v>
      </c>
      <c r="Y9" s="19"/>
      <c r="Z9" s="19"/>
      <c r="AA9" s="19"/>
      <c r="AB9" s="19"/>
    </row>
    <row r="10" spans="2:28" ht="15.75" thickTop="1">
      <c r="B10" s="32">
        <f aca="true" t="shared" si="2" ref="B10:B47">B9+1</f>
        <v>2</v>
      </c>
      <c r="C10" s="42">
        <v>1</v>
      </c>
      <c r="D10" s="43" t="s">
        <v>128</v>
      </c>
      <c r="E10" s="44"/>
      <c r="F10" s="147"/>
      <c r="G10" s="148"/>
      <c r="H10" s="148"/>
      <c r="I10" s="148"/>
      <c r="J10" s="672">
        <f t="shared" si="0"/>
        <v>0</v>
      </c>
      <c r="K10" s="489"/>
      <c r="L10" s="677">
        <f aca="true" t="shared" si="3" ref="L10:L48">J10+K10</f>
        <v>0</v>
      </c>
      <c r="M10" s="1022"/>
      <c r="N10" s="171"/>
      <c r="O10" s="243"/>
      <c r="P10" s="148"/>
      <c r="Q10" s="673">
        <v>0</v>
      </c>
      <c r="R10" s="676"/>
      <c r="S10" s="678">
        <f aca="true" t="shared" si="4" ref="S10:S48">Q10+R10</f>
        <v>0</v>
      </c>
      <c r="T10" s="1022"/>
      <c r="U10" s="246"/>
      <c r="V10" s="483">
        <f t="shared" si="1"/>
        <v>0</v>
      </c>
      <c r="W10" s="494">
        <f>K10+R10</f>
        <v>0</v>
      </c>
      <c r="X10" s="681">
        <f aca="true" t="shared" si="5" ref="X10:X48">V10+W10</f>
        <v>0</v>
      </c>
      <c r="Y10" s="19"/>
      <c r="Z10" s="19"/>
      <c r="AA10" s="19"/>
      <c r="AB10" s="19"/>
    </row>
    <row r="11" spans="2:28" ht="15">
      <c r="B11" s="32">
        <f t="shared" si="2"/>
        <v>3</v>
      </c>
      <c r="C11" s="42">
        <v>2</v>
      </c>
      <c r="D11" s="43" t="s">
        <v>129</v>
      </c>
      <c r="E11" s="44"/>
      <c r="F11" s="147"/>
      <c r="G11" s="148"/>
      <c r="H11" s="148"/>
      <c r="I11" s="148">
        <f>I12+I13</f>
        <v>25000</v>
      </c>
      <c r="J11" s="501">
        <f t="shared" si="0"/>
        <v>25000</v>
      </c>
      <c r="K11" s="490"/>
      <c r="L11" s="503">
        <f t="shared" si="3"/>
        <v>25000</v>
      </c>
      <c r="M11" s="1022">
        <v>3330</v>
      </c>
      <c r="N11" s="171"/>
      <c r="O11" s="243"/>
      <c r="P11" s="148"/>
      <c r="Q11" s="674">
        <f>Q12+Q13</f>
        <v>0</v>
      </c>
      <c r="R11" s="495"/>
      <c r="S11" s="679">
        <f t="shared" si="4"/>
        <v>0</v>
      </c>
      <c r="T11" s="1022"/>
      <c r="U11" s="246"/>
      <c r="V11" s="483">
        <f t="shared" si="1"/>
        <v>25000</v>
      </c>
      <c r="W11" s="494">
        <f aca="true" t="shared" si="6" ref="W11:W48">K11+R11</f>
        <v>0</v>
      </c>
      <c r="X11" s="681">
        <f t="shared" si="5"/>
        <v>25000</v>
      </c>
      <c r="Y11" s="19"/>
      <c r="Z11" s="19"/>
      <c r="AA11" s="19"/>
      <c r="AB11" s="19"/>
    </row>
    <row r="12" spans="2:28" s="594" customFormat="1" ht="12.75">
      <c r="B12" s="513">
        <f t="shared" si="2"/>
        <v>4</v>
      </c>
      <c r="C12" s="514"/>
      <c r="D12" s="586"/>
      <c r="E12" s="755" t="s">
        <v>193</v>
      </c>
      <c r="F12" s="722"/>
      <c r="G12" s="528"/>
      <c r="H12" s="534"/>
      <c r="I12" s="528">
        <v>20000</v>
      </c>
      <c r="J12" s="528">
        <f t="shared" si="0"/>
        <v>20000</v>
      </c>
      <c r="K12" s="528"/>
      <c r="L12" s="529">
        <f t="shared" si="3"/>
        <v>20000</v>
      </c>
      <c r="M12" s="1020"/>
      <c r="N12" s="590"/>
      <c r="O12" s="530"/>
      <c r="P12" s="531"/>
      <c r="Q12" s="531">
        <f>SUM(O12:P12)</f>
        <v>0</v>
      </c>
      <c r="R12" s="531"/>
      <c r="S12" s="773">
        <f t="shared" si="4"/>
        <v>0</v>
      </c>
      <c r="T12" s="1020"/>
      <c r="U12" s="590"/>
      <c r="V12" s="801">
        <f t="shared" si="1"/>
        <v>20000</v>
      </c>
      <c r="W12" s="804">
        <f t="shared" si="6"/>
        <v>0</v>
      </c>
      <c r="X12" s="798">
        <f t="shared" si="5"/>
        <v>20000</v>
      </c>
      <c r="Y12" s="19"/>
      <c r="Z12" s="19"/>
      <c r="AA12" s="19"/>
      <c r="AB12" s="19"/>
    </row>
    <row r="13" spans="2:28" s="594" customFormat="1" ht="12.75">
      <c r="B13" s="513">
        <f t="shared" si="2"/>
        <v>5</v>
      </c>
      <c r="C13" s="514"/>
      <c r="D13" s="742"/>
      <c r="E13" s="755" t="s">
        <v>194</v>
      </c>
      <c r="F13" s="515"/>
      <c r="G13" s="516"/>
      <c r="H13" s="717"/>
      <c r="I13" s="516">
        <v>5000</v>
      </c>
      <c r="J13" s="528">
        <f t="shared" si="0"/>
        <v>5000</v>
      </c>
      <c r="K13" s="528"/>
      <c r="L13" s="529">
        <f t="shared" si="3"/>
        <v>5000</v>
      </c>
      <c r="M13" s="1020"/>
      <c r="N13" s="590"/>
      <c r="O13" s="533"/>
      <c r="P13" s="528"/>
      <c r="Q13" s="528">
        <f>SUM(O13:P13)</f>
        <v>0</v>
      </c>
      <c r="R13" s="528"/>
      <c r="S13" s="529">
        <f t="shared" si="4"/>
        <v>0</v>
      </c>
      <c r="T13" s="1020"/>
      <c r="U13" s="590"/>
      <c r="V13" s="802">
        <f t="shared" si="1"/>
        <v>5000</v>
      </c>
      <c r="W13" s="805">
        <f t="shared" si="6"/>
        <v>0</v>
      </c>
      <c r="X13" s="799">
        <f t="shared" si="5"/>
        <v>5000</v>
      </c>
      <c r="Y13" s="19"/>
      <c r="Z13" s="19"/>
      <c r="AA13" s="19"/>
      <c r="AB13" s="19"/>
    </row>
    <row r="14" spans="2:28" ht="15">
      <c r="B14" s="32">
        <f t="shared" si="2"/>
        <v>6</v>
      </c>
      <c r="C14" s="42">
        <v>3</v>
      </c>
      <c r="D14" s="43" t="s">
        <v>175</v>
      </c>
      <c r="E14" s="44"/>
      <c r="F14" s="147">
        <f>F15+F19+F24+F28+F43</f>
        <v>6650</v>
      </c>
      <c r="G14" s="148">
        <f>G15+G19+G24+G28+G43</f>
        <v>2361</v>
      </c>
      <c r="H14" s="148">
        <f>H15+H19+H24+H28+H43</f>
        <v>301784</v>
      </c>
      <c r="I14" s="148">
        <f>I15+I19+I24+I28+I43</f>
        <v>177330</v>
      </c>
      <c r="J14" s="501">
        <f t="shared" si="0"/>
        <v>488125</v>
      </c>
      <c r="K14" s="490">
        <f>K15+K19+K24+K28+K43</f>
        <v>363545</v>
      </c>
      <c r="L14" s="503">
        <f t="shared" si="3"/>
        <v>851670</v>
      </c>
      <c r="M14" s="1022">
        <f>M15+M19+M24+M28+M43</f>
        <v>102588</v>
      </c>
      <c r="N14" s="171"/>
      <c r="O14" s="243">
        <f>O15+O19+O24+O28</f>
        <v>46350</v>
      </c>
      <c r="P14" s="148">
        <f>P15+P19+P24+P28</f>
        <v>356155</v>
      </c>
      <c r="Q14" s="674">
        <f>SUM(O14:P14)</f>
        <v>402505</v>
      </c>
      <c r="R14" s="495">
        <f>R15+R19+R24+R28+R43</f>
        <v>214590</v>
      </c>
      <c r="S14" s="679">
        <f t="shared" si="4"/>
        <v>617095</v>
      </c>
      <c r="T14" s="1022"/>
      <c r="U14" s="246"/>
      <c r="V14" s="483">
        <f t="shared" si="1"/>
        <v>890630</v>
      </c>
      <c r="W14" s="494">
        <f t="shared" si="6"/>
        <v>578135</v>
      </c>
      <c r="X14" s="681">
        <f t="shared" si="5"/>
        <v>1468765</v>
      </c>
      <c r="Y14" s="19"/>
      <c r="Z14" s="19"/>
      <c r="AA14" s="19"/>
      <c r="AB14" s="19"/>
    </row>
    <row r="15" spans="2:28" ht="12.75">
      <c r="B15" s="32">
        <f t="shared" si="2"/>
        <v>7</v>
      </c>
      <c r="C15" s="60"/>
      <c r="D15" s="63" t="s">
        <v>6</v>
      </c>
      <c r="E15" s="281" t="s">
        <v>130</v>
      </c>
      <c r="F15" s="291"/>
      <c r="G15" s="292"/>
      <c r="H15" s="293">
        <v>4530</v>
      </c>
      <c r="I15" s="292">
        <f>I16</f>
        <v>50000</v>
      </c>
      <c r="J15" s="292">
        <f t="shared" si="0"/>
        <v>54530</v>
      </c>
      <c r="K15" s="292"/>
      <c r="L15" s="439">
        <f t="shared" si="3"/>
        <v>54530</v>
      </c>
      <c r="M15" s="1020">
        <v>12005</v>
      </c>
      <c r="N15" s="155"/>
      <c r="O15" s="297"/>
      <c r="P15" s="298">
        <f>P18</f>
        <v>993</v>
      </c>
      <c r="Q15" s="298">
        <f aca="true" t="shared" si="7" ref="Q15:Q43">SUM(O15:P15)</f>
        <v>993</v>
      </c>
      <c r="R15" s="298"/>
      <c r="S15" s="491">
        <f t="shared" si="4"/>
        <v>993</v>
      </c>
      <c r="T15" s="1020"/>
      <c r="U15" s="307"/>
      <c r="V15" s="803">
        <f t="shared" si="1"/>
        <v>55523</v>
      </c>
      <c r="W15" s="806">
        <f t="shared" si="6"/>
        <v>0</v>
      </c>
      <c r="X15" s="800">
        <f t="shared" si="5"/>
        <v>55523</v>
      </c>
      <c r="Y15" s="19"/>
      <c r="Z15" s="19"/>
      <c r="AA15" s="19"/>
      <c r="AB15" s="19"/>
    </row>
    <row r="16" spans="2:28" s="594" customFormat="1" ht="12.75">
      <c r="B16" s="513">
        <f t="shared" si="2"/>
        <v>8</v>
      </c>
      <c r="C16" s="514"/>
      <c r="D16" s="742"/>
      <c r="E16" s="755" t="s">
        <v>230</v>
      </c>
      <c r="F16" s="515"/>
      <c r="G16" s="516"/>
      <c r="H16" s="717"/>
      <c r="I16" s="516">
        <v>50000</v>
      </c>
      <c r="J16" s="528">
        <f t="shared" si="0"/>
        <v>50000</v>
      </c>
      <c r="K16" s="528"/>
      <c r="L16" s="529">
        <f t="shared" si="3"/>
        <v>50000</v>
      </c>
      <c r="M16" s="1020"/>
      <c r="N16" s="590"/>
      <c r="O16" s="533"/>
      <c r="P16" s="528"/>
      <c r="Q16" s="528">
        <f t="shared" si="7"/>
        <v>0</v>
      </c>
      <c r="R16" s="528"/>
      <c r="S16" s="529">
        <f t="shared" si="4"/>
        <v>0</v>
      </c>
      <c r="T16" s="1020"/>
      <c r="U16" s="590"/>
      <c r="V16" s="802">
        <f t="shared" si="1"/>
        <v>50000</v>
      </c>
      <c r="W16" s="805">
        <f t="shared" si="6"/>
        <v>0</v>
      </c>
      <c r="X16" s="799">
        <f t="shared" si="5"/>
        <v>50000</v>
      </c>
      <c r="Y16" s="19"/>
      <c r="Z16" s="19"/>
      <c r="AA16" s="19"/>
      <c r="AB16" s="19"/>
    </row>
    <row r="17" spans="2:28" s="594" customFormat="1" ht="12.75">
      <c r="B17" s="513">
        <f t="shared" si="2"/>
        <v>9</v>
      </c>
      <c r="C17" s="514"/>
      <c r="D17" s="742"/>
      <c r="E17" s="755" t="s">
        <v>393</v>
      </c>
      <c r="F17" s="515"/>
      <c r="G17" s="516"/>
      <c r="H17" s="717">
        <v>4530</v>
      </c>
      <c r="I17" s="516"/>
      <c r="J17" s="528">
        <f t="shared" si="0"/>
        <v>4530</v>
      </c>
      <c r="K17" s="528"/>
      <c r="L17" s="529">
        <f t="shared" si="3"/>
        <v>4530</v>
      </c>
      <c r="M17" s="1020">
        <v>4530</v>
      </c>
      <c r="N17" s="590"/>
      <c r="O17" s="533"/>
      <c r="P17" s="516"/>
      <c r="Q17" s="528"/>
      <c r="R17" s="528"/>
      <c r="S17" s="529">
        <f t="shared" si="4"/>
        <v>0</v>
      </c>
      <c r="T17" s="1020"/>
      <c r="U17" s="590"/>
      <c r="V17" s="802">
        <f t="shared" si="1"/>
        <v>4530</v>
      </c>
      <c r="W17" s="805">
        <f t="shared" si="6"/>
        <v>0</v>
      </c>
      <c r="X17" s="799">
        <f t="shared" si="5"/>
        <v>4530</v>
      </c>
      <c r="Y17" s="19"/>
      <c r="Z17" s="19"/>
      <c r="AA17" s="19"/>
      <c r="AB17" s="19"/>
    </row>
    <row r="18" spans="2:28" s="594" customFormat="1" ht="12.75">
      <c r="B18" s="513">
        <f t="shared" si="2"/>
        <v>10</v>
      </c>
      <c r="C18" s="514"/>
      <c r="D18" s="742"/>
      <c r="E18" s="786" t="s">
        <v>352</v>
      </c>
      <c r="F18" s="515"/>
      <c r="G18" s="516"/>
      <c r="H18" s="717"/>
      <c r="I18" s="516"/>
      <c r="J18" s="528">
        <f t="shared" si="0"/>
        <v>0</v>
      </c>
      <c r="K18" s="528"/>
      <c r="L18" s="529">
        <f t="shared" si="3"/>
        <v>0</v>
      </c>
      <c r="M18" s="1020"/>
      <c r="N18" s="590"/>
      <c r="O18" s="596"/>
      <c r="P18" s="516">
        <v>993</v>
      </c>
      <c r="Q18" s="528">
        <f t="shared" si="7"/>
        <v>993</v>
      </c>
      <c r="R18" s="528"/>
      <c r="S18" s="529">
        <f t="shared" si="4"/>
        <v>993</v>
      </c>
      <c r="T18" s="1020"/>
      <c r="U18" s="590"/>
      <c r="V18" s="802">
        <f aca="true" t="shared" si="8" ref="V18:V35">J18+Q18</f>
        <v>993</v>
      </c>
      <c r="W18" s="805">
        <f t="shared" si="6"/>
        <v>0</v>
      </c>
      <c r="X18" s="799">
        <f t="shared" si="5"/>
        <v>993</v>
      </c>
      <c r="Y18" s="19"/>
      <c r="Z18" s="19"/>
      <c r="AA18" s="19"/>
      <c r="AB18" s="19"/>
    </row>
    <row r="19" spans="2:28" ht="12.75">
      <c r="B19" s="32">
        <f t="shared" si="2"/>
        <v>11</v>
      </c>
      <c r="C19" s="60"/>
      <c r="D19" s="59" t="s">
        <v>7</v>
      </c>
      <c r="E19" s="285" t="s">
        <v>131</v>
      </c>
      <c r="F19" s="294"/>
      <c r="G19" s="295"/>
      <c r="H19" s="296">
        <v>1205</v>
      </c>
      <c r="I19" s="295">
        <f>I20+I21+I23</f>
        <v>127330</v>
      </c>
      <c r="J19" s="292">
        <f t="shared" si="0"/>
        <v>128535</v>
      </c>
      <c r="K19" s="292"/>
      <c r="L19" s="439">
        <f t="shared" si="3"/>
        <v>128535</v>
      </c>
      <c r="M19" s="1020">
        <v>2787</v>
      </c>
      <c r="N19" s="155"/>
      <c r="O19" s="314"/>
      <c r="P19" s="295"/>
      <c r="Q19" s="797">
        <f t="shared" si="7"/>
        <v>0</v>
      </c>
      <c r="R19" s="797"/>
      <c r="S19" s="796">
        <f t="shared" si="4"/>
        <v>0</v>
      </c>
      <c r="T19" s="1020"/>
      <c r="U19" s="307"/>
      <c r="V19" s="803">
        <f t="shared" si="8"/>
        <v>128535</v>
      </c>
      <c r="W19" s="806">
        <f t="shared" si="6"/>
        <v>0</v>
      </c>
      <c r="X19" s="800">
        <f t="shared" si="5"/>
        <v>128535</v>
      </c>
      <c r="Y19" s="19"/>
      <c r="Z19" s="19"/>
      <c r="AA19" s="19"/>
      <c r="AB19" s="19"/>
    </row>
    <row r="20" spans="2:28" s="594" customFormat="1" ht="12.75">
      <c r="B20" s="513">
        <f t="shared" si="2"/>
        <v>12</v>
      </c>
      <c r="C20" s="514"/>
      <c r="D20" s="742"/>
      <c r="E20" s="755" t="s">
        <v>230</v>
      </c>
      <c r="F20" s="515"/>
      <c r="G20" s="516"/>
      <c r="H20" s="717"/>
      <c r="I20" s="516">
        <v>120000</v>
      </c>
      <c r="J20" s="528">
        <f t="shared" si="0"/>
        <v>120000</v>
      </c>
      <c r="K20" s="528"/>
      <c r="L20" s="529">
        <f t="shared" si="3"/>
        <v>120000</v>
      </c>
      <c r="M20" s="1020"/>
      <c r="N20" s="590"/>
      <c r="O20" s="530"/>
      <c r="P20" s="531"/>
      <c r="Q20" s="531">
        <f t="shared" si="7"/>
        <v>0</v>
      </c>
      <c r="R20" s="531"/>
      <c r="S20" s="773">
        <f t="shared" si="4"/>
        <v>0</v>
      </c>
      <c r="T20" s="1020"/>
      <c r="U20" s="590"/>
      <c r="V20" s="802">
        <f t="shared" si="8"/>
        <v>120000</v>
      </c>
      <c r="W20" s="805">
        <f t="shared" si="6"/>
        <v>0</v>
      </c>
      <c r="X20" s="799">
        <f t="shared" si="5"/>
        <v>120000</v>
      </c>
      <c r="Y20" s="19"/>
      <c r="Z20" s="19"/>
      <c r="AA20" s="19"/>
      <c r="AB20" s="19"/>
    </row>
    <row r="21" spans="2:28" s="594" customFormat="1" ht="12.75">
      <c r="B21" s="513">
        <f t="shared" si="2"/>
        <v>13</v>
      </c>
      <c r="C21" s="514"/>
      <c r="D21" s="742"/>
      <c r="E21" s="755" t="s">
        <v>317</v>
      </c>
      <c r="F21" s="515"/>
      <c r="G21" s="516"/>
      <c r="H21" s="717"/>
      <c r="I21" s="516">
        <v>2500</v>
      </c>
      <c r="J21" s="528">
        <f t="shared" si="0"/>
        <v>2500</v>
      </c>
      <c r="K21" s="528"/>
      <c r="L21" s="529">
        <f t="shared" si="3"/>
        <v>2500</v>
      </c>
      <c r="M21" s="1020"/>
      <c r="N21" s="590"/>
      <c r="O21" s="530"/>
      <c r="P21" s="531"/>
      <c r="Q21" s="531">
        <f t="shared" si="7"/>
        <v>0</v>
      </c>
      <c r="R21" s="531"/>
      <c r="S21" s="773">
        <f t="shared" si="4"/>
        <v>0</v>
      </c>
      <c r="T21" s="1020"/>
      <c r="U21" s="590"/>
      <c r="V21" s="802">
        <f t="shared" si="8"/>
        <v>2500</v>
      </c>
      <c r="W21" s="805">
        <f t="shared" si="6"/>
        <v>0</v>
      </c>
      <c r="X21" s="799">
        <f t="shared" si="5"/>
        <v>2500</v>
      </c>
      <c r="Y21" s="19"/>
      <c r="Z21" s="19"/>
      <c r="AA21" s="19"/>
      <c r="AB21" s="19"/>
    </row>
    <row r="22" spans="2:28" s="594" customFormat="1" ht="12.75">
      <c r="B22" s="513">
        <f t="shared" si="2"/>
        <v>14</v>
      </c>
      <c r="C22" s="514"/>
      <c r="D22" s="742"/>
      <c r="E22" s="755" t="s">
        <v>393</v>
      </c>
      <c r="F22" s="515"/>
      <c r="G22" s="516"/>
      <c r="H22" s="717">
        <v>1205</v>
      </c>
      <c r="I22" s="516"/>
      <c r="J22" s="528">
        <f t="shared" si="0"/>
        <v>1205</v>
      </c>
      <c r="K22" s="528"/>
      <c r="L22" s="529">
        <f t="shared" si="3"/>
        <v>1205</v>
      </c>
      <c r="M22" s="1020"/>
      <c r="N22" s="590"/>
      <c r="O22" s="530"/>
      <c r="P22" s="531"/>
      <c r="Q22" s="531"/>
      <c r="R22" s="531"/>
      <c r="S22" s="773">
        <f t="shared" si="4"/>
        <v>0</v>
      </c>
      <c r="T22" s="1020"/>
      <c r="U22" s="590"/>
      <c r="V22" s="802">
        <f t="shared" si="8"/>
        <v>1205</v>
      </c>
      <c r="W22" s="805">
        <f t="shared" si="6"/>
        <v>0</v>
      </c>
      <c r="X22" s="799">
        <f t="shared" si="5"/>
        <v>1205</v>
      </c>
      <c r="Y22" s="19"/>
      <c r="Z22" s="19"/>
      <c r="AA22" s="19"/>
      <c r="AB22" s="19"/>
    </row>
    <row r="23" spans="2:28" s="594" customFormat="1" ht="12.75">
      <c r="B23" s="513">
        <f t="shared" si="2"/>
        <v>15</v>
      </c>
      <c r="C23" s="514"/>
      <c r="D23" s="742"/>
      <c r="E23" s="786" t="s">
        <v>352</v>
      </c>
      <c r="F23" s="515"/>
      <c r="G23" s="516"/>
      <c r="H23" s="717"/>
      <c r="I23" s="516">
        <f>3330+1500</f>
        <v>4830</v>
      </c>
      <c r="J23" s="528">
        <f t="shared" si="0"/>
        <v>4830</v>
      </c>
      <c r="K23" s="528"/>
      <c r="L23" s="529">
        <f t="shared" si="3"/>
        <v>4830</v>
      </c>
      <c r="M23" s="1020"/>
      <c r="N23" s="590"/>
      <c r="O23" s="530"/>
      <c r="P23" s="531"/>
      <c r="Q23" s="531"/>
      <c r="R23" s="531"/>
      <c r="S23" s="773">
        <f t="shared" si="4"/>
        <v>0</v>
      </c>
      <c r="T23" s="1020"/>
      <c r="U23" s="590"/>
      <c r="V23" s="802">
        <f t="shared" si="8"/>
        <v>4830</v>
      </c>
      <c r="W23" s="805">
        <f t="shared" si="6"/>
        <v>0</v>
      </c>
      <c r="X23" s="799">
        <f t="shared" si="5"/>
        <v>4830</v>
      </c>
      <c r="Y23" s="19"/>
      <c r="Z23" s="19"/>
      <c r="AA23" s="19"/>
      <c r="AB23" s="19"/>
    </row>
    <row r="24" spans="2:28" ht="12.75">
      <c r="B24" s="32">
        <f t="shared" si="2"/>
        <v>16</v>
      </c>
      <c r="C24" s="60"/>
      <c r="D24" s="63" t="s">
        <v>8</v>
      </c>
      <c r="E24" s="281" t="s">
        <v>82</v>
      </c>
      <c r="F24" s="291"/>
      <c r="G24" s="292"/>
      <c r="H24" s="293">
        <f>SUM(H25:H27)</f>
        <v>132270</v>
      </c>
      <c r="I24" s="293"/>
      <c r="J24" s="292">
        <f t="shared" si="0"/>
        <v>132270</v>
      </c>
      <c r="K24" s="292"/>
      <c r="L24" s="439">
        <f t="shared" si="3"/>
        <v>132270</v>
      </c>
      <c r="M24" s="1020">
        <v>26312</v>
      </c>
      <c r="N24" s="155"/>
      <c r="O24" s="297"/>
      <c r="P24" s="293"/>
      <c r="Q24" s="298">
        <f t="shared" si="7"/>
        <v>0</v>
      </c>
      <c r="R24" s="298"/>
      <c r="S24" s="491">
        <f t="shared" si="4"/>
        <v>0</v>
      </c>
      <c r="T24" s="1020"/>
      <c r="U24" s="307"/>
      <c r="V24" s="803">
        <f t="shared" si="8"/>
        <v>132270</v>
      </c>
      <c r="W24" s="806">
        <f t="shared" si="6"/>
        <v>0</v>
      </c>
      <c r="X24" s="800">
        <f t="shared" si="5"/>
        <v>132270</v>
      </c>
      <c r="Y24" s="19"/>
      <c r="Z24" s="19"/>
      <c r="AA24" s="19"/>
      <c r="AB24" s="19"/>
    </row>
    <row r="25" spans="2:28" s="594" customFormat="1" ht="12.75">
      <c r="B25" s="513">
        <f t="shared" si="2"/>
        <v>17</v>
      </c>
      <c r="C25" s="514"/>
      <c r="D25" s="742"/>
      <c r="E25" s="755" t="s">
        <v>230</v>
      </c>
      <c r="F25" s="515"/>
      <c r="G25" s="516"/>
      <c r="H25" s="717"/>
      <c r="I25" s="516"/>
      <c r="J25" s="528">
        <f t="shared" si="0"/>
        <v>0</v>
      </c>
      <c r="K25" s="528"/>
      <c r="L25" s="529">
        <f t="shared" si="3"/>
        <v>0</v>
      </c>
      <c r="M25" s="1020"/>
      <c r="N25" s="590"/>
      <c r="O25" s="530"/>
      <c r="P25" s="531"/>
      <c r="Q25" s="531">
        <f t="shared" si="7"/>
        <v>0</v>
      </c>
      <c r="R25" s="531"/>
      <c r="S25" s="773">
        <f t="shared" si="4"/>
        <v>0</v>
      </c>
      <c r="T25" s="1020"/>
      <c r="U25" s="590"/>
      <c r="V25" s="802">
        <f t="shared" si="8"/>
        <v>0</v>
      </c>
      <c r="W25" s="805">
        <f t="shared" si="6"/>
        <v>0</v>
      </c>
      <c r="X25" s="799">
        <f t="shared" si="5"/>
        <v>0</v>
      </c>
      <c r="Y25" s="19"/>
      <c r="Z25" s="19"/>
      <c r="AA25" s="19"/>
      <c r="AB25" s="19"/>
    </row>
    <row r="26" spans="2:28" s="594" customFormat="1" ht="12.75">
      <c r="B26" s="513">
        <f t="shared" si="2"/>
        <v>18</v>
      </c>
      <c r="C26" s="514"/>
      <c r="D26" s="742"/>
      <c r="E26" s="755" t="s">
        <v>393</v>
      </c>
      <c r="F26" s="515"/>
      <c r="G26" s="515"/>
      <c r="H26" s="527">
        <v>12270</v>
      </c>
      <c r="I26" s="516"/>
      <c r="J26" s="528">
        <f t="shared" si="0"/>
        <v>12270</v>
      </c>
      <c r="K26" s="528"/>
      <c r="L26" s="529">
        <f t="shared" si="3"/>
        <v>12270</v>
      </c>
      <c r="M26" s="1020">
        <v>5484</v>
      </c>
      <c r="N26" s="590"/>
      <c r="O26" s="530"/>
      <c r="P26" s="531"/>
      <c r="Q26" s="531"/>
      <c r="R26" s="531"/>
      <c r="S26" s="773">
        <f t="shared" si="4"/>
        <v>0</v>
      </c>
      <c r="T26" s="1020"/>
      <c r="U26" s="590"/>
      <c r="V26" s="802">
        <f t="shared" si="8"/>
        <v>12270</v>
      </c>
      <c r="W26" s="804">
        <f t="shared" si="6"/>
        <v>0</v>
      </c>
      <c r="X26" s="798">
        <f t="shared" si="5"/>
        <v>12270</v>
      </c>
      <c r="Y26" s="19"/>
      <c r="Z26" s="19"/>
      <c r="AA26" s="19"/>
      <c r="AB26" s="19"/>
    </row>
    <row r="27" spans="2:28" s="594" customFormat="1" ht="12.75">
      <c r="B27" s="513">
        <f t="shared" si="2"/>
        <v>19</v>
      </c>
      <c r="C27" s="514"/>
      <c r="D27" s="742"/>
      <c r="E27" s="755" t="s">
        <v>394</v>
      </c>
      <c r="F27" s="515"/>
      <c r="G27" s="515"/>
      <c r="H27" s="527">
        <v>120000</v>
      </c>
      <c r="I27" s="516"/>
      <c r="J27" s="528">
        <f t="shared" si="0"/>
        <v>120000</v>
      </c>
      <c r="K27" s="528"/>
      <c r="L27" s="529">
        <f t="shared" si="3"/>
        <v>120000</v>
      </c>
      <c r="M27" s="1020"/>
      <c r="N27" s="590"/>
      <c r="O27" s="530"/>
      <c r="P27" s="531"/>
      <c r="Q27" s="531"/>
      <c r="R27" s="531"/>
      <c r="S27" s="773">
        <f t="shared" si="4"/>
        <v>0</v>
      </c>
      <c r="T27" s="1020"/>
      <c r="U27" s="590"/>
      <c r="V27" s="802">
        <f t="shared" si="8"/>
        <v>120000</v>
      </c>
      <c r="W27" s="804">
        <f t="shared" si="6"/>
        <v>0</v>
      </c>
      <c r="X27" s="798">
        <f t="shared" si="5"/>
        <v>120000</v>
      </c>
      <c r="Y27" s="19"/>
      <c r="Z27" s="19"/>
      <c r="AA27" s="19"/>
      <c r="AB27" s="19"/>
    </row>
    <row r="28" spans="2:28" ht="12.75">
      <c r="B28" s="32">
        <f t="shared" si="2"/>
        <v>20</v>
      </c>
      <c r="C28" s="60"/>
      <c r="D28" s="59" t="s">
        <v>9</v>
      </c>
      <c r="E28" s="285" t="s">
        <v>132</v>
      </c>
      <c r="F28" s="294"/>
      <c r="G28" s="294"/>
      <c r="H28" s="294">
        <f>5110+150000</f>
        <v>155110</v>
      </c>
      <c r="I28" s="295"/>
      <c r="J28" s="292">
        <f t="shared" si="0"/>
        <v>155110</v>
      </c>
      <c r="K28" s="292">
        <f>SUM(K29:K42)</f>
        <v>365575</v>
      </c>
      <c r="L28" s="439">
        <f t="shared" si="3"/>
        <v>520685</v>
      </c>
      <c r="M28" s="1020">
        <v>49829</v>
      </c>
      <c r="N28" s="155"/>
      <c r="O28" s="297">
        <f>SUM(O29:O36)</f>
        <v>46350</v>
      </c>
      <c r="P28" s="298">
        <f>SUM(P29:P42)</f>
        <v>355162</v>
      </c>
      <c r="Q28" s="298">
        <f t="shared" si="7"/>
        <v>401512</v>
      </c>
      <c r="R28" s="298">
        <f>SUM(R29:R42)</f>
        <v>214590</v>
      </c>
      <c r="S28" s="491">
        <f t="shared" si="4"/>
        <v>616102</v>
      </c>
      <c r="T28" s="1020">
        <v>27877</v>
      </c>
      <c r="U28" s="307"/>
      <c r="V28" s="803">
        <f t="shared" si="8"/>
        <v>556622</v>
      </c>
      <c r="W28" s="806">
        <f t="shared" si="6"/>
        <v>580165</v>
      </c>
      <c r="X28" s="800">
        <f t="shared" si="5"/>
        <v>1136787</v>
      </c>
      <c r="Y28" s="19"/>
      <c r="Z28" s="19"/>
      <c r="AA28" s="19"/>
      <c r="AB28" s="19"/>
    </row>
    <row r="29" spans="2:28" s="594" customFormat="1" ht="12.75">
      <c r="B29" s="513">
        <f t="shared" si="2"/>
        <v>21</v>
      </c>
      <c r="C29" s="514"/>
      <c r="D29" s="742"/>
      <c r="E29" s="755" t="s">
        <v>307</v>
      </c>
      <c r="F29" s="515"/>
      <c r="G29" s="516"/>
      <c r="H29" s="717"/>
      <c r="I29" s="516"/>
      <c r="J29" s="528">
        <f t="shared" si="0"/>
        <v>0</v>
      </c>
      <c r="K29" s="528"/>
      <c r="L29" s="529">
        <f t="shared" si="3"/>
        <v>0</v>
      </c>
      <c r="M29" s="1020"/>
      <c r="N29" s="590"/>
      <c r="O29" s="530"/>
      <c r="P29" s="531"/>
      <c r="Q29" s="531">
        <f t="shared" si="7"/>
        <v>0</v>
      </c>
      <c r="R29" s="531"/>
      <c r="S29" s="773">
        <f t="shared" si="4"/>
        <v>0</v>
      </c>
      <c r="T29" s="1020"/>
      <c r="U29" s="590"/>
      <c r="V29" s="802">
        <f t="shared" si="8"/>
        <v>0</v>
      </c>
      <c r="W29" s="805">
        <f t="shared" si="6"/>
        <v>0</v>
      </c>
      <c r="X29" s="799">
        <f t="shared" si="5"/>
        <v>0</v>
      </c>
      <c r="Y29" s="19"/>
      <c r="Z29" s="19"/>
      <c r="AA29" s="19"/>
      <c r="AB29" s="19"/>
    </row>
    <row r="30" spans="2:28" s="594" customFormat="1" ht="12.75">
      <c r="B30" s="513">
        <f t="shared" si="2"/>
        <v>22</v>
      </c>
      <c r="C30" s="514"/>
      <c r="D30" s="742"/>
      <c r="E30" s="755" t="s">
        <v>279</v>
      </c>
      <c r="F30" s="787"/>
      <c r="G30" s="788"/>
      <c r="H30" s="789"/>
      <c r="I30" s="516"/>
      <c r="J30" s="528">
        <f t="shared" si="0"/>
        <v>0</v>
      </c>
      <c r="K30" s="528"/>
      <c r="L30" s="529">
        <f t="shared" si="3"/>
        <v>0</v>
      </c>
      <c r="M30" s="1020"/>
      <c r="N30" s="590"/>
      <c r="O30" s="530"/>
      <c r="P30" s="531"/>
      <c r="Q30" s="531">
        <f>SUM(O30:P30)</f>
        <v>0</v>
      </c>
      <c r="R30" s="531"/>
      <c r="S30" s="773">
        <f t="shared" si="4"/>
        <v>0</v>
      </c>
      <c r="T30" s="1020"/>
      <c r="U30" s="590"/>
      <c r="V30" s="802">
        <f t="shared" si="8"/>
        <v>0</v>
      </c>
      <c r="W30" s="805">
        <f t="shared" si="6"/>
        <v>0</v>
      </c>
      <c r="X30" s="799">
        <f t="shared" si="5"/>
        <v>0</v>
      </c>
      <c r="Y30" s="19"/>
      <c r="Z30" s="19"/>
      <c r="AA30" s="19"/>
      <c r="AB30" s="19"/>
    </row>
    <row r="31" spans="2:28" s="594" customFormat="1" ht="12.75">
      <c r="B31" s="513">
        <f t="shared" si="2"/>
        <v>23</v>
      </c>
      <c r="C31" s="514"/>
      <c r="D31" s="742"/>
      <c r="E31" s="755" t="s">
        <v>395</v>
      </c>
      <c r="F31" s="787"/>
      <c r="G31" s="788"/>
      <c r="H31" s="790">
        <v>150000</v>
      </c>
      <c r="I31" s="516"/>
      <c r="J31" s="528">
        <f t="shared" si="0"/>
        <v>150000</v>
      </c>
      <c r="K31" s="528">
        <v>66320</v>
      </c>
      <c r="L31" s="529">
        <f t="shared" si="3"/>
        <v>216320</v>
      </c>
      <c r="M31" s="1020">
        <v>49536</v>
      </c>
      <c r="N31" s="590"/>
      <c r="O31" s="530"/>
      <c r="P31" s="531"/>
      <c r="Q31" s="531"/>
      <c r="R31" s="531"/>
      <c r="S31" s="773">
        <f t="shared" si="4"/>
        <v>0</v>
      </c>
      <c r="T31" s="1020"/>
      <c r="U31" s="590"/>
      <c r="V31" s="802">
        <f t="shared" si="8"/>
        <v>150000</v>
      </c>
      <c r="W31" s="805">
        <f t="shared" si="6"/>
        <v>66320</v>
      </c>
      <c r="X31" s="799">
        <f t="shared" si="5"/>
        <v>216320</v>
      </c>
      <c r="Y31" s="19"/>
      <c r="Z31" s="19"/>
      <c r="AA31" s="19"/>
      <c r="AB31" s="19"/>
    </row>
    <row r="32" spans="2:28" s="594" customFormat="1" ht="12.75">
      <c r="B32" s="513">
        <f t="shared" si="2"/>
        <v>24</v>
      </c>
      <c r="C32" s="514"/>
      <c r="D32" s="742"/>
      <c r="E32" s="755" t="s">
        <v>396</v>
      </c>
      <c r="F32" s="787"/>
      <c r="G32" s="788"/>
      <c r="H32" s="790">
        <v>5110</v>
      </c>
      <c r="I32" s="516"/>
      <c r="J32" s="528">
        <f t="shared" si="0"/>
        <v>5110</v>
      </c>
      <c r="K32" s="528">
        <v>-1805</v>
      </c>
      <c r="L32" s="529">
        <f t="shared" si="3"/>
        <v>3305</v>
      </c>
      <c r="M32" s="1020">
        <v>293</v>
      </c>
      <c r="N32" s="590"/>
      <c r="O32" s="530"/>
      <c r="P32" s="531"/>
      <c r="Q32" s="531"/>
      <c r="R32" s="531"/>
      <c r="S32" s="773">
        <f t="shared" si="4"/>
        <v>0</v>
      </c>
      <c r="T32" s="1020"/>
      <c r="U32" s="590"/>
      <c r="V32" s="802">
        <f t="shared" si="8"/>
        <v>5110</v>
      </c>
      <c r="W32" s="805">
        <f t="shared" si="6"/>
        <v>-1805</v>
      </c>
      <c r="X32" s="799">
        <f t="shared" si="5"/>
        <v>3305</v>
      </c>
      <c r="Y32" s="19"/>
      <c r="Z32" s="19"/>
      <c r="AA32" s="19"/>
      <c r="AB32" s="19"/>
    </row>
    <row r="33" spans="2:28" s="594" customFormat="1" ht="12.75">
      <c r="B33" s="513">
        <f t="shared" si="2"/>
        <v>25</v>
      </c>
      <c r="C33" s="514"/>
      <c r="D33" s="742"/>
      <c r="E33" s="755" t="s">
        <v>438</v>
      </c>
      <c r="F33" s="787"/>
      <c r="G33" s="788"/>
      <c r="H33" s="790"/>
      <c r="I33" s="516"/>
      <c r="J33" s="528">
        <f t="shared" si="0"/>
        <v>0</v>
      </c>
      <c r="K33" s="528">
        <v>1805</v>
      </c>
      <c r="L33" s="529">
        <f t="shared" si="3"/>
        <v>1805</v>
      </c>
      <c r="M33" s="1020"/>
      <c r="N33" s="590"/>
      <c r="O33" s="530"/>
      <c r="P33" s="531"/>
      <c r="Q33" s="531"/>
      <c r="R33" s="531"/>
      <c r="S33" s="773"/>
      <c r="T33" s="1020"/>
      <c r="U33" s="590"/>
      <c r="V33" s="802">
        <f t="shared" si="8"/>
        <v>0</v>
      </c>
      <c r="W33" s="805">
        <f t="shared" si="6"/>
        <v>1805</v>
      </c>
      <c r="X33" s="799">
        <f t="shared" si="5"/>
        <v>1805</v>
      </c>
      <c r="Y33" s="19"/>
      <c r="Z33" s="19"/>
      <c r="AA33" s="19"/>
      <c r="AB33" s="19"/>
    </row>
    <row r="34" spans="2:28" s="594" customFormat="1" ht="12.75">
      <c r="B34" s="513">
        <f t="shared" si="2"/>
        <v>26</v>
      </c>
      <c r="C34" s="514"/>
      <c r="D34" s="742"/>
      <c r="E34" s="755" t="s">
        <v>439</v>
      </c>
      <c r="F34" s="787"/>
      <c r="G34" s="788"/>
      <c r="H34" s="790"/>
      <c r="I34" s="516"/>
      <c r="J34" s="528"/>
      <c r="K34" s="528">
        <v>192250</v>
      </c>
      <c r="L34" s="529">
        <f t="shared" si="3"/>
        <v>192250</v>
      </c>
      <c r="M34" s="1020"/>
      <c r="N34" s="590"/>
      <c r="O34" s="530"/>
      <c r="P34" s="531"/>
      <c r="Q34" s="531"/>
      <c r="R34" s="531"/>
      <c r="S34" s="773"/>
      <c r="T34" s="1020"/>
      <c r="U34" s="590"/>
      <c r="V34" s="802">
        <f t="shared" si="8"/>
        <v>0</v>
      </c>
      <c r="W34" s="805">
        <f t="shared" si="6"/>
        <v>192250</v>
      </c>
      <c r="X34" s="799">
        <f t="shared" si="5"/>
        <v>192250</v>
      </c>
      <c r="Y34" s="19"/>
      <c r="Z34" s="19"/>
      <c r="AA34" s="19"/>
      <c r="AB34" s="19"/>
    </row>
    <row r="35" spans="2:28" s="594" customFormat="1" ht="12.75">
      <c r="B35" s="513">
        <f t="shared" si="2"/>
        <v>27</v>
      </c>
      <c r="C35" s="514"/>
      <c r="D35" s="742"/>
      <c r="E35" s="755" t="s">
        <v>440</v>
      </c>
      <c r="F35" s="787"/>
      <c r="G35" s="788"/>
      <c r="H35" s="790"/>
      <c r="I35" s="516"/>
      <c r="J35" s="528"/>
      <c r="K35" s="528">
        <v>107005</v>
      </c>
      <c r="L35" s="529">
        <f t="shared" si="3"/>
        <v>107005</v>
      </c>
      <c r="M35" s="1020"/>
      <c r="N35" s="590"/>
      <c r="O35" s="530"/>
      <c r="P35" s="531"/>
      <c r="Q35" s="531"/>
      <c r="R35" s="531"/>
      <c r="S35" s="773"/>
      <c r="T35" s="1020"/>
      <c r="U35" s="590"/>
      <c r="V35" s="802">
        <f t="shared" si="8"/>
        <v>0</v>
      </c>
      <c r="W35" s="805">
        <f t="shared" si="6"/>
        <v>107005</v>
      </c>
      <c r="X35" s="799">
        <f t="shared" si="5"/>
        <v>107005</v>
      </c>
      <c r="Y35" s="19"/>
      <c r="Z35" s="19"/>
      <c r="AA35" s="19"/>
      <c r="AB35" s="19"/>
    </row>
    <row r="36" spans="2:28" s="594" customFormat="1" ht="12.75">
      <c r="B36" s="513">
        <f t="shared" si="2"/>
        <v>28</v>
      </c>
      <c r="C36" s="514"/>
      <c r="D36" s="742"/>
      <c r="E36" s="786" t="s">
        <v>375</v>
      </c>
      <c r="F36" s="515"/>
      <c r="G36" s="516"/>
      <c r="H36" s="717"/>
      <c r="I36" s="516"/>
      <c r="J36" s="528">
        <f t="shared" si="0"/>
        <v>0</v>
      </c>
      <c r="K36" s="528"/>
      <c r="L36" s="529">
        <f t="shared" si="3"/>
        <v>0</v>
      </c>
      <c r="M36" s="1020"/>
      <c r="N36" s="590"/>
      <c r="O36" s="530">
        <v>46350</v>
      </c>
      <c r="P36" s="531">
        <v>140162</v>
      </c>
      <c r="Q36" s="531">
        <f t="shared" si="7"/>
        <v>186512</v>
      </c>
      <c r="R36" s="531">
        <v>-31000</v>
      </c>
      <c r="S36" s="773">
        <f t="shared" si="4"/>
        <v>155512</v>
      </c>
      <c r="T36" s="1020"/>
      <c r="U36" s="590"/>
      <c r="V36" s="802">
        <f aca="true" t="shared" si="9" ref="V36:V43">J36+Q36</f>
        <v>186512</v>
      </c>
      <c r="W36" s="805">
        <f t="shared" si="6"/>
        <v>-31000</v>
      </c>
      <c r="X36" s="799">
        <f t="shared" si="5"/>
        <v>155512</v>
      </c>
      <c r="Y36" s="19"/>
      <c r="Z36" s="19"/>
      <c r="AA36" s="19"/>
      <c r="AB36" s="19"/>
    </row>
    <row r="37" spans="2:28" s="594" customFormat="1" ht="13.5" customHeight="1">
      <c r="B37" s="513">
        <f t="shared" si="2"/>
        <v>29</v>
      </c>
      <c r="C37" s="514"/>
      <c r="D37" s="742"/>
      <c r="E37" s="786" t="s">
        <v>376</v>
      </c>
      <c r="F37" s="515"/>
      <c r="G37" s="516"/>
      <c r="H37" s="717"/>
      <c r="I37" s="516"/>
      <c r="J37" s="528">
        <f t="shared" si="0"/>
        <v>0</v>
      </c>
      <c r="K37" s="528"/>
      <c r="L37" s="529">
        <f t="shared" si="3"/>
        <v>0</v>
      </c>
      <c r="M37" s="1020"/>
      <c r="N37" s="590"/>
      <c r="O37" s="530"/>
      <c r="P37" s="531">
        <v>126000</v>
      </c>
      <c r="Q37" s="531">
        <f t="shared" si="7"/>
        <v>126000</v>
      </c>
      <c r="R37" s="531"/>
      <c r="S37" s="773">
        <f t="shared" si="4"/>
        <v>126000</v>
      </c>
      <c r="T37" s="1020"/>
      <c r="U37" s="590"/>
      <c r="V37" s="802">
        <f t="shared" si="9"/>
        <v>126000</v>
      </c>
      <c r="W37" s="805">
        <f t="shared" si="6"/>
        <v>0</v>
      </c>
      <c r="X37" s="799">
        <f t="shared" si="5"/>
        <v>126000</v>
      </c>
      <c r="Y37" s="19"/>
      <c r="Z37" s="19"/>
      <c r="AA37" s="19"/>
      <c r="AB37" s="19"/>
    </row>
    <row r="38" spans="2:28" s="594" customFormat="1" ht="13.5" customHeight="1">
      <c r="B38" s="513">
        <f t="shared" si="2"/>
        <v>30</v>
      </c>
      <c r="C38" s="514"/>
      <c r="D38" s="742"/>
      <c r="E38" s="791" t="s">
        <v>435</v>
      </c>
      <c r="F38" s="515"/>
      <c r="G38" s="516"/>
      <c r="H38" s="717"/>
      <c r="I38" s="516"/>
      <c r="J38" s="528">
        <f t="shared" si="0"/>
        <v>0</v>
      </c>
      <c r="K38" s="528"/>
      <c r="L38" s="529">
        <f t="shared" si="3"/>
        <v>0</v>
      </c>
      <c r="M38" s="1020"/>
      <c r="N38" s="590"/>
      <c r="O38" s="530"/>
      <c r="P38" s="531"/>
      <c r="Q38" s="531">
        <f t="shared" si="7"/>
        <v>0</v>
      </c>
      <c r="R38" s="531">
        <f>49118*5</f>
        <v>245590</v>
      </c>
      <c r="S38" s="773">
        <f t="shared" si="4"/>
        <v>245590</v>
      </c>
      <c r="T38" s="1020"/>
      <c r="U38" s="590"/>
      <c r="V38" s="802"/>
      <c r="W38" s="805">
        <f t="shared" si="6"/>
        <v>245590</v>
      </c>
      <c r="X38" s="799">
        <f t="shared" si="5"/>
        <v>245590</v>
      </c>
      <c r="Y38" s="19"/>
      <c r="Z38" s="19"/>
      <c r="AA38" s="19"/>
      <c r="AB38" s="19"/>
    </row>
    <row r="39" spans="2:28" s="594" customFormat="1" ht="12.75">
      <c r="B39" s="513">
        <f t="shared" si="2"/>
        <v>31</v>
      </c>
      <c r="C39" s="514"/>
      <c r="D39" s="742"/>
      <c r="E39" s="791" t="s">
        <v>358</v>
      </c>
      <c r="F39" s="515"/>
      <c r="G39" s="516"/>
      <c r="H39" s="717"/>
      <c r="I39" s="516"/>
      <c r="J39" s="528">
        <f t="shared" si="0"/>
        <v>0</v>
      </c>
      <c r="K39" s="528"/>
      <c r="L39" s="529">
        <f t="shared" si="3"/>
        <v>0</v>
      </c>
      <c r="M39" s="1020"/>
      <c r="N39" s="590"/>
      <c r="O39" s="530"/>
      <c r="P39" s="531"/>
      <c r="Q39" s="531">
        <f t="shared" si="7"/>
        <v>0</v>
      </c>
      <c r="R39" s="531"/>
      <c r="S39" s="773">
        <f t="shared" si="4"/>
        <v>0</v>
      </c>
      <c r="T39" s="1020"/>
      <c r="U39" s="590"/>
      <c r="V39" s="802">
        <f t="shared" si="9"/>
        <v>0</v>
      </c>
      <c r="W39" s="805">
        <f t="shared" si="6"/>
        <v>0</v>
      </c>
      <c r="X39" s="799">
        <f t="shared" si="5"/>
        <v>0</v>
      </c>
      <c r="Y39" s="19"/>
      <c r="Z39" s="19"/>
      <c r="AA39" s="19"/>
      <c r="AB39" s="19"/>
    </row>
    <row r="40" spans="2:28" s="594" customFormat="1" ht="12.75">
      <c r="B40" s="513">
        <f t="shared" si="2"/>
        <v>32</v>
      </c>
      <c r="C40" s="514"/>
      <c r="D40" s="742"/>
      <c r="E40" s="791" t="s">
        <v>354</v>
      </c>
      <c r="F40" s="515"/>
      <c r="G40" s="516"/>
      <c r="H40" s="717"/>
      <c r="I40" s="516"/>
      <c r="J40" s="528">
        <f t="shared" si="0"/>
        <v>0</v>
      </c>
      <c r="K40" s="528"/>
      <c r="L40" s="529">
        <f t="shared" si="3"/>
        <v>0</v>
      </c>
      <c r="M40" s="1020"/>
      <c r="N40" s="590"/>
      <c r="O40" s="530"/>
      <c r="P40" s="531">
        <v>24000</v>
      </c>
      <c r="Q40" s="531">
        <f t="shared" si="7"/>
        <v>24000</v>
      </c>
      <c r="R40" s="531"/>
      <c r="S40" s="773">
        <f t="shared" si="4"/>
        <v>24000</v>
      </c>
      <c r="T40" s="1020"/>
      <c r="U40" s="590"/>
      <c r="V40" s="801">
        <f t="shared" si="9"/>
        <v>24000</v>
      </c>
      <c r="W40" s="805">
        <f t="shared" si="6"/>
        <v>0</v>
      </c>
      <c r="X40" s="799">
        <f t="shared" si="5"/>
        <v>24000</v>
      </c>
      <c r="Y40" s="19"/>
      <c r="Z40" s="19"/>
      <c r="AA40" s="19"/>
      <c r="AB40" s="19"/>
    </row>
    <row r="41" spans="2:28" s="594" customFormat="1" ht="12.75">
      <c r="B41" s="513">
        <f t="shared" si="2"/>
        <v>33</v>
      </c>
      <c r="C41" s="514"/>
      <c r="D41" s="742"/>
      <c r="E41" s="791" t="s">
        <v>436</v>
      </c>
      <c r="F41" s="515"/>
      <c r="G41" s="516"/>
      <c r="H41" s="717"/>
      <c r="I41" s="516"/>
      <c r="J41" s="528"/>
      <c r="K41" s="528"/>
      <c r="L41" s="529"/>
      <c r="M41" s="1020"/>
      <c r="N41" s="590"/>
      <c r="O41" s="530"/>
      <c r="P41" s="531"/>
      <c r="Q41" s="531"/>
      <c r="R41" s="531"/>
      <c r="S41" s="773">
        <f t="shared" si="4"/>
        <v>0</v>
      </c>
      <c r="T41" s="1020"/>
      <c r="U41" s="590"/>
      <c r="V41" s="801"/>
      <c r="W41" s="805">
        <f t="shared" si="6"/>
        <v>0</v>
      </c>
      <c r="X41" s="799">
        <f t="shared" si="5"/>
        <v>0</v>
      </c>
      <c r="Y41" s="19"/>
      <c r="Z41" s="19"/>
      <c r="AA41" s="19"/>
      <c r="AB41" s="19"/>
    </row>
    <row r="42" spans="2:28" s="594" customFormat="1" ht="12.75">
      <c r="B42" s="513">
        <f t="shared" si="2"/>
        <v>34</v>
      </c>
      <c r="C42" s="514"/>
      <c r="D42" s="742"/>
      <c r="E42" s="791" t="s">
        <v>355</v>
      </c>
      <c r="F42" s="515"/>
      <c r="G42" s="516"/>
      <c r="H42" s="717"/>
      <c r="I42" s="516"/>
      <c r="J42" s="528">
        <f t="shared" si="0"/>
        <v>0</v>
      </c>
      <c r="K42" s="528"/>
      <c r="L42" s="529">
        <f t="shared" si="3"/>
        <v>0</v>
      </c>
      <c r="M42" s="1020"/>
      <c r="N42" s="590"/>
      <c r="O42" s="530"/>
      <c r="P42" s="531">
        <v>65000</v>
      </c>
      <c r="Q42" s="531">
        <f t="shared" si="7"/>
        <v>65000</v>
      </c>
      <c r="R42" s="531"/>
      <c r="S42" s="773">
        <f t="shared" si="4"/>
        <v>65000</v>
      </c>
      <c r="T42" s="1020"/>
      <c r="U42" s="590"/>
      <c r="V42" s="801">
        <f t="shared" si="9"/>
        <v>65000</v>
      </c>
      <c r="W42" s="805">
        <f t="shared" si="6"/>
        <v>0</v>
      </c>
      <c r="X42" s="799">
        <f t="shared" si="5"/>
        <v>65000</v>
      </c>
      <c r="Y42" s="19"/>
      <c r="Z42" s="19"/>
      <c r="AA42" s="19"/>
      <c r="AB42" s="19"/>
    </row>
    <row r="43" spans="2:28" ht="12.75">
      <c r="B43" s="513">
        <f t="shared" si="2"/>
        <v>35</v>
      </c>
      <c r="C43" s="60"/>
      <c r="D43" s="63" t="s">
        <v>10</v>
      </c>
      <c r="E43" s="281" t="s">
        <v>133</v>
      </c>
      <c r="F43" s="291">
        <f>F45</f>
        <v>6650</v>
      </c>
      <c r="G43" s="292">
        <f>G45</f>
        <v>2361</v>
      </c>
      <c r="H43" s="292">
        <f>H44+H45</f>
        <v>8669</v>
      </c>
      <c r="I43" s="292"/>
      <c r="J43" s="292">
        <f t="shared" si="0"/>
        <v>17680</v>
      </c>
      <c r="K43" s="292">
        <f>SUM(K44:K45)</f>
        <v>-2030</v>
      </c>
      <c r="L43" s="439">
        <f t="shared" si="3"/>
        <v>15650</v>
      </c>
      <c r="M43" s="1020">
        <v>11655</v>
      </c>
      <c r="N43" s="155"/>
      <c r="O43" s="297"/>
      <c r="P43" s="298"/>
      <c r="Q43" s="298">
        <f t="shared" si="7"/>
        <v>0</v>
      </c>
      <c r="R43" s="298"/>
      <c r="S43" s="491">
        <f t="shared" si="4"/>
        <v>0</v>
      </c>
      <c r="T43" s="1020"/>
      <c r="U43" s="307"/>
      <c r="V43" s="803">
        <f t="shared" si="9"/>
        <v>17680</v>
      </c>
      <c r="W43" s="806">
        <f t="shared" si="6"/>
        <v>-2030</v>
      </c>
      <c r="X43" s="800">
        <f t="shared" si="5"/>
        <v>15650</v>
      </c>
      <c r="Y43" s="19"/>
      <c r="Z43" s="19"/>
      <c r="AA43" s="19"/>
      <c r="AB43" s="19"/>
    </row>
    <row r="44" spans="2:28" s="594" customFormat="1" ht="12.75">
      <c r="B44" s="513">
        <f t="shared" si="2"/>
        <v>36</v>
      </c>
      <c r="C44" s="514"/>
      <c r="D44" s="742"/>
      <c r="E44" s="755" t="s">
        <v>396</v>
      </c>
      <c r="F44" s="787"/>
      <c r="G44" s="788"/>
      <c r="H44" s="790">
        <v>680</v>
      </c>
      <c r="I44" s="516"/>
      <c r="J44" s="528">
        <f>SUM(F44:I44)</f>
        <v>680</v>
      </c>
      <c r="K44" s="528"/>
      <c r="L44" s="529">
        <f t="shared" si="3"/>
        <v>680</v>
      </c>
      <c r="M44" s="1020"/>
      <c r="N44" s="590"/>
      <c r="O44" s="530"/>
      <c r="P44" s="531"/>
      <c r="Q44" s="531"/>
      <c r="R44" s="531"/>
      <c r="S44" s="773">
        <f t="shared" si="4"/>
        <v>0</v>
      </c>
      <c r="T44" s="1020"/>
      <c r="U44" s="590"/>
      <c r="V44" s="802">
        <f>J44</f>
        <v>680</v>
      </c>
      <c r="W44" s="805">
        <f t="shared" si="6"/>
        <v>0</v>
      </c>
      <c r="X44" s="799">
        <f t="shared" si="5"/>
        <v>680</v>
      </c>
      <c r="Y44" s="19"/>
      <c r="Z44" s="19"/>
      <c r="AA44" s="19"/>
      <c r="AB44" s="19"/>
    </row>
    <row r="45" spans="2:28" s="594" customFormat="1" ht="12.75">
      <c r="B45" s="513">
        <f t="shared" si="2"/>
        <v>37</v>
      </c>
      <c r="C45" s="514"/>
      <c r="D45" s="586"/>
      <c r="E45" s="792" t="s">
        <v>323</v>
      </c>
      <c r="F45" s="722">
        <v>6650</v>
      </c>
      <c r="G45" s="528">
        <v>2361</v>
      </c>
      <c r="H45" s="534">
        <v>7989</v>
      </c>
      <c r="I45" s="528"/>
      <c r="J45" s="528">
        <f t="shared" si="0"/>
        <v>17000</v>
      </c>
      <c r="K45" s="528">
        <v>-2030</v>
      </c>
      <c r="L45" s="529">
        <f t="shared" si="3"/>
        <v>14970</v>
      </c>
      <c r="M45" s="1020"/>
      <c r="N45" s="590"/>
      <c r="O45" s="530"/>
      <c r="P45" s="531"/>
      <c r="Q45" s="531"/>
      <c r="R45" s="531"/>
      <c r="S45" s="773">
        <f t="shared" si="4"/>
        <v>0</v>
      </c>
      <c r="T45" s="1020"/>
      <c r="U45" s="590"/>
      <c r="V45" s="802">
        <f>J45+Q45</f>
        <v>17000</v>
      </c>
      <c r="W45" s="805">
        <f t="shared" si="6"/>
        <v>-2030</v>
      </c>
      <c r="X45" s="799">
        <f t="shared" si="5"/>
        <v>14970</v>
      </c>
      <c r="Y45" s="19"/>
      <c r="Z45" s="19"/>
      <c r="AA45" s="19"/>
      <c r="AB45" s="19"/>
    </row>
    <row r="46" spans="2:28" ht="15">
      <c r="B46" s="32">
        <f t="shared" si="2"/>
        <v>38</v>
      </c>
      <c r="C46" s="37">
        <v>4</v>
      </c>
      <c r="D46" s="38" t="s">
        <v>271</v>
      </c>
      <c r="E46" s="39"/>
      <c r="F46" s="149"/>
      <c r="G46" s="150"/>
      <c r="H46" s="150">
        <f>6000+75</f>
        <v>6075</v>
      </c>
      <c r="I46" s="150"/>
      <c r="J46" s="487">
        <f t="shared" si="0"/>
        <v>6075</v>
      </c>
      <c r="K46" s="490"/>
      <c r="L46" s="503">
        <f t="shared" si="3"/>
        <v>6075</v>
      </c>
      <c r="M46" s="1022">
        <v>140</v>
      </c>
      <c r="N46" s="171"/>
      <c r="O46" s="245"/>
      <c r="P46" s="150">
        <f>P48</f>
        <v>32517</v>
      </c>
      <c r="Q46" s="674">
        <f>SUM(O46:P46)</f>
        <v>32517</v>
      </c>
      <c r="R46" s="495">
        <f>SUM(R47:R48)</f>
        <v>-22516</v>
      </c>
      <c r="S46" s="679">
        <f t="shared" si="4"/>
        <v>10001</v>
      </c>
      <c r="T46" s="1022"/>
      <c r="U46" s="246"/>
      <c r="V46" s="344">
        <f>J46+Q46</f>
        <v>38592</v>
      </c>
      <c r="W46" s="495">
        <f t="shared" si="6"/>
        <v>-22516</v>
      </c>
      <c r="X46" s="679">
        <f t="shared" si="5"/>
        <v>16076</v>
      </c>
      <c r="Y46" s="19"/>
      <c r="Z46" s="19"/>
      <c r="AA46" s="19"/>
      <c r="AB46" s="19"/>
    </row>
    <row r="47" spans="2:28" s="594" customFormat="1" ht="12.75">
      <c r="B47" s="513">
        <f t="shared" si="2"/>
        <v>39</v>
      </c>
      <c r="C47" s="514"/>
      <c r="D47" s="742"/>
      <c r="E47" s="791" t="s">
        <v>351</v>
      </c>
      <c r="F47" s="515"/>
      <c r="G47" s="516"/>
      <c r="H47" s="717">
        <v>2000</v>
      </c>
      <c r="I47" s="516"/>
      <c r="J47" s="528">
        <f t="shared" si="0"/>
        <v>2000</v>
      </c>
      <c r="K47" s="528"/>
      <c r="L47" s="529">
        <f t="shared" si="3"/>
        <v>2000</v>
      </c>
      <c r="M47" s="1020"/>
      <c r="N47" s="590"/>
      <c r="O47" s="533"/>
      <c r="P47" s="528"/>
      <c r="Q47" s="528">
        <f>SUM(O47:P47)</f>
        <v>0</v>
      </c>
      <c r="R47" s="528"/>
      <c r="S47" s="529">
        <f t="shared" si="4"/>
        <v>0</v>
      </c>
      <c r="T47" s="1020"/>
      <c r="U47" s="590"/>
      <c r="V47" s="802">
        <f>J47+Q47</f>
        <v>2000</v>
      </c>
      <c r="W47" s="805">
        <f t="shared" si="6"/>
        <v>0</v>
      </c>
      <c r="X47" s="799">
        <f t="shared" si="5"/>
        <v>2000</v>
      </c>
      <c r="Y47" s="19"/>
      <c r="Z47" s="19"/>
      <c r="AA47" s="19"/>
      <c r="AB47" s="19"/>
    </row>
    <row r="48" spans="2:28" s="594" customFormat="1" ht="13.5" thickBot="1">
      <c r="B48" s="690">
        <f>B47+1</f>
        <v>40</v>
      </c>
      <c r="C48" s="597"/>
      <c r="D48" s="793"/>
      <c r="E48" s="794" t="s">
        <v>352</v>
      </c>
      <c r="F48" s="723"/>
      <c r="G48" s="692"/>
      <c r="H48" s="694">
        <v>140</v>
      </c>
      <c r="I48" s="692"/>
      <c r="J48" s="769">
        <f t="shared" si="0"/>
        <v>140</v>
      </c>
      <c r="K48" s="769"/>
      <c r="L48" s="770">
        <f t="shared" si="3"/>
        <v>140</v>
      </c>
      <c r="M48" s="1020"/>
      <c r="N48" s="590"/>
      <c r="O48" s="795"/>
      <c r="P48" s="692">
        <f>32517</f>
        <v>32517</v>
      </c>
      <c r="Q48" s="692">
        <f>P48</f>
        <v>32517</v>
      </c>
      <c r="R48" s="692">
        <v>-22516</v>
      </c>
      <c r="S48" s="693">
        <f t="shared" si="4"/>
        <v>10001</v>
      </c>
      <c r="T48" s="1020"/>
      <c r="U48" s="590"/>
      <c r="V48" s="802">
        <f>J48+Q48</f>
        <v>32657</v>
      </c>
      <c r="W48" s="805">
        <f t="shared" si="6"/>
        <v>-22516</v>
      </c>
      <c r="X48" s="799">
        <f t="shared" si="5"/>
        <v>10141</v>
      </c>
      <c r="Y48" s="19"/>
      <c r="Z48" s="19"/>
      <c r="AA48" s="19"/>
      <c r="AB48" s="19"/>
    </row>
    <row r="49" spans="10:28" ht="12.75">
      <c r="J49" s="19"/>
      <c r="K49" s="19"/>
      <c r="L49" s="19"/>
      <c r="M49" s="19"/>
      <c r="Q49" s="19"/>
      <c r="R49" s="19"/>
      <c r="S49" s="19"/>
      <c r="T49" s="1030"/>
      <c r="Y49" s="19"/>
      <c r="Z49" s="19"/>
      <c r="AA49" s="19"/>
      <c r="AB49" s="19"/>
    </row>
    <row r="50" ht="12.75">
      <c r="Y50" s="19"/>
    </row>
  </sheetData>
  <sheetProtection/>
  <mergeCells count="24">
    <mergeCell ref="D6:D8"/>
    <mergeCell ref="F7:F8"/>
    <mergeCell ref="G7:G8"/>
    <mergeCell ref="O6:S6"/>
    <mergeCell ref="M7:M8"/>
    <mergeCell ref="J7:J8"/>
    <mergeCell ref="Q7:Q8"/>
    <mergeCell ref="K7:K8"/>
    <mergeCell ref="V4:V8"/>
    <mergeCell ref="H7:H8"/>
    <mergeCell ref="B4:T4"/>
    <mergeCell ref="T7:T8"/>
    <mergeCell ref="C6:C8"/>
    <mergeCell ref="R7:R8"/>
    <mergeCell ref="S7:S8"/>
    <mergeCell ref="W4:W8"/>
    <mergeCell ref="X4:X8"/>
    <mergeCell ref="B5:L5"/>
    <mergeCell ref="E6:L6"/>
    <mergeCell ref="O5:S5"/>
    <mergeCell ref="O7:O8"/>
    <mergeCell ref="I7:I8"/>
    <mergeCell ref="P7:P8"/>
    <mergeCell ref="L7:L8"/>
  </mergeCells>
  <printOptions/>
  <pageMargins left="0.16" right="0.2" top="0.47" bottom="0.48" header="0.39" footer="0.36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4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3.00390625" style="6" customWidth="1"/>
    <col min="3" max="3" width="2.140625" style="5" customWidth="1"/>
    <col min="4" max="4" width="2.00390625" style="0" customWidth="1"/>
    <col min="5" max="5" width="36.7109375" style="0" customWidth="1"/>
    <col min="6" max="6" width="3.8515625" style="0" customWidth="1"/>
    <col min="7" max="7" width="4.00390625" style="0" customWidth="1"/>
    <col min="8" max="8" width="8.421875" style="0" customWidth="1"/>
    <col min="9" max="9" width="7.57421875" style="0" customWidth="1"/>
    <col min="10" max="10" width="10.00390625" style="0" customWidth="1"/>
    <col min="11" max="11" width="9.28125" style="0" customWidth="1"/>
    <col min="12" max="12" width="9.7109375" style="0" customWidth="1"/>
    <col min="13" max="13" width="7.140625" style="0" customWidth="1"/>
    <col min="14" max="14" width="2.421875" style="47" customWidth="1"/>
    <col min="15" max="15" width="4.57421875" style="0" customWidth="1"/>
    <col min="16" max="16" width="7.28125" style="0" customWidth="1"/>
    <col min="17" max="17" width="10.28125" style="0" customWidth="1"/>
    <col min="18" max="19" width="9.421875" style="0" customWidth="1"/>
    <col min="20" max="20" width="6.421875" style="0" customWidth="1"/>
    <col min="21" max="21" width="1.7109375" style="47" customWidth="1"/>
    <col min="22" max="22" width="10.00390625" style="0" customWidth="1"/>
    <col min="23" max="23" width="9.00390625" style="0" customWidth="1"/>
  </cols>
  <sheetData>
    <row r="1" spans="10:22" ht="15.75" customHeight="1">
      <c r="J1" s="173"/>
      <c r="K1" s="173"/>
      <c r="L1" s="173"/>
      <c r="M1" s="173"/>
      <c r="N1" s="49"/>
      <c r="O1" s="45"/>
      <c r="P1" s="45"/>
      <c r="Q1" s="51"/>
      <c r="R1" s="51"/>
      <c r="S1" s="51"/>
      <c r="T1" s="51"/>
      <c r="U1" s="247"/>
      <c r="V1" s="248"/>
    </row>
    <row r="2" spans="3:22" ht="27">
      <c r="C2" s="249" t="s">
        <v>254</v>
      </c>
      <c r="I2" s="182"/>
      <c r="J2" s="190"/>
      <c r="K2" s="190"/>
      <c r="L2" s="190"/>
      <c r="M2" s="190"/>
      <c r="N2" s="182"/>
      <c r="O2" s="182"/>
      <c r="Q2" s="237"/>
      <c r="R2" s="237"/>
      <c r="S2" s="237"/>
      <c r="T2" s="237"/>
      <c r="V2" s="237"/>
    </row>
    <row r="3" ht="5.25" customHeight="1" thickBot="1"/>
    <row r="4" spans="2:24" ht="12.75" customHeight="1" thickBot="1">
      <c r="B4" s="1253" t="s">
        <v>313</v>
      </c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  <c r="P4" s="1254"/>
      <c r="Q4" s="1254"/>
      <c r="R4" s="1254"/>
      <c r="S4" s="1254"/>
      <c r="T4" s="1255"/>
      <c r="U4" s="238"/>
      <c r="V4" s="1189" t="s">
        <v>410</v>
      </c>
      <c r="W4" s="1162" t="s">
        <v>417</v>
      </c>
      <c r="X4" s="1203" t="s">
        <v>415</v>
      </c>
    </row>
    <row r="5" spans="2:24" ht="18.75" customHeight="1" thickTop="1">
      <c r="B5" s="1153" t="s">
        <v>12</v>
      </c>
      <c r="C5" s="1154"/>
      <c r="D5" s="1154"/>
      <c r="E5" s="1154"/>
      <c r="F5" s="1154"/>
      <c r="G5" s="1154"/>
      <c r="H5" s="1154"/>
      <c r="I5" s="1154"/>
      <c r="J5" s="1154"/>
      <c r="K5" s="1154"/>
      <c r="L5" s="1155"/>
      <c r="M5" s="1035"/>
      <c r="N5" s="1041"/>
      <c r="O5" s="1153" t="s">
        <v>297</v>
      </c>
      <c r="P5" s="1154"/>
      <c r="Q5" s="1154"/>
      <c r="R5" s="1154"/>
      <c r="S5" s="1266"/>
      <c r="T5" s="1042"/>
      <c r="U5" s="239"/>
      <c r="V5" s="1190"/>
      <c r="W5" s="1163"/>
      <c r="X5" s="1204"/>
    </row>
    <row r="6" spans="2:24" ht="12.75" customHeight="1">
      <c r="B6" s="41"/>
      <c r="C6" s="1175" t="s">
        <v>148</v>
      </c>
      <c r="D6" s="1175" t="s">
        <v>149</v>
      </c>
      <c r="E6" s="1174" t="s">
        <v>11</v>
      </c>
      <c r="F6" s="1157"/>
      <c r="G6" s="1157"/>
      <c r="H6" s="1157"/>
      <c r="I6" s="1157"/>
      <c r="J6" s="1157"/>
      <c r="K6" s="1157"/>
      <c r="L6" s="1269"/>
      <c r="M6" s="1034"/>
      <c r="N6" s="15"/>
      <c r="O6" s="1156" t="s">
        <v>11</v>
      </c>
      <c r="P6" s="1157"/>
      <c r="Q6" s="1157"/>
      <c r="R6" s="1157"/>
      <c r="S6" s="1158"/>
      <c r="T6" s="94"/>
      <c r="U6" s="15"/>
      <c r="V6" s="1190"/>
      <c r="W6" s="1163"/>
      <c r="X6" s="1204"/>
    </row>
    <row r="7" spans="2:24" ht="43.5" customHeight="1">
      <c r="B7" s="41"/>
      <c r="C7" s="1176"/>
      <c r="D7" s="1176"/>
      <c r="E7" s="338" t="s">
        <v>5</v>
      </c>
      <c r="F7" s="1224">
        <v>610</v>
      </c>
      <c r="G7" s="1184">
        <v>620</v>
      </c>
      <c r="H7" s="1184">
        <v>630</v>
      </c>
      <c r="I7" s="1184">
        <v>640</v>
      </c>
      <c r="J7" s="1201" t="s">
        <v>410</v>
      </c>
      <c r="K7" s="1180" t="s">
        <v>417</v>
      </c>
      <c r="L7" s="1267" t="s">
        <v>415</v>
      </c>
      <c r="M7" s="1178" t="s">
        <v>453</v>
      </c>
      <c r="N7" s="251"/>
      <c r="O7" s="1222">
        <v>716</v>
      </c>
      <c r="P7" s="1184">
        <v>717</v>
      </c>
      <c r="Q7" s="1201" t="s">
        <v>410</v>
      </c>
      <c r="R7" s="1180" t="s">
        <v>417</v>
      </c>
      <c r="S7" s="1217" t="s">
        <v>415</v>
      </c>
      <c r="T7" s="1178" t="s">
        <v>453</v>
      </c>
      <c r="U7" s="240"/>
      <c r="V7" s="1190"/>
      <c r="W7" s="1163"/>
      <c r="X7" s="1204"/>
    </row>
    <row r="8" spans="2:24" ht="34.5" customHeight="1" thickBot="1">
      <c r="B8" s="46"/>
      <c r="C8" s="1177"/>
      <c r="D8" s="1177"/>
      <c r="E8" s="129"/>
      <c r="F8" s="1216"/>
      <c r="G8" s="1185"/>
      <c r="H8" s="1185"/>
      <c r="I8" s="1185"/>
      <c r="J8" s="1202"/>
      <c r="K8" s="1181"/>
      <c r="L8" s="1268"/>
      <c r="M8" s="1258"/>
      <c r="N8" s="180"/>
      <c r="O8" s="1193"/>
      <c r="P8" s="1185"/>
      <c r="Q8" s="1202"/>
      <c r="R8" s="1181"/>
      <c r="S8" s="1218"/>
      <c r="T8" s="1258"/>
      <c r="U8" s="180"/>
      <c r="V8" s="1191"/>
      <c r="W8" s="1164"/>
      <c r="X8" s="1205"/>
    </row>
    <row r="9" spans="2:26" ht="24.75" customHeight="1" thickBot="1" thickTop="1">
      <c r="B9" s="32">
        <v>1</v>
      </c>
      <c r="C9" s="185" t="s">
        <v>255</v>
      </c>
      <c r="D9" s="261"/>
      <c r="E9" s="274"/>
      <c r="F9" s="258">
        <f>F10+F25+F32+F35+F38</f>
        <v>0</v>
      </c>
      <c r="G9" s="258">
        <f>G10+G25+G32+G35+G38</f>
        <v>0</v>
      </c>
      <c r="H9" s="258">
        <f>H10+H25+H32+H35+H38</f>
        <v>173000</v>
      </c>
      <c r="I9" s="258">
        <f>I10+I25+I32+I35+I38</f>
        <v>42500</v>
      </c>
      <c r="J9" s="711">
        <f aca="true" t="shared" si="0" ref="J9:J24">SUM(F9:I9)</f>
        <v>215500</v>
      </c>
      <c r="K9" s="713">
        <f>K10+K25+K32+K35+K38</f>
        <v>44235</v>
      </c>
      <c r="L9" s="811">
        <f>SUM(J9:K9)</f>
        <v>259735</v>
      </c>
      <c r="M9" s="1037">
        <f>M10+M25+M32+M35</f>
        <v>105800</v>
      </c>
      <c r="N9" s="305"/>
      <c r="O9" s="260">
        <f>O10+O25+O32+O35+O38</f>
        <v>250</v>
      </c>
      <c r="P9" s="258">
        <f>P10+P25+P32+P35+P38</f>
        <v>48102</v>
      </c>
      <c r="Q9" s="711">
        <f>SUM(O9:P9)</f>
        <v>48352</v>
      </c>
      <c r="R9" s="713">
        <f>R10+R25+R32+R35+R38</f>
        <v>0</v>
      </c>
      <c r="S9" s="655">
        <f>SUM(Q9:R9)</f>
        <v>48352</v>
      </c>
      <c r="T9" s="1026">
        <f>T25</f>
        <v>4129</v>
      </c>
      <c r="U9" s="259"/>
      <c r="V9" s="711">
        <f>J9+Q9</f>
        <v>263852</v>
      </c>
      <c r="W9" s="713">
        <f>K9+R9</f>
        <v>44235</v>
      </c>
      <c r="X9" s="655">
        <f>SUM(V9:W9)</f>
        <v>308087</v>
      </c>
      <c r="Y9" s="19"/>
      <c r="Z9" s="19"/>
    </row>
    <row r="10" spans="2:26" ht="15.75" thickTop="1">
      <c r="B10" s="32">
        <f>B9+1</f>
        <v>2</v>
      </c>
      <c r="C10" s="42">
        <v>1</v>
      </c>
      <c r="D10" s="43" t="s">
        <v>123</v>
      </c>
      <c r="E10" s="139"/>
      <c r="F10" s="147"/>
      <c r="G10" s="148"/>
      <c r="H10" s="148">
        <f>H11+H12+H24</f>
        <v>17209</v>
      </c>
      <c r="I10" s="148">
        <f>I11+I12</f>
        <v>42500</v>
      </c>
      <c r="J10" s="486">
        <f t="shared" si="0"/>
        <v>59709</v>
      </c>
      <c r="K10" s="489">
        <f>SUM(K11:K24)</f>
        <v>9000</v>
      </c>
      <c r="L10" s="812">
        <f aca="true" t="shared" si="1" ref="L10:L38">SUM(J10:K10)</f>
        <v>68709</v>
      </c>
      <c r="M10" s="1038">
        <v>4265</v>
      </c>
      <c r="N10" s="246"/>
      <c r="O10" s="243"/>
      <c r="P10" s="148"/>
      <c r="Q10" s="486">
        <f aca="true" t="shared" si="2" ref="Q10:Q38">SUM(O10:P10)</f>
        <v>0</v>
      </c>
      <c r="R10" s="489"/>
      <c r="S10" s="677">
        <f aca="true" t="shared" si="3" ref="S10:S38">SUM(Q10:R10)</f>
        <v>0</v>
      </c>
      <c r="T10" s="1022"/>
      <c r="U10" s="246"/>
      <c r="V10" s="486">
        <f aca="true" t="shared" si="4" ref="V10:V38">J10+Q10</f>
        <v>59709</v>
      </c>
      <c r="W10" s="489">
        <f aca="true" t="shared" si="5" ref="W10:W38">K10+R10</f>
        <v>9000</v>
      </c>
      <c r="X10" s="677">
        <f aca="true" t="shared" si="6" ref="X10:X38">SUM(V10:W10)</f>
        <v>68709</v>
      </c>
      <c r="Y10" s="19"/>
      <c r="Z10" s="19"/>
    </row>
    <row r="11" spans="2:26" s="594" customFormat="1" ht="12.75">
      <c r="B11" s="513">
        <f aca="true" t="shared" si="7" ref="B11:B37">B10+1</f>
        <v>3</v>
      </c>
      <c r="C11" s="514"/>
      <c r="D11" s="586"/>
      <c r="E11" s="721" t="s">
        <v>245</v>
      </c>
      <c r="F11" s="722"/>
      <c r="G11" s="528"/>
      <c r="H11" s="534"/>
      <c r="I11" s="528">
        <v>20000</v>
      </c>
      <c r="J11" s="528">
        <f t="shared" si="0"/>
        <v>20000</v>
      </c>
      <c r="K11" s="528"/>
      <c r="L11" s="722">
        <f t="shared" si="1"/>
        <v>20000</v>
      </c>
      <c r="M11" s="1036"/>
      <c r="N11" s="532"/>
      <c r="O11" s="530"/>
      <c r="P11" s="531"/>
      <c r="Q11" s="531">
        <f t="shared" si="2"/>
        <v>0</v>
      </c>
      <c r="R11" s="531"/>
      <c r="S11" s="773">
        <f t="shared" si="3"/>
        <v>0</v>
      </c>
      <c r="T11" s="1020"/>
      <c r="U11" s="532"/>
      <c r="V11" s="531">
        <f t="shared" si="4"/>
        <v>20000</v>
      </c>
      <c r="W11" s="531">
        <f t="shared" si="5"/>
        <v>0</v>
      </c>
      <c r="X11" s="773">
        <f t="shared" si="6"/>
        <v>20000</v>
      </c>
      <c r="Y11" s="19"/>
      <c r="Z11" s="19"/>
    </row>
    <row r="12" spans="2:26" s="594" customFormat="1" ht="12.75">
      <c r="B12" s="513">
        <f t="shared" si="7"/>
        <v>4</v>
      </c>
      <c r="C12" s="514"/>
      <c r="D12" s="742"/>
      <c r="E12" s="687" t="s">
        <v>281</v>
      </c>
      <c r="F12" s="515"/>
      <c r="G12" s="516"/>
      <c r="H12" s="516">
        <f>SUM(H13:H23)</f>
        <v>8500</v>
      </c>
      <c r="I12" s="516">
        <f>SUM(I13:I23)</f>
        <v>22500</v>
      </c>
      <c r="J12" s="528">
        <f t="shared" si="0"/>
        <v>31000</v>
      </c>
      <c r="K12" s="528"/>
      <c r="L12" s="722">
        <f t="shared" si="1"/>
        <v>31000</v>
      </c>
      <c r="M12" s="1036"/>
      <c r="N12" s="532"/>
      <c r="O12" s="530"/>
      <c r="P12" s="531"/>
      <c r="Q12" s="531">
        <f t="shared" si="2"/>
        <v>0</v>
      </c>
      <c r="R12" s="531"/>
      <c r="S12" s="773">
        <f t="shared" si="3"/>
        <v>0</v>
      </c>
      <c r="T12" s="1020"/>
      <c r="U12" s="532"/>
      <c r="V12" s="531">
        <f t="shared" si="4"/>
        <v>31000</v>
      </c>
      <c r="W12" s="531">
        <f t="shared" si="5"/>
        <v>0</v>
      </c>
      <c r="X12" s="773">
        <f t="shared" si="6"/>
        <v>31000</v>
      </c>
      <c r="Y12" s="19"/>
      <c r="Z12" s="19"/>
    </row>
    <row r="13" spans="2:26" s="594" customFormat="1" ht="12.75">
      <c r="B13" s="513">
        <f t="shared" si="7"/>
        <v>5</v>
      </c>
      <c r="C13" s="514"/>
      <c r="D13" s="742"/>
      <c r="E13" s="687" t="s">
        <v>182</v>
      </c>
      <c r="F13" s="515"/>
      <c r="G13" s="516"/>
      <c r="H13" s="717"/>
      <c r="I13" s="516">
        <v>5000</v>
      </c>
      <c r="J13" s="528">
        <f t="shared" si="0"/>
        <v>5000</v>
      </c>
      <c r="K13" s="528"/>
      <c r="L13" s="722">
        <f t="shared" si="1"/>
        <v>5000</v>
      </c>
      <c r="M13" s="1036"/>
      <c r="N13" s="532"/>
      <c r="O13" s="533"/>
      <c r="P13" s="528"/>
      <c r="Q13" s="531">
        <f t="shared" si="2"/>
        <v>0</v>
      </c>
      <c r="R13" s="531"/>
      <c r="S13" s="773">
        <f t="shared" si="3"/>
        <v>0</v>
      </c>
      <c r="T13" s="1020"/>
      <c r="U13" s="532"/>
      <c r="V13" s="531">
        <f t="shared" si="4"/>
        <v>5000</v>
      </c>
      <c r="W13" s="531">
        <f t="shared" si="5"/>
        <v>0</v>
      </c>
      <c r="X13" s="773">
        <f t="shared" si="6"/>
        <v>5000</v>
      </c>
      <c r="Y13" s="19"/>
      <c r="Z13" s="19"/>
    </row>
    <row r="14" spans="2:26" s="594" customFormat="1" ht="12.75">
      <c r="B14" s="513">
        <f t="shared" si="7"/>
        <v>6</v>
      </c>
      <c r="C14" s="514"/>
      <c r="D14" s="742"/>
      <c r="E14" s="687" t="s">
        <v>183</v>
      </c>
      <c r="F14" s="515"/>
      <c r="G14" s="516"/>
      <c r="H14" s="717"/>
      <c r="I14" s="516">
        <v>5000</v>
      </c>
      <c r="J14" s="528">
        <f t="shared" si="0"/>
        <v>5000</v>
      </c>
      <c r="K14" s="528"/>
      <c r="L14" s="722">
        <f t="shared" si="1"/>
        <v>5000</v>
      </c>
      <c r="M14" s="1036"/>
      <c r="N14" s="532"/>
      <c r="O14" s="533"/>
      <c r="P14" s="528"/>
      <c r="Q14" s="531">
        <f t="shared" si="2"/>
        <v>0</v>
      </c>
      <c r="R14" s="531"/>
      <c r="S14" s="773">
        <f t="shared" si="3"/>
        <v>0</v>
      </c>
      <c r="T14" s="1020"/>
      <c r="U14" s="532"/>
      <c r="V14" s="531">
        <f t="shared" si="4"/>
        <v>5000</v>
      </c>
      <c r="W14" s="531">
        <f t="shared" si="5"/>
        <v>0</v>
      </c>
      <c r="X14" s="773">
        <f t="shared" si="6"/>
        <v>5000</v>
      </c>
      <c r="Y14" s="19"/>
      <c r="Z14" s="19"/>
    </row>
    <row r="15" spans="2:26" s="594" customFormat="1" ht="12.75">
      <c r="B15" s="513">
        <f t="shared" si="7"/>
        <v>7</v>
      </c>
      <c r="C15" s="518"/>
      <c r="D15" s="742"/>
      <c r="E15" s="687" t="s">
        <v>310</v>
      </c>
      <c r="F15" s="515"/>
      <c r="G15" s="516"/>
      <c r="H15" s="717"/>
      <c r="I15" s="516">
        <v>3000</v>
      </c>
      <c r="J15" s="528">
        <f t="shared" si="0"/>
        <v>3000</v>
      </c>
      <c r="K15" s="528"/>
      <c r="L15" s="722">
        <f t="shared" si="1"/>
        <v>3000</v>
      </c>
      <c r="M15" s="1036"/>
      <c r="N15" s="532"/>
      <c r="O15" s="533"/>
      <c r="P15" s="528"/>
      <c r="Q15" s="528">
        <f t="shared" si="2"/>
        <v>0</v>
      </c>
      <c r="R15" s="528"/>
      <c r="S15" s="529">
        <f t="shared" si="3"/>
        <v>0</v>
      </c>
      <c r="T15" s="1020"/>
      <c r="U15" s="532"/>
      <c r="V15" s="528">
        <f t="shared" si="4"/>
        <v>3000</v>
      </c>
      <c r="W15" s="528">
        <f t="shared" si="5"/>
        <v>0</v>
      </c>
      <c r="X15" s="529">
        <f t="shared" si="6"/>
        <v>3000</v>
      </c>
      <c r="Y15" s="19"/>
      <c r="Z15" s="19"/>
    </row>
    <row r="16" spans="2:26" s="594" customFormat="1" ht="12.75">
      <c r="B16" s="513">
        <f t="shared" si="7"/>
        <v>8</v>
      </c>
      <c r="C16" s="518"/>
      <c r="D16" s="742"/>
      <c r="E16" s="687" t="s">
        <v>324</v>
      </c>
      <c r="F16" s="515"/>
      <c r="G16" s="516"/>
      <c r="H16" s="717"/>
      <c r="I16" s="516">
        <v>4000</v>
      </c>
      <c r="J16" s="528">
        <f t="shared" si="0"/>
        <v>4000</v>
      </c>
      <c r="K16" s="528"/>
      <c r="L16" s="722">
        <f t="shared" si="1"/>
        <v>4000</v>
      </c>
      <c r="M16" s="1036"/>
      <c r="N16" s="532"/>
      <c r="O16" s="533"/>
      <c r="P16" s="528"/>
      <c r="Q16" s="528">
        <f t="shared" si="2"/>
        <v>0</v>
      </c>
      <c r="R16" s="528"/>
      <c r="S16" s="529">
        <f t="shared" si="3"/>
        <v>0</v>
      </c>
      <c r="T16" s="1020"/>
      <c r="U16" s="532"/>
      <c r="V16" s="528">
        <f t="shared" si="4"/>
        <v>4000</v>
      </c>
      <c r="W16" s="528">
        <f t="shared" si="5"/>
        <v>0</v>
      </c>
      <c r="X16" s="529">
        <f t="shared" si="6"/>
        <v>4000</v>
      </c>
      <c r="Y16" s="19"/>
      <c r="Z16" s="19"/>
    </row>
    <row r="17" spans="2:26" s="594" customFormat="1" ht="12.75">
      <c r="B17" s="513">
        <f t="shared" si="7"/>
        <v>9</v>
      </c>
      <c r="C17" s="518"/>
      <c r="D17" s="742"/>
      <c r="E17" s="687" t="s">
        <v>412</v>
      </c>
      <c r="F17" s="515"/>
      <c r="G17" s="516"/>
      <c r="H17" s="717">
        <v>1500</v>
      </c>
      <c r="I17" s="516"/>
      <c r="J17" s="528">
        <f t="shared" si="0"/>
        <v>1500</v>
      </c>
      <c r="K17" s="528">
        <v>-1500</v>
      </c>
      <c r="L17" s="722">
        <f t="shared" si="1"/>
        <v>0</v>
      </c>
      <c r="M17" s="1036"/>
      <c r="N17" s="532"/>
      <c r="O17" s="536"/>
      <c r="P17" s="516"/>
      <c r="Q17" s="528">
        <f t="shared" si="2"/>
        <v>0</v>
      </c>
      <c r="R17" s="528"/>
      <c r="S17" s="529">
        <f t="shared" si="3"/>
        <v>0</v>
      </c>
      <c r="T17" s="1020"/>
      <c r="U17" s="532"/>
      <c r="V17" s="528">
        <f t="shared" si="4"/>
        <v>1500</v>
      </c>
      <c r="W17" s="528">
        <f t="shared" si="5"/>
        <v>-1500</v>
      </c>
      <c r="X17" s="529">
        <f t="shared" si="6"/>
        <v>0</v>
      </c>
      <c r="Y17" s="19"/>
      <c r="Z17" s="19"/>
    </row>
    <row r="18" spans="2:26" s="594" customFormat="1" ht="12.75">
      <c r="B18" s="513">
        <f t="shared" si="7"/>
        <v>10</v>
      </c>
      <c r="C18" s="518"/>
      <c r="D18" s="742"/>
      <c r="E18" s="687" t="s">
        <v>413</v>
      </c>
      <c r="F18" s="515"/>
      <c r="G18" s="516"/>
      <c r="H18" s="717"/>
      <c r="I18" s="516">
        <v>3500</v>
      </c>
      <c r="J18" s="528">
        <f t="shared" si="0"/>
        <v>3500</v>
      </c>
      <c r="K18" s="528"/>
      <c r="L18" s="722">
        <f t="shared" si="1"/>
        <v>3500</v>
      </c>
      <c r="M18" s="1036"/>
      <c r="N18" s="532"/>
      <c r="O18" s="536"/>
      <c r="P18" s="516"/>
      <c r="Q18" s="528">
        <f t="shared" si="2"/>
        <v>0</v>
      </c>
      <c r="R18" s="528"/>
      <c r="S18" s="529">
        <f t="shared" si="3"/>
        <v>0</v>
      </c>
      <c r="T18" s="1020"/>
      <c r="U18" s="532"/>
      <c r="V18" s="528">
        <f t="shared" si="4"/>
        <v>3500</v>
      </c>
      <c r="W18" s="528">
        <f t="shared" si="5"/>
        <v>0</v>
      </c>
      <c r="X18" s="529">
        <f t="shared" si="6"/>
        <v>3500</v>
      </c>
      <c r="Y18" s="19"/>
      <c r="Z18" s="19"/>
    </row>
    <row r="19" spans="2:26" s="594" customFormat="1" ht="12.75">
      <c r="B19" s="513">
        <f t="shared" si="7"/>
        <v>11</v>
      </c>
      <c r="C19" s="518"/>
      <c r="D19" s="742"/>
      <c r="E19" s="687" t="s">
        <v>414</v>
      </c>
      <c r="F19" s="515"/>
      <c r="G19" s="516"/>
      <c r="H19" s="717">
        <v>1500</v>
      </c>
      <c r="I19" s="516"/>
      <c r="J19" s="528">
        <f t="shared" si="0"/>
        <v>1500</v>
      </c>
      <c r="K19" s="528"/>
      <c r="L19" s="722">
        <f t="shared" si="1"/>
        <v>1500</v>
      </c>
      <c r="M19" s="1036"/>
      <c r="N19" s="532"/>
      <c r="O19" s="536"/>
      <c r="P19" s="516"/>
      <c r="Q19" s="528">
        <f t="shared" si="2"/>
        <v>0</v>
      </c>
      <c r="R19" s="528"/>
      <c r="S19" s="529">
        <f t="shared" si="3"/>
        <v>0</v>
      </c>
      <c r="T19" s="1020"/>
      <c r="U19" s="532"/>
      <c r="V19" s="528">
        <f t="shared" si="4"/>
        <v>1500</v>
      </c>
      <c r="W19" s="528">
        <f t="shared" si="5"/>
        <v>0</v>
      </c>
      <c r="X19" s="529">
        <f t="shared" si="6"/>
        <v>1500</v>
      </c>
      <c r="Y19" s="19"/>
      <c r="Z19" s="19"/>
    </row>
    <row r="20" spans="2:26" s="594" customFormat="1" ht="12.75">
      <c r="B20" s="513">
        <f t="shared" si="7"/>
        <v>12</v>
      </c>
      <c r="C20" s="518"/>
      <c r="D20" s="742"/>
      <c r="E20" s="687" t="s">
        <v>319</v>
      </c>
      <c r="F20" s="515"/>
      <c r="G20" s="516"/>
      <c r="H20" s="717">
        <v>1500</v>
      </c>
      <c r="I20" s="516"/>
      <c r="J20" s="528">
        <f t="shared" si="0"/>
        <v>1500</v>
      </c>
      <c r="K20" s="528">
        <v>9000</v>
      </c>
      <c r="L20" s="722">
        <f t="shared" si="1"/>
        <v>10500</v>
      </c>
      <c r="M20" s="1036">
        <v>3519</v>
      </c>
      <c r="N20" s="532"/>
      <c r="O20" s="536"/>
      <c r="P20" s="516"/>
      <c r="Q20" s="528">
        <f t="shared" si="2"/>
        <v>0</v>
      </c>
      <c r="R20" s="528"/>
      <c r="S20" s="529">
        <f t="shared" si="3"/>
        <v>0</v>
      </c>
      <c r="T20" s="1020"/>
      <c r="U20" s="532"/>
      <c r="V20" s="528">
        <f t="shared" si="4"/>
        <v>1500</v>
      </c>
      <c r="W20" s="528">
        <f t="shared" si="5"/>
        <v>9000</v>
      </c>
      <c r="X20" s="529">
        <f t="shared" si="6"/>
        <v>10500</v>
      </c>
      <c r="Y20" s="19"/>
      <c r="Z20" s="19"/>
    </row>
    <row r="21" spans="2:26" s="594" customFormat="1" ht="12.75">
      <c r="B21" s="513">
        <f t="shared" si="7"/>
        <v>13</v>
      </c>
      <c r="C21" s="518"/>
      <c r="D21" s="742"/>
      <c r="E21" s="687" t="s">
        <v>320</v>
      </c>
      <c r="F21" s="515"/>
      <c r="G21" s="516"/>
      <c r="H21" s="717">
        <v>2500</v>
      </c>
      <c r="I21" s="516"/>
      <c r="J21" s="528">
        <f t="shared" si="0"/>
        <v>2500</v>
      </c>
      <c r="K21" s="528"/>
      <c r="L21" s="722">
        <f t="shared" si="1"/>
        <v>2500</v>
      </c>
      <c r="M21" s="1036">
        <v>746</v>
      </c>
      <c r="N21" s="532"/>
      <c r="O21" s="536"/>
      <c r="P21" s="516"/>
      <c r="Q21" s="528">
        <f t="shared" si="2"/>
        <v>0</v>
      </c>
      <c r="R21" s="528"/>
      <c r="S21" s="529">
        <f t="shared" si="3"/>
        <v>0</v>
      </c>
      <c r="T21" s="1020"/>
      <c r="U21" s="532"/>
      <c r="V21" s="528">
        <f t="shared" si="4"/>
        <v>2500</v>
      </c>
      <c r="W21" s="528">
        <f t="shared" si="5"/>
        <v>0</v>
      </c>
      <c r="X21" s="529">
        <f t="shared" si="6"/>
        <v>2500</v>
      </c>
      <c r="Y21" s="19"/>
      <c r="Z21" s="19"/>
    </row>
    <row r="22" spans="2:26" s="594" customFormat="1" ht="12.75">
      <c r="B22" s="513">
        <f t="shared" si="7"/>
        <v>14</v>
      </c>
      <c r="C22" s="518"/>
      <c r="D22" s="742"/>
      <c r="E22" s="687" t="s">
        <v>321</v>
      </c>
      <c r="F22" s="515"/>
      <c r="G22" s="516"/>
      <c r="H22" s="717">
        <v>1500</v>
      </c>
      <c r="I22" s="516"/>
      <c r="J22" s="528">
        <f t="shared" si="0"/>
        <v>1500</v>
      </c>
      <c r="K22" s="528"/>
      <c r="L22" s="722">
        <f t="shared" si="1"/>
        <v>1500</v>
      </c>
      <c r="M22" s="1036"/>
      <c r="N22" s="532"/>
      <c r="O22" s="536"/>
      <c r="P22" s="516"/>
      <c r="Q22" s="528">
        <f t="shared" si="2"/>
        <v>0</v>
      </c>
      <c r="R22" s="528"/>
      <c r="S22" s="529">
        <f t="shared" si="3"/>
        <v>0</v>
      </c>
      <c r="T22" s="1020"/>
      <c r="U22" s="532"/>
      <c r="V22" s="528">
        <f t="shared" si="4"/>
        <v>1500</v>
      </c>
      <c r="W22" s="528">
        <f t="shared" si="5"/>
        <v>0</v>
      </c>
      <c r="X22" s="529">
        <f t="shared" si="6"/>
        <v>1500</v>
      </c>
      <c r="Y22" s="19"/>
      <c r="Z22" s="19"/>
    </row>
    <row r="23" spans="2:26" s="594" customFormat="1" ht="12.75">
      <c r="B23" s="513">
        <f t="shared" si="7"/>
        <v>15</v>
      </c>
      <c r="C23" s="518"/>
      <c r="D23" s="742"/>
      <c r="E23" s="687" t="s">
        <v>336</v>
      </c>
      <c r="F23" s="515"/>
      <c r="G23" s="516"/>
      <c r="H23" s="717"/>
      <c r="I23" s="516">
        <v>2000</v>
      </c>
      <c r="J23" s="528">
        <f t="shared" si="0"/>
        <v>2000</v>
      </c>
      <c r="K23" s="528">
        <v>1500</v>
      </c>
      <c r="L23" s="722">
        <f t="shared" si="1"/>
        <v>3500</v>
      </c>
      <c r="M23" s="1036"/>
      <c r="N23" s="532"/>
      <c r="O23" s="536"/>
      <c r="P23" s="516"/>
      <c r="Q23" s="528">
        <f t="shared" si="2"/>
        <v>0</v>
      </c>
      <c r="R23" s="528"/>
      <c r="S23" s="529">
        <f t="shared" si="3"/>
        <v>0</v>
      </c>
      <c r="T23" s="1020"/>
      <c r="U23" s="532"/>
      <c r="V23" s="528">
        <f t="shared" si="4"/>
        <v>2000</v>
      </c>
      <c r="W23" s="528">
        <f t="shared" si="5"/>
        <v>1500</v>
      </c>
      <c r="X23" s="529">
        <f t="shared" si="6"/>
        <v>3500</v>
      </c>
      <c r="Y23" s="19"/>
      <c r="Z23" s="19"/>
    </row>
    <row r="24" spans="2:26" s="594" customFormat="1" ht="12.75">
      <c r="B24" s="513">
        <f t="shared" si="7"/>
        <v>16</v>
      </c>
      <c r="C24" s="518"/>
      <c r="D24" s="742"/>
      <c r="E24" s="519" t="s">
        <v>352</v>
      </c>
      <c r="F24" s="515"/>
      <c r="G24" s="515"/>
      <c r="H24" s="722">
        <v>8709</v>
      </c>
      <c r="I24" s="516"/>
      <c r="J24" s="528">
        <f t="shared" si="0"/>
        <v>8709</v>
      </c>
      <c r="K24" s="528"/>
      <c r="L24" s="722">
        <f t="shared" si="1"/>
        <v>8709</v>
      </c>
      <c r="M24" s="1036"/>
      <c r="N24" s="532"/>
      <c r="O24" s="536"/>
      <c r="P24" s="516"/>
      <c r="Q24" s="528">
        <f t="shared" si="2"/>
        <v>0</v>
      </c>
      <c r="R24" s="528"/>
      <c r="S24" s="529">
        <f t="shared" si="3"/>
        <v>0</v>
      </c>
      <c r="T24" s="1020"/>
      <c r="U24" s="532"/>
      <c r="V24" s="528">
        <f t="shared" si="4"/>
        <v>8709</v>
      </c>
      <c r="W24" s="528">
        <f t="shared" si="5"/>
        <v>0</v>
      </c>
      <c r="X24" s="529">
        <f t="shared" si="6"/>
        <v>8709</v>
      </c>
      <c r="Y24" s="19"/>
      <c r="Z24" s="19"/>
    </row>
    <row r="25" spans="2:26" ht="15">
      <c r="B25" s="32">
        <f t="shared" si="7"/>
        <v>17</v>
      </c>
      <c r="C25" s="42">
        <v>2</v>
      </c>
      <c r="D25" s="43" t="s">
        <v>124</v>
      </c>
      <c r="E25" s="139"/>
      <c r="F25" s="147">
        <v>0</v>
      </c>
      <c r="G25" s="147">
        <v>0</v>
      </c>
      <c r="H25" s="147">
        <f>SUM(H26:H31)</f>
        <v>120000</v>
      </c>
      <c r="I25" s="148"/>
      <c r="J25" s="487">
        <f aca="true" t="shared" si="8" ref="J25:J32">SUM(F25:I25)</f>
        <v>120000</v>
      </c>
      <c r="K25" s="490">
        <f>SUM(K26:K29)</f>
        <v>34000</v>
      </c>
      <c r="L25" s="813">
        <f t="shared" si="1"/>
        <v>154000</v>
      </c>
      <c r="M25" s="1038">
        <f>SUM(M26:M31)</f>
        <v>70088</v>
      </c>
      <c r="N25" s="246"/>
      <c r="O25" s="243">
        <f>SUM(O26:O31)</f>
        <v>250</v>
      </c>
      <c r="P25" s="148">
        <f>SUM(P26:P30)</f>
        <v>29782</v>
      </c>
      <c r="Q25" s="715">
        <f t="shared" si="2"/>
        <v>30032</v>
      </c>
      <c r="R25" s="817">
        <f>SUM(R26:R31)</f>
        <v>0</v>
      </c>
      <c r="S25" s="819">
        <f t="shared" si="3"/>
        <v>30032</v>
      </c>
      <c r="T25" s="1022">
        <f>SUM(T26:T31)</f>
        <v>4129</v>
      </c>
      <c r="U25" s="246"/>
      <c r="V25" s="715">
        <f t="shared" si="4"/>
        <v>150032</v>
      </c>
      <c r="W25" s="817">
        <f t="shared" si="5"/>
        <v>34000</v>
      </c>
      <c r="X25" s="819">
        <f t="shared" si="6"/>
        <v>184032</v>
      </c>
      <c r="Y25" s="19"/>
      <c r="Z25" s="19"/>
    </row>
    <row r="26" spans="2:26" s="594" customFormat="1" ht="12.75">
      <c r="B26" s="513">
        <f t="shared" si="7"/>
        <v>18</v>
      </c>
      <c r="C26" s="514"/>
      <c r="D26" s="586"/>
      <c r="E26" s="721" t="s">
        <v>356</v>
      </c>
      <c r="F26" s="722"/>
      <c r="G26" s="528"/>
      <c r="H26" s="717">
        <v>110000</v>
      </c>
      <c r="I26" s="516"/>
      <c r="J26" s="528">
        <f t="shared" si="8"/>
        <v>110000</v>
      </c>
      <c r="K26" s="528">
        <v>15000</v>
      </c>
      <c r="L26" s="722">
        <f t="shared" si="1"/>
        <v>125000</v>
      </c>
      <c r="M26" s="1036">
        <v>52579</v>
      </c>
      <c r="N26" s="532"/>
      <c r="O26" s="533"/>
      <c r="P26" s="528"/>
      <c r="Q26" s="528">
        <f t="shared" si="2"/>
        <v>0</v>
      </c>
      <c r="R26" s="528"/>
      <c r="S26" s="529">
        <f t="shared" si="3"/>
        <v>0</v>
      </c>
      <c r="T26" s="1020"/>
      <c r="U26" s="532"/>
      <c r="V26" s="528">
        <f>J26+Q26</f>
        <v>110000</v>
      </c>
      <c r="W26" s="528">
        <f t="shared" si="5"/>
        <v>15000</v>
      </c>
      <c r="X26" s="529">
        <f t="shared" si="6"/>
        <v>125000</v>
      </c>
      <c r="Y26" s="19"/>
      <c r="Z26" s="19"/>
    </row>
    <row r="27" spans="2:26" s="594" customFormat="1" ht="12.75">
      <c r="B27" s="513">
        <f t="shared" si="7"/>
        <v>19</v>
      </c>
      <c r="C27" s="518"/>
      <c r="D27" s="586"/>
      <c r="E27" s="721" t="s">
        <v>452</v>
      </c>
      <c r="F27" s="515"/>
      <c r="G27" s="516"/>
      <c r="H27" s="717"/>
      <c r="I27" s="516"/>
      <c r="J27" s="528">
        <f t="shared" si="8"/>
        <v>0</v>
      </c>
      <c r="K27" s="528">
        <v>11000</v>
      </c>
      <c r="L27" s="722">
        <f t="shared" si="1"/>
        <v>11000</v>
      </c>
      <c r="M27" s="1036"/>
      <c r="N27" s="532"/>
      <c r="O27" s="536"/>
      <c r="P27" s="516"/>
      <c r="Q27" s="528"/>
      <c r="R27" s="528"/>
      <c r="S27" s="529"/>
      <c r="T27" s="1020"/>
      <c r="U27" s="532"/>
      <c r="V27" s="528">
        <f t="shared" si="4"/>
        <v>0</v>
      </c>
      <c r="W27" s="528">
        <f t="shared" si="5"/>
        <v>11000</v>
      </c>
      <c r="X27" s="529">
        <f t="shared" si="6"/>
        <v>11000</v>
      </c>
      <c r="Y27" s="19"/>
      <c r="Z27" s="19"/>
    </row>
    <row r="28" spans="2:26" s="594" customFormat="1" ht="12.75">
      <c r="B28" s="513">
        <f t="shared" si="7"/>
        <v>20</v>
      </c>
      <c r="C28" s="518"/>
      <c r="D28" s="586"/>
      <c r="E28" s="721" t="s">
        <v>397</v>
      </c>
      <c r="F28" s="515"/>
      <c r="G28" s="516"/>
      <c r="H28" s="717">
        <v>10000</v>
      </c>
      <c r="I28" s="516"/>
      <c r="J28" s="528">
        <f t="shared" si="8"/>
        <v>10000</v>
      </c>
      <c r="K28" s="528">
        <v>8000</v>
      </c>
      <c r="L28" s="722">
        <f t="shared" si="1"/>
        <v>18000</v>
      </c>
      <c r="M28" s="1036">
        <v>17509</v>
      </c>
      <c r="N28" s="532"/>
      <c r="O28" s="536"/>
      <c r="P28" s="516"/>
      <c r="Q28" s="528">
        <f t="shared" si="2"/>
        <v>0</v>
      </c>
      <c r="R28" s="528"/>
      <c r="S28" s="529">
        <f t="shared" si="3"/>
        <v>0</v>
      </c>
      <c r="T28" s="1020"/>
      <c r="U28" s="532"/>
      <c r="V28" s="528">
        <f t="shared" si="4"/>
        <v>10000</v>
      </c>
      <c r="W28" s="528">
        <f t="shared" si="5"/>
        <v>8000</v>
      </c>
      <c r="X28" s="529">
        <f t="shared" si="6"/>
        <v>18000</v>
      </c>
      <c r="Y28" s="19"/>
      <c r="Z28" s="19"/>
    </row>
    <row r="29" spans="2:26" s="594" customFormat="1" ht="12.75">
      <c r="B29" s="513">
        <f t="shared" si="7"/>
        <v>21</v>
      </c>
      <c r="C29" s="518"/>
      <c r="D29" s="586"/>
      <c r="E29" s="721" t="s">
        <v>379</v>
      </c>
      <c r="F29" s="515"/>
      <c r="G29" s="516"/>
      <c r="H29" s="717"/>
      <c r="I29" s="516"/>
      <c r="J29" s="528">
        <f t="shared" si="8"/>
        <v>0</v>
      </c>
      <c r="K29" s="528"/>
      <c r="L29" s="722">
        <f t="shared" si="1"/>
        <v>0</v>
      </c>
      <c r="M29" s="1036"/>
      <c r="N29" s="532"/>
      <c r="O29" s="536"/>
      <c r="P29" s="516">
        <v>14072</v>
      </c>
      <c r="Q29" s="528">
        <f t="shared" si="2"/>
        <v>14072</v>
      </c>
      <c r="R29" s="528"/>
      <c r="S29" s="529">
        <f t="shared" si="3"/>
        <v>14072</v>
      </c>
      <c r="T29" s="1020">
        <v>2345</v>
      </c>
      <c r="U29" s="532"/>
      <c r="V29" s="528">
        <f t="shared" si="4"/>
        <v>14072</v>
      </c>
      <c r="W29" s="528">
        <f t="shared" si="5"/>
        <v>0</v>
      </c>
      <c r="X29" s="529">
        <f t="shared" si="6"/>
        <v>14072</v>
      </c>
      <c r="Y29" s="19"/>
      <c r="Z29" s="19"/>
    </row>
    <row r="30" spans="2:26" s="594" customFormat="1" ht="12.75">
      <c r="B30" s="513">
        <f t="shared" si="7"/>
        <v>22</v>
      </c>
      <c r="C30" s="518"/>
      <c r="D30" s="586"/>
      <c r="E30" s="720" t="s">
        <v>338</v>
      </c>
      <c r="F30" s="515"/>
      <c r="G30" s="516"/>
      <c r="H30" s="717"/>
      <c r="I30" s="516"/>
      <c r="J30" s="528">
        <f t="shared" si="8"/>
        <v>0</v>
      </c>
      <c r="K30" s="528"/>
      <c r="L30" s="722">
        <f t="shared" si="1"/>
        <v>0</v>
      </c>
      <c r="M30" s="1036"/>
      <c r="N30" s="532"/>
      <c r="O30" s="536"/>
      <c r="P30" s="516">
        <v>15710</v>
      </c>
      <c r="Q30" s="528">
        <f t="shared" si="2"/>
        <v>15710</v>
      </c>
      <c r="R30" s="528"/>
      <c r="S30" s="529">
        <f t="shared" si="3"/>
        <v>15710</v>
      </c>
      <c r="T30" s="1020">
        <v>1400</v>
      </c>
      <c r="U30" s="532"/>
      <c r="V30" s="528">
        <f t="shared" si="4"/>
        <v>15710</v>
      </c>
      <c r="W30" s="528">
        <f t="shared" si="5"/>
        <v>0</v>
      </c>
      <c r="X30" s="529">
        <f t="shared" si="6"/>
        <v>15710</v>
      </c>
      <c r="Y30" s="19"/>
      <c r="Z30" s="19"/>
    </row>
    <row r="31" spans="2:26" s="594" customFormat="1" ht="12.75">
      <c r="B31" s="513">
        <f t="shared" si="7"/>
        <v>23</v>
      </c>
      <c r="C31" s="518"/>
      <c r="D31" s="586"/>
      <c r="E31" s="720" t="s">
        <v>339</v>
      </c>
      <c r="F31" s="515"/>
      <c r="G31" s="516"/>
      <c r="H31" s="717"/>
      <c r="I31" s="516"/>
      <c r="J31" s="528">
        <f t="shared" si="8"/>
        <v>0</v>
      </c>
      <c r="K31" s="528"/>
      <c r="L31" s="722">
        <f t="shared" si="1"/>
        <v>0</v>
      </c>
      <c r="M31" s="1036"/>
      <c r="N31" s="532"/>
      <c r="O31" s="536">
        <v>250</v>
      </c>
      <c r="P31" s="516"/>
      <c r="Q31" s="528">
        <f t="shared" si="2"/>
        <v>250</v>
      </c>
      <c r="R31" s="528"/>
      <c r="S31" s="529">
        <f t="shared" si="3"/>
        <v>250</v>
      </c>
      <c r="T31" s="1020">
        <v>384</v>
      </c>
      <c r="U31" s="532"/>
      <c r="V31" s="528">
        <f t="shared" si="4"/>
        <v>250</v>
      </c>
      <c r="W31" s="528">
        <f t="shared" si="5"/>
        <v>0</v>
      </c>
      <c r="X31" s="529">
        <f t="shared" si="6"/>
        <v>250</v>
      </c>
      <c r="Y31" s="19"/>
      <c r="Z31" s="19"/>
    </row>
    <row r="32" spans="2:26" ht="15">
      <c r="B32" s="513">
        <f t="shared" si="7"/>
        <v>24</v>
      </c>
      <c r="C32" s="42">
        <v>3</v>
      </c>
      <c r="D32" s="43" t="s">
        <v>125</v>
      </c>
      <c r="E32" s="139"/>
      <c r="F32" s="147"/>
      <c r="G32" s="148"/>
      <c r="H32" s="148">
        <f>SUM(H33:H34)</f>
        <v>17623</v>
      </c>
      <c r="I32" s="148"/>
      <c r="J32" s="487">
        <f t="shared" si="8"/>
        <v>17623</v>
      </c>
      <c r="K32" s="490"/>
      <c r="L32" s="813">
        <f t="shared" si="1"/>
        <v>17623</v>
      </c>
      <c r="M32" s="1038">
        <f>M34</f>
        <v>15214</v>
      </c>
      <c r="N32" s="246"/>
      <c r="O32" s="243"/>
      <c r="P32" s="148"/>
      <c r="Q32" s="715">
        <f t="shared" si="2"/>
        <v>0</v>
      </c>
      <c r="R32" s="817"/>
      <c r="S32" s="819">
        <f t="shared" si="3"/>
        <v>0</v>
      </c>
      <c r="T32" s="1022"/>
      <c r="U32" s="246"/>
      <c r="V32" s="715">
        <f t="shared" si="4"/>
        <v>17623</v>
      </c>
      <c r="W32" s="817">
        <f t="shared" si="5"/>
        <v>0</v>
      </c>
      <c r="X32" s="819">
        <f t="shared" si="6"/>
        <v>17623</v>
      </c>
      <c r="Y32" s="19"/>
      <c r="Z32" s="19"/>
    </row>
    <row r="33" spans="2:26" s="594" customFormat="1" ht="12.75">
      <c r="B33" s="513">
        <f t="shared" si="7"/>
        <v>25</v>
      </c>
      <c r="C33" s="518"/>
      <c r="D33" s="742"/>
      <c r="E33" s="687"/>
      <c r="F33" s="515"/>
      <c r="G33" s="516"/>
      <c r="H33" s="717"/>
      <c r="I33" s="516"/>
      <c r="J33" s="528"/>
      <c r="K33" s="528"/>
      <c r="L33" s="722">
        <f t="shared" si="1"/>
        <v>0</v>
      </c>
      <c r="M33" s="1036"/>
      <c r="N33" s="532"/>
      <c r="O33" s="536"/>
      <c r="P33" s="516"/>
      <c r="Q33" s="528">
        <f t="shared" si="2"/>
        <v>0</v>
      </c>
      <c r="R33" s="528"/>
      <c r="S33" s="529">
        <f t="shared" si="3"/>
        <v>0</v>
      </c>
      <c r="T33" s="1020"/>
      <c r="U33" s="532"/>
      <c r="V33" s="528">
        <f t="shared" si="4"/>
        <v>0</v>
      </c>
      <c r="W33" s="528">
        <f t="shared" si="5"/>
        <v>0</v>
      </c>
      <c r="X33" s="529">
        <f t="shared" si="6"/>
        <v>0</v>
      </c>
      <c r="Y33" s="19"/>
      <c r="Z33" s="19"/>
    </row>
    <row r="34" spans="2:26" s="594" customFormat="1" ht="12.75">
      <c r="B34" s="513">
        <f t="shared" si="7"/>
        <v>26</v>
      </c>
      <c r="C34" s="518"/>
      <c r="D34" s="807"/>
      <c r="E34" s="808" t="s">
        <v>352</v>
      </c>
      <c r="F34" s="515"/>
      <c r="G34" s="515"/>
      <c r="H34" s="722">
        <v>17623</v>
      </c>
      <c r="I34" s="516"/>
      <c r="J34" s="528">
        <f>H34</f>
        <v>17623</v>
      </c>
      <c r="K34" s="528"/>
      <c r="L34" s="722">
        <f t="shared" si="1"/>
        <v>17623</v>
      </c>
      <c r="M34" s="1036">
        <v>15214</v>
      </c>
      <c r="N34" s="532"/>
      <c r="O34" s="536"/>
      <c r="P34" s="516"/>
      <c r="Q34" s="516">
        <f t="shared" si="2"/>
        <v>0</v>
      </c>
      <c r="R34" s="516"/>
      <c r="S34" s="517">
        <f t="shared" si="3"/>
        <v>0</v>
      </c>
      <c r="T34" s="1020"/>
      <c r="U34" s="532"/>
      <c r="V34" s="516">
        <f t="shared" si="4"/>
        <v>17623</v>
      </c>
      <c r="W34" s="516">
        <f t="shared" si="5"/>
        <v>0</v>
      </c>
      <c r="X34" s="517">
        <f t="shared" si="6"/>
        <v>17623</v>
      </c>
      <c r="Y34" s="19"/>
      <c r="Z34" s="19"/>
    </row>
    <row r="35" spans="2:26" ht="15">
      <c r="B35" s="32">
        <f t="shared" si="7"/>
        <v>27</v>
      </c>
      <c r="C35" s="42">
        <v>4</v>
      </c>
      <c r="D35" s="43" t="s">
        <v>126</v>
      </c>
      <c r="E35" s="139"/>
      <c r="F35" s="147"/>
      <c r="G35" s="148"/>
      <c r="H35" s="148">
        <f>H36</f>
        <v>18168</v>
      </c>
      <c r="I35" s="148"/>
      <c r="J35" s="487">
        <f>SUM(F35:I35)</f>
        <v>18168</v>
      </c>
      <c r="K35" s="490">
        <f>SUM(K36:K37)</f>
        <v>1235</v>
      </c>
      <c r="L35" s="813">
        <f t="shared" si="1"/>
        <v>19403</v>
      </c>
      <c r="M35" s="1038">
        <v>16233</v>
      </c>
      <c r="N35" s="246"/>
      <c r="O35" s="243"/>
      <c r="P35" s="148"/>
      <c r="Q35" s="715">
        <f t="shared" si="2"/>
        <v>0</v>
      </c>
      <c r="R35" s="494"/>
      <c r="S35" s="681">
        <f t="shared" si="3"/>
        <v>0</v>
      </c>
      <c r="T35" s="1022"/>
      <c r="U35" s="246"/>
      <c r="V35" s="715">
        <f t="shared" si="4"/>
        <v>18168</v>
      </c>
      <c r="W35" s="494">
        <f t="shared" si="5"/>
        <v>1235</v>
      </c>
      <c r="X35" s="681">
        <f t="shared" si="6"/>
        <v>19403</v>
      </c>
      <c r="Y35" s="19"/>
      <c r="Z35" s="19"/>
    </row>
    <row r="36" spans="2:26" s="594" customFormat="1" ht="12.75">
      <c r="B36" s="513">
        <f t="shared" si="7"/>
        <v>28</v>
      </c>
      <c r="C36" s="518"/>
      <c r="D36" s="807"/>
      <c r="E36" s="808" t="s">
        <v>352</v>
      </c>
      <c r="F36" s="515"/>
      <c r="G36" s="515"/>
      <c r="H36" s="722">
        <f>14150+2000+2018</f>
        <v>18168</v>
      </c>
      <c r="I36" s="516"/>
      <c r="J36" s="528">
        <f>H36</f>
        <v>18168</v>
      </c>
      <c r="K36" s="528">
        <v>-10000</v>
      </c>
      <c r="L36" s="722">
        <f t="shared" si="1"/>
        <v>8168</v>
      </c>
      <c r="M36" s="1036"/>
      <c r="N36" s="532"/>
      <c r="O36" s="536"/>
      <c r="P36" s="516"/>
      <c r="Q36" s="516">
        <f>SUM(O36:P36)</f>
        <v>0</v>
      </c>
      <c r="R36" s="516"/>
      <c r="S36" s="517">
        <f t="shared" si="3"/>
        <v>0</v>
      </c>
      <c r="T36" s="1020"/>
      <c r="U36" s="532"/>
      <c r="V36" s="516">
        <f t="shared" si="4"/>
        <v>18168</v>
      </c>
      <c r="W36" s="516">
        <f t="shared" si="5"/>
        <v>-10000</v>
      </c>
      <c r="X36" s="517">
        <f t="shared" si="6"/>
        <v>8168</v>
      </c>
      <c r="Y36" s="19"/>
      <c r="Z36" s="19"/>
    </row>
    <row r="37" spans="2:26" s="594" customFormat="1" ht="12.75">
      <c r="B37" s="513">
        <f t="shared" si="7"/>
        <v>29</v>
      </c>
      <c r="C37" s="518"/>
      <c r="D37" s="807"/>
      <c r="E37" s="888" t="s">
        <v>429</v>
      </c>
      <c r="F37" s="515"/>
      <c r="G37" s="515"/>
      <c r="H37" s="722"/>
      <c r="I37" s="516"/>
      <c r="J37" s="528"/>
      <c r="K37" s="528">
        <v>11235</v>
      </c>
      <c r="L37" s="722">
        <f t="shared" si="1"/>
        <v>11235</v>
      </c>
      <c r="M37" s="1036"/>
      <c r="N37" s="532"/>
      <c r="O37" s="536"/>
      <c r="P37" s="516"/>
      <c r="Q37" s="516">
        <f>SUM(O37:P37)</f>
        <v>0</v>
      </c>
      <c r="R37" s="516"/>
      <c r="S37" s="517">
        <f t="shared" si="3"/>
        <v>0</v>
      </c>
      <c r="T37" s="1020"/>
      <c r="U37" s="532"/>
      <c r="V37" s="516">
        <f t="shared" si="4"/>
        <v>0</v>
      </c>
      <c r="W37" s="516">
        <f t="shared" si="5"/>
        <v>11235</v>
      </c>
      <c r="X37" s="517">
        <f t="shared" si="6"/>
        <v>11235</v>
      </c>
      <c r="Y37" s="19"/>
      <c r="Z37" s="19"/>
    </row>
    <row r="38" spans="2:26" ht="15.75" thickBot="1">
      <c r="B38" s="33">
        <f>B37+1</f>
        <v>30</v>
      </c>
      <c r="C38" s="56">
        <v>5</v>
      </c>
      <c r="D38" s="57" t="s">
        <v>127</v>
      </c>
      <c r="E38" s="315"/>
      <c r="F38" s="151"/>
      <c r="G38" s="152"/>
      <c r="H38" s="152"/>
      <c r="I38" s="152"/>
      <c r="J38" s="809">
        <f>SUM(F38:I38)</f>
        <v>0</v>
      </c>
      <c r="K38" s="810"/>
      <c r="L38" s="814">
        <f t="shared" si="1"/>
        <v>0</v>
      </c>
      <c r="M38" s="1039"/>
      <c r="N38" s="397"/>
      <c r="O38" s="271"/>
      <c r="P38" s="152">
        <v>18320</v>
      </c>
      <c r="Q38" s="816">
        <f t="shared" si="2"/>
        <v>18320</v>
      </c>
      <c r="R38" s="818"/>
      <c r="S38" s="820">
        <f t="shared" si="3"/>
        <v>18320</v>
      </c>
      <c r="T38" s="1022"/>
      <c r="U38" s="246"/>
      <c r="V38" s="816">
        <f t="shared" si="4"/>
        <v>18320</v>
      </c>
      <c r="W38" s="818">
        <f t="shared" si="5"/>
        <v>0</v>
      </c>
      <c r="X38" s="820">
        <f t="shared" si="6"/>
        <v>18320</v>
      </c>
      <c r="Y38" s="19"/>
      <c r="Z38" s="19"/>
    </row>
    <row r="39" spans="10:25" ht="12.75">
      <c r="J39" s="35"/>
      <c r="K39" s="35"/>
      <c r="L39" s="35"/>
      <c r="M39" s="35"/>
      <c r="Y39" s="19"/>
    </row>
    <row r="40" spans="8:25" ht="12.75">
      <c r="H40" s="19"/>
      <c r="I40" s="19"/>
      <c r="J40" s="237"/>
      <c r="K40" s="237"/>
      <c r="L40" s="237"/>
      <c r="M40" s="237"/>
      <c r="Y40" s="19"/>
    </row>
  </sheetData>
  <sheetProtection/>
  <mergeCells count="24">
    <mergeCell ref="W4:W8"/>
    <mergeCell ref="X4:X8"/>
    <mergeCell ref="B5:L5"/>
    <mergeCell ref="R7:R8"/>
    <mergeCell ref="S7:S8"/>
    <mergeCell ref="O6:S6"/>
    <mergeCell ref="V4:V8"/>
    <mergeCell ref="C6:C8"/>
    <mergeCell ref="T7:T8"/>
    <mergeCell ref="B4:T4"/>
    <mergeCell ref="O5:S5"/>
    <mergeCell ref="L7:L8"/>
    <mergeCell ref="E6:L6"/>
    <mergeCell ref="J7:J8"/>
    <mergeCell ref="P7:P8"/>
    <mergeCell ref="Q7:Q8"/>
    <mergeCell ref="K7:K8"/>
    <mergeCell ref="F7:F8"/>
    <mergeCell ref="D6:D8"/>
    <mergeCell ref="G7:G8"/>
    <mergeCell ref="I7:I8"/>
    <mergeCell ref="H7:H8"/>
    <mergeCell ref="O7:O8"/>
    <mergeCell ref="M7:M8"/>
  </mergeCells>
  <printOptions/>
  <pageMargins left="0.15748031496062992" right="0.2362204724409449" top="0.4724409448818898" bottom="0.2362204724409449" header="0.31496062992125984" footer="0.196850393700787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X3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8515625" style="6" customWidth="1"/>
    <col min="3" max="3" width="2.421875" style="5" customWidth="1"/>
    <col min="4" max="4" width="2.28125" style="0" customWidth="1"/>
    <col min="5" max="5" width="31.7109375" style="0" customWidth="1"/>
    <col min="6" max="6" width="7.28125" style="0" customWidth="1"/>
    <col min="7" max="7" width="7.421875" style="0" customWidth="1"/>
    <col min="8" max="8" width="10.28125" style="0" customWidth="1"/>
    <col min="9" max="9" width="7.28125" style="0" customWidth="1"/>
    <col min="10" max="10" width="10.28125" style="0" customWidth="1"/>
    <col min="11" max="11" width="11.00390625" style="0" customWidth="1"/>
    <col min="12" max="12" width="10.28125" style="0" customWidth="1"/>
    <col min="13" max="13" width="6.421875" style="1028" customWidth="1"/>
    <col min="14" max="14" width="0.85546875" style="47" customWidth="1"/>
    <col min="15" max="15" width="3.8515625" style="0" customWidth="1"/>
    <col min="16" max="16" width="8.28125" style="0" customWidth="1"/>
    <col min="17" max="17" width="10.140625" style="0" customWidth="1"/>
    <col min="18" max="18" width="8.8515625" style="0" customWidth="1"/>
    <col min="19" max="19" width="9.28125" style="0" customWidth="1"/>
    <col min="20" max="20" width="6.57421875" style="0" customWidth="1"/>
    <col min="21" max="21" width="0.5625" style="253" customWidth="1"/>
    <col min="22" max="22" width="10.57421875" style="0" customWidth="1"/>
    <col min="23" max="23" width="11.28125" style="0" customWidth="1"/>
    <col min="24" max="24" width="10.140625" style="0" customWidth="1"/>
  </cols>
  <sheetData>
    <row r="1" spans="10:22" ht="15.75" customHeight="1">
      <c r="J1" s="175"/>
      <c r="K1" s="175"/>
      <c r="L1" s="175"/>
      <c r="M1" s="1030"/>
      <c r="N1" s="49"/>
      <c r="O1" s="45"/>
      <c r="P1" s="45"/>
      <c r="Q1" s="51"/>
      <c r="R1" s="51"/>
      <c r="S1" s="51"/>
      <c r="T1" s="51"/>
      <c r="U1" s="178"/>
      <c r="V1" s="248"/>
    </row>
    <row r="2" spans="3:22" ht="27">
      <c r="C2" s="249" t="s">
        <v>344</v>
      </c>
      <c r="I2" s="156"/>
      <c r="J2" s="183"/>
      <c r="K2" s="183"/>
      <c r="L2" s="183"/>
      <c r="M2" s="1040"/>
      <c r="N2" s="156"/>
      <c r="Q2" s="237"/>
      <c r="R2" s="237"/>
      <c r="S2" s="237"/>
      <c r="T2" s="237"/>
      <c r="V2" s="237"/>
    </row>
    <row r="3" spans="3:22" ht="4.5" customHeight="1" thickBot="1">
      <c r="C3" s="249"/>
      <c r="I3" s="156"/>
      <c r="J3" s="183"/>
      <c r="K3" s="183"/>
      <c r="L3" s="183"/>
      <c r="M3" s="1040"/>
      <c r="N3" s="156"/>
      <c r="Q3" s="237"/>
      <c r="R3" s="237"/>
      <c r="S3" s="237"/>
      <c r="T3" s="237"/>
      <c r="V3" s="237"/>
    </row>
    <row r="4" spans="2:24" ht="12.75" customHeight="1" thickBot="1">
      <c r="B4" s="1253" t="s">
        <v>313</v>
      </c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  <c r="P4" s="1254"/>
      <c r="Q4" s="1254"/>
      <c r="R4" s="1254"/>
      <c r="S4" s="1254"/>
      <c r="T4" s="1255"/>
      <c r="U4" s="254"/>
      <c r="V4" s="1189" t="s">
        <v>410</v>
      </c>
      <c r="W4" s="1249" t="s">
        <v>417</v>
      </c>
      <c r="X4" s="1186" t="s">
        <v>415</v>
      </c>
    </row>
    <row r="5" spans="2:24" ht="18.75" customHeight="1" thickTop="1">
      <c r="B5" s="1153" t="s">
        <v>12</v>
      </c>
      <c r="C5" s="1154"/>
      <c r="D5" s="1154"/>
      <c r="E5" s="1154"/>
      <c r="F5" s="1154"/>
      <c r="G5" s="1154"/>
      <c r="H5" s="1154"/>
      <c r="I5" s="1154"/>
      <c r="J5" s="1154"/>
      <c r="K5" s="1154"/>
      <c r="L5" s="1266"/>
      <c r="M5" s="1042"/>
      <c r="N5" s="1044"/>
      <c r="O5" s="1153" t="s">
        <v>297</v>
      </c>
      <c r="P5" s="1154"/>
      <c r="Q5" s="1154"/>
      <c r="R5" s="1154"/>
      <c r="S5" s="1266"/>
      <c r="T5" s="1045"/>
      <c r="U5" s="255"/>
      <c r="V5" s="1190"/>
      <c r="W5" s="1250"/>
      <c r="X5" s="1187"/>
    </row>
    <row r="6" spans="2:24" ht="12.75" customHeight="1">
      <c r="B6" s="41"/>
      <c r="C6" s="1175" t="s">
        <v>148</v>
      </c>
      <c r="D6" s="1175" t="s">
        <v>149</v>
      </c>
      <c r="E6" s="1174" t="s">
        <v>11</v>
      </c>
      <c r="F6" s="1157"/>
      <c r="G6" s="1157"/>
      <c r="H6" s="1157"/>
      <c r="I6" s="1157"/>
      <c r="J6" s="1157"/>
      <c r="K6" s="1157"/>
      <c r="L6" s="1158"/>
      <c r="M6" s="94"/>
      <c r="N6" s="15"/>
      <c r="O6" s="1212" t="s">
        <v>11</v>
      </c>
      <c r="P6" s="1213"/>
      <c r="Q6" s="1213"/>
      <c r="R6" s="1213"/>
      <c r="S6" s="1214"/>
      <c r="T6" s="94"/>
      <c r="U6" s="15"/>
      <c r="V6" s="1190"/>
      <c r="W6" s="1250"/>
      <c r="X6" s="1187"/>
    </row>
    <row r="7" spans="2:24" ht="27.75" customHeight="1">
      <c r="B7" s="41"/>
      <c r="C7" s="1176"/>
      <c r="D7" s="1176"/>
      <c r="E7" s="128" t="s">
        <v>5</v>
      </c>
      <c r="F7" s="1224">
        <v>610</v>
      </c>
      <c r="G7" s="1184">
        <v>620</v>
      </c>
      <c r="H7" s="1184">
        <v>630</v>
      </c>
      <c r="I7" s="1184">
        <v>640</v>
      </c>
      <c r="J7" s="1201" t="s">
        <v>410</v>
      </c>
      <c r="K7" s="1180" t="s">
        <v>417</v>
      </c>
      <c r="L7" s="1217" t="s">
        <v>415</v>
      </c>
      <c r="M7" s="1178" t="s">
        <v>453</v>
      </c>
      <c r="N7" s="240"/>
      <c r="O7" s="1222">
        <v>716</v>
      </c>
      <c r="P7" s="1224">
        <v>717</v>
      </c>
      <c r="Q7" s="1201" t="s">
        <v>410</v>
      </c>
      <c r="R7" s="1180" t="s">
        <v>417</v>
      </c>
      <c r="S7" s="1217" t="s">
        <v>415</v>
      </c>
      <c r="T7" s="1178" t="s">
        <v>453</v>
      </c>
      <c r="U7" s="256"/>
      <c r="V7" s="1190"/>
      <c r="W7" s="1250"/>
      <c r="X7" s="1187"/>
    </row>
    <row r="8" spans="2:24" ht="34.5" customHeight="1" thickBot="1">
      <c r="B8" s="46"/>
      <c r="C8" s="1177"/>
      <c r="D8" s="1177"/>
      <c r="E8" s="129"/>
      <c r="F8" s="1216"/>
      <c r="G8" s="1185"/>
      <c r="H8" s="1185"/>
      <c r="I8" s="1185"/>
      <c r="J8" s="1202"/>
      <c r="K8" s="1181"/>
      <c r="L8" s="1218"/>
      <c r="M8" s="1258"/>
      <c r="N8" s="180"/>
      <c r="O8" s="1222"/>
      <c r="P8" s="1224"/>
      <c r="Q8" s="1202"/>
      <c r="R8" s="1181"/>
      <c r="S8" s="1218"/>
      <c r="T8" s="1258"/>
      <c r="U8" s="306"/>
      <c r="V8" s="1191"/>
      <c r="W8" s="1251"/>
      <c r="X8" s="1188"/>
    </row>
    <row r="9" spans="2:24" ht="25.5" customHeight="1" thickBot="1" thickTop="1">
      <c r="B9" s="32">
        <v>1</v>
      </c>
      <c r="C9" s="185" t="s">
        <v>256</v>
      </c>
      <c r="D9" s="261"/>
      <c r="E9" s="339"/>
      <c r="F9" s="821">
        <f>F10+F15+F23+F26+F28+F30</f>
        <v>66770</v>
      </c>
      <c r="G9" s="821">
        <f>G10+G15+G23+G26+G28+G30</f>
        <v>23726</v>
      </c>
      <c r="H9" s="821">
        <f>H10+H15+H23+H26+H28+H30</f>
        <v>4884504</v>
      </c>
      <c r="I9" s="821">
        <f>I10+I15+I23+I26+I28+I30</f>
        <v>15000</v>
      </c>
      <c r="J9" s="822">
        <f>SUM(F9:I9)</f>
        <v>4990000</v>
      </c>
      <c r="K9" s="823">
        <f>K10+K15+K23+K26+K28+K30</f>
        <v>-2218055</v>
      </c>
      <c r="L9" s="824">
        <f>SUM(J9:K9)</f>
        <v>2771945</v>
      </c>
      <c r="M9" s="1026">
        <f>M10+M23+M30</f>
        <v>71194</v>
      </c>
      <c r="N9" s="259"/>
      <c r="O9" s="290">
        <f>O10+O15+O23+O26+O28+O30</f>
        <v>0</v>
      </c>
      <c r="P9" s="288">
        <f>P10+P15+P23+P26+P28+P30</f>
        <v>208257</v>
      </c>
      <c r="Q9" s="822">
        <f>SUM(O9:P9)</f>
        <v>208257</v>
      </c>
      <c r="R9" s="823">
        <f>R10+R15+R23+R26+R28+R30</f>
        <v>-87608</v>
      </c>
      <c r="S9" s="824">
        <f>SUM(Q9:R9)</f>
        <v>120649</v>
      </c>
      <c r="T9" s="1026">
        <f>T14</f>
        <v>23808</v>
      </c>
      <c r="U9" s="259"/>
      <c r="V9" s="669">
        <f>J9+Q9</f>
        <v>5198257</v>
      </c>
      <c r="W9" s="663">
        <f>K9+R9</f>
        <v>-2305663</v>
      </c>
      <c r="X9" s="655">
        <f>V9+W9</f>
        <v>2892594</v>
      </c>
    </row>
    <row r="10" spans="2:24" ht="15.75" thickTop="1">
      <c r="B10" s="32">
        <f>B9+1</f>
        <v>2</v>
      </c>
      <c r="C10" s="42">
        <v>1</v>
      </c>
      <c r="D10" s="43" t="s">
        <v>1</v>
      </c>
      <c r="E10" s="139"/>
      <c r="F10" s="603">
        <f>F11</f>
        <v>4500</v>
      </c>
      <c r="G10" s="604">
        <f>G11</f>
        <v>1620</v>
      </c>
      <c r="H10" s="604">
        <f>SUM(H11:H14)</f>
        <v>1834066</v>
      </c>
      <c r="I10" s="604"/>
      <c r="J10" s="650">
        <f>SUM(F10:I10)</f>
        <v>1840186</v>
      </c>
      <c r="K10" s="654">
        <f>SUM(K11:K14)</f>
        <v>-1185405</v>
      </c>
      <c r="L10" s="825">
        <f aca="true" t="shared" si="0" ref="L10:L30">SUM(J10:K10)</f>
        <v>654781</v>
      </c>
      <c r="M10" s="1022">
        <f>M11</f>
        <v>11010</v>
      </c>
      <c r="N10" s="246"/>
      <c r="O10" s="243"/>
      <c r="P10" s="147">
        <f>SUM(P11:P14)</f>
        <v>129639</v>
      </c>
      <c r="Q10" s="650">
        <f aca="true" t="shared" si="1" ref="Q10:Q30">SUM(O10:P10)</f>
        <v>129639</v>
      </c>
      <c r="R10" s="654">
        <f>SUM(R11:R14)</f>
        <v>-80000</v>
      </c>
      <c r="S10" s="825">
        <f aca="true" t="shared" si="2" ref="S10:S30">SUM(Q10:R10)</f>
        <v>49639</v>
      </c>
      <c r="T10" s="1022">
        <f>T14</f>
        <v>23808</v>
      </c>
      <c r="U10" s="246"/>
      <c r="V10" s="1116">
        <f aca="true" t="shared" si="3" ref="V10:V30">J10+Q10</f>
        <v>1969825</v>
      </c>
      <c r="W10" s="815">
        <f aca="true" t="shared" si="4" ref="W10:W30">K10+R10</f>
        <v>-1265405</v>
      </c>
      <c r="X10" s="677">
        <f aca="true" t="shared" si="5" ref="X10:X30">V10+W10</f>
        <v>704420</v>
      </c>
    </row>
    <row r="11" spans="2:24" s="594" customFormat="1" ht="12.75">
      <c r="B11" s="513">
        <f aca="true" t="shared" si="6" ref="B11:B30">B10+1</f>
        <v>3</v>
      </c>
      <c r="C11" s="514"/>
      <c r="D11" s="742"/>
      <c r="E11" s="684" t="s">
        <v>323</v>
      </c>
      <c r="F11" s="538">
        <v>4500</v>
      </c>
      <c r="G11" s="538">
        <v>1620</v>
      </c>
      <c r="H11" s="576">
        <v>28880</v>
      </c>
      <c r="I11" s="539"/>
      <c r="J11" s="549">
        <f aca="true" t="shared" si="7" ref="J11:J24">SUM(F11:I11)</f>
        <v>35000</v>
      </c>
      <c r="K11" s="549">
        <f>10825-5000</f>
        <v>5825</v>
      </c>
      <c r="L11" s="600">
        <f t="shared" si="0"/>
        <v>40825</v>
      </c>
      <c r="M11" s="1020">
        <v>11010</v>
      </c>
      <c r="N11" s="574"/>
      <c r="O11" s="601"/>
      <c r="P11" s="685"/>
      <c r="Q11" s="549">
        <f t="shared" si="1"/>
        <v>0</v>
      </c>
      <c r="R11" s="549"/>
      <c r="S11" s="600">
        <f t="shared" si="2"/>
        <v>0</v>
      </c>
      <c r="T11" s="1020"/>
      <c r="U11" s="574"/>
      <c r="V11" s="844">
        <f t="shared" si="3"/>
        <v>35000</v>
      </c>
      <c r="W11" s="685">
        <f t="shared" si="4"/>
        <v>5825</v>
      </c>
      <c r="X11" s="600">
        <f t="shared" si="5"/>
        <v>40825</v>
      </c>
    </row>
    <row r="12" spans="2:24" s="594" customFormat="1" ht="12.75">
      <c r="B12" s="513">
        <f t="shared" si="6"/>
        <v>4</v>
      </c>
      <c r="C12" s="518"/>
      <c r="D12" s="742"/>
      <c r="E12" s="808" t="s">
        <v>352</v>
      </c>
      <c r="F12" s="538"/>
      <c r="G12" s="538"/>
      <c r="H12" s="588">
        <f>1555186</f>
        <v>1555186</v>
      </c>
      <c r="I12" s="539"/>
      <c r="J12" s="549">
        <f t="shared" si="7"/>
        <v>1555186</v>
      </c>
      <c r="K12" s="549">
        <v>-1266230</v>
      </c>
      <c r="L12" s="600">
        <f t="shared" si="0"/>
        <v>288956</v>
      </c>
      <c r="M12" s="1020"/>
      <c r="N12" s="574"/>
      <c r="O12" s="828"/>
      <c r="P12" s="538"/>
      <c r="Q12" s="549">
        <f t="shared" si="1"/>
        <v>0</v>
      </c>
      <c r="R12" s="549"/>
      <c r="S12" s="600">
        <f t="shared" si="2"/>
        <v>0</v>
      </c>
      <c r="T12" s="1020"/>
      <c r="U12" s="574"/>
      <c r="V12" s="852">
        <f t="shared" si="3"/>
        <v>1555186</v>
      </c>
      <c r="W12" s="685">
        <f t="shared" si="4"/>
        <v>-1266230</v>
      </c>
      <c r="X12" s="600">
        <f t="shared" si="5"/>
        <v>288956</v>
      </c>
    </row>
    <row r="13" spans="2:24" s="594" customFormat="1" ht="12.75">
      <c r="B13" s="513">
        <f t="shared" si="6"/>
        <v>5</v>
      </c>
      <c r="C13" s="518"/>
      <c r="D13" s="742"/>
      <c r="E13" s="720" t="s">
        <v>369</v>
      </c>
      <c r="F13" s="538"/>
      <c r="G13" s="538"/>
      <c r="H13" s="588">
        <v>250000</v>
      </c>
      <c r="I13" s="539"/>
      <c r="J13" s="549">
        <f t="shared" si="7"/>
        <v>250000</v>
      </c>
      <c r="K13" s="549">
        <v>75000</v>
      </c>
      <c r="L13" s="600">
        <f t="shared" si="0"/>
        <v>325000</v>
      </c>
      <c r="M13" s="1020"/>
      <c r="N13" s="574"/>
      <c r="O13" s="828"/>
      <c r="P13" s="538"/>
      <c r="Q13" s="549">
        <f t="shared" si="1"/>
        <v>0</v>
      </c>
      <c r="R13" s="549"/>
      <c r="S13" s="600">
        <f t="shared" si="2"/>
        <v>0</v>
      </c>
      <c r="T13" s="1020"/>
      <c r="U13" s="574"/>
      <c r="V13" s="852">
        <f t="shared" si="3"/>
        <v>250000</v>
      </c>
      <c r="W13" s="685">
        <f t="shared" si="4"/>
        <v>75000</v>
      </c>
      <c r="X13" s="600">
        <f t="shared" si="5"/>
        <v>325000</v>
      </c>
    </row>
    <row r="14" spans="2:24" s="594" customFormat="1" ht="12.75">
      <c r="B14" s="513">
        <f t="shared" si="6"/>
        <v>6</v>
      </c>
      <c r="C14" s="518"/>
      <c r="D14" s="742"/>
      <c r="E14" s="808" t="s">
        <v>377</v>
      </c>
      <c r="F14" s="538"/>
      <c r="G14" s="538"/>
      <c r="H14" s="588"/>
      <c r="I14" s="539"/>
      <c r="J14" s="549">
        <f t="shared" si="7"/>
        <v>0</v>
      </c>
      <c r="K14" s="549"/>
      <c r="L14" s="600">
        <f t="shared" si="0"/>
        <v>0</v>
      </c>
      <c r="M14" s="1020"/>
      <c r="N14" s="574"/>
      <c r="O14" s="828"/>
      <c r="P14" s="538">
        <f>152905-23266</f>
        <v>129639</v>
      </c>
      <c r="Q14" s="549">
        <f t="shared" si="1"/>
        <v>129639</v>
      </c>
      <c r="R14" s="549">
        <v>-80000</v>
      </c>
      <c r="S14" s="600">
        <f t="shared" si="2"/>
        <v>49639</v>
      </c>
      <c r="T14" s="1020">
        <v>23808</v>
      </c>
      <c r="U14" s="574"/>
      <c r="V14" s="853">
        <f t="shared" si="3"/>
        <v>129639</v>
      </c>
      <c r="W14" s="685">
        <f t="shared" si="4"/>
        <v>-80000</v>
      </c>
      <c r="X14" s="600">
        <f t="shared" si="5"/>
        <v>49639</v>
      </c>
    </row>
    <row r="15" spans="2:24" ht="12.75">
      <c r="B15" s="32">
        <f t="shared" si="6"/>
        <v>7</v>
      </c>
      <c r="C15" s="42">
        <v>2</v>
      </c>
      <c r="D15" s="43" t="s">
        <v>268</v>
      </c>
      <c r="E15" s="139"/>
      <c r="F15" s="829"/>
      <c r="G15" s="316"/>
      <c r="H15" s="317">
        <f>H16+H19</f>
        <v>3035614</v>
      </c>
      <c r="I15" s="317"/>
      <c r="J15" s="558">
        <f t="shared" si="7"/>
        <v>3035614</v>
      </c>
      <c r="K15" s="559">
        <f>K16+K19</f>
        <v>-1049960</v>
      </c>
      <c r="L15" s="830">
        <f t="shared" si="0"/>
        <v>1985654</v>
      </c>
      <c r="M15" s="1022"/>
      <c r="N15" s="560"/>
      <c r="O15" s="557"/>
      <c r="P15" s="316">
        <f>P16+P19</f>
        <v>78618</v>
      </c>
      <c r="Q15" s="558">
        <f t="shared" si="1"/>
        <v>78618</v>
      </c>
      <c r="R15" s="559">
        <f>R16+R19</f>
        <v>-7608</v>
      </c>
      <c r="S15" s="830">
        <f t="shared" si="2"/>
        <v>71010</v>
      </c>
      <c r="T15" s="1022"/>
      <c r="U15" s="560"/>
      <c r="V15" s="561">
        <f t="shared" si="3"/>
        <v>3114232</v>
      </c>
      <c r="W15" s="848">
        <f t="shared" si="4"/>
        <v>-1057568</v>
      </c>
      <c r="X15" s="830">
        <f t="shared" si="5"/>
        <v>2056664</v>
      </c>
    </row>
    <row r="16" spans="2:24" s="126" customFormat="1" ht="12.75">
      <c r="B16" s="32">
        <f t="shared" si="6"/>
        <v>8</v>
      </c>
      <c r="C16" s="127"/>
      <c r="D16" s="63" t="s">
        <v>6</v>
      </c>
      <c r="E16" s="340" t="s">
        <v>232</v>
      </c>
      <c r="F16" s="831"/>
      <c r="G16" s="832"/>
      <c r="H16" s="833">
        <v>3033114</v>
      </c>
      <c r="I16" s="834"/>
      <c r="J16" s="833">
        <f t="shared" si="7"/>
        <v>3033114</v>
      </c>
      <c r="K16" s="833">
        <f>SUM(K17:K18)</f>
        <v>-1049960</v>
      </c>
      <c r="L16" s="835">
        <f t="shared" si="0"/>
        <v>1983154</v>
      </c>
      <c r="M16" s="1022"/>
      <c r="N16" s="560"/>
      <c r="O16" s="836"/>
      <c r="P16" s="832"/>
      <c r="Q16" s="833">
        <f t="shared" si="1"/>
        <v>0</v>
      </c>
      <c r="R16" s="833"/>
      <c r="S16" s="835">
        <f t="shared" si="2"/>
        <v>0</v>
      </c>
      <c r="T16" s="1022"/>
      <c r="U16" s="560"/>
      <c r="V16" s="854">
        <f t="shared" si="3"/>
        <v>3033114</v>
      </c>
      <c r="W16" s="831">
        <f t="shared" si="4"/>
        <v>-1049960</v>
      </c>
      <c r="X16" s="835">
        <f t="shared" si="5"/>
        <v>1983154</v>
      </c>
    </row>
    <row r="17" spans="2:24" s="594" customFormat="1" ht="12.75">
      <c r="B17" s="513">
        <f t="shared" si="6"/>
        <v>9</v>
      </c>
      <c r="C17" s="518"/>
      <c r="D17" s="742"/>
      <c r="E17" s="808" t="s">
        <v>352</v>
      </c>
      <c r="F17" s="538"/>
      <c r="G17" s="538"/>
      <c r="H17" s="588">
        <v>1482527</v>
      </c>
      <c r="I17" s="539"/>
      <c r="J17" s="549">
        <f>SUM(F17:I17)</f>
        <v>1482527</v>
      </c>
      <c r="K17" s="549">
        <v>-1199960</v>
      </c>
      <c r="L17" s="600">
        <f t="shared" si="0"/>
        <v>282567</v>
      </c>
      <c r="M17" s="1020"/>
      <c r="N17" s="574"/>
      <c r="O17" s="828"/>
      <c r="P17" s="538"/>
      <c r="Q17" s="549">
        <f t="shared" si="1"/>
        <v>0</v>
      </c>
      <c r="R17" s="549"/>
      <c r="S17" s="600">
        <f t="shared" si="2"/>
        <v>0</v>
      </c>
      <c r="T17" s="1020"/>
      <c r="U17" s="574"/>
      <c r="V17" s="852">
        <f t="shared" si="3"/>
        <v>1482527</v>
      </c>
      <c r="W17" s="685">
        <f t="shared" si="4"/>
        <v>-1199960</v>
      </c>
      <c r="X17" s="600">
        <f t="shared" si="5"/>
        <v>282567</v>
      </c>
    </row>
    <row r="18" spans="2:24" s="594" customFormat="1" ht="12.75">
      <c r="B18" s="513">
        <f t="shared" si="6"/>
        <v>10</v>
      </c>
      <c r="C18" s="518"/>
      <c r="D18" s="742"/>
      <c r="E18" s="720" t="s">
        <v>368</v>
      </c>
      <c r="F18" s="538"/>
      <c r="G18" s="538"/>
      <c r="H18" s="588">
        <f>3033114-1482527</f>
        <v>1550587</v>
      </c>
      <c r="I18" s="539"/>
      <c r="J18" s="549">
        <f>SUM(F18:I18)</f>
        <v>1550587</v>
      </c>
      <c r="K18" s="549">
        <v>150000</v>
      </c>
      <c r="L18" s="600">
        <f t="shared" si="0"/>
        <v>1700587</v>
      </c>
      <c r="M18" s="1020"/>
      <c r="N18" s="574"/>
      <c r="O18" s="828"/>
      <c r="P18" s="549"/>
      <c r="Q18" s="549">
        <f t="shared" si="1"/>
        <v>0</v>
      </c>
      <c r="R18" s="549"/>
      <c r="S18" s="600">
        <f t="shared" si="2"/>
        <v>0</v>
      </c>
      <c r="T18" s="1020"/>
      <c r="U18" s="574"/>
      <c r="V18" s="853">
        <f t="shared" si="3"/>
        <v>1550587</v>
      </c>
      <c r="W18" s="685">
        <f t="shared" si="4"/>
        <v>150000</v>
      </c>
      <c r="X18" s="600">
        <f t="shared" si="5"/>
        <v>1700587</v>
      </c>
    </row>
    <row r="19" spans="2:24" s="126" customFormat="1" ht="12.75">
      <c r="B19" s="32">
        <f t="shared" si="6"/>
        <v>11</v>
      </c>
      <c r="C19" s="127"/>
      <c r="D19" s="63" t="s">
        <v>7</v>
      </c>
      <c r="E19" s="340" t="s">
        <v>119</v>
      </c>
      <c r="F19" s="831"/>
      <c r="G19" s="832"/>
      <c r="H19" s="833">
        <v>2500</v>
      </c>
      <c r="I19" s="834"/>
      <c r="J19" s="833">
        <f t="shared" si="7"/>
        <v>2500</v>
      </c>
      <c r="K19" s="833"/>
      <c r="L19" s="835">
        <f t="shared" si="0"/>
        <v>2500</v>
      </c>
      <c r="M19" s="1022"/>
      <c r="N19" s="560"/>
      <c r="O19" s="836"/>
      <c r="P19" s="831">
        <f>SUM(P20:P22)</f>
        <v>78618</v>
      </c>
      <c r="Q19" s="833">
        <f t="shared" si="1"/>
        <v>78618</v>
      </c>
      <c r="R19" s="833">
        <f>SUM(R20:R22)</f>
        <v>-7608</v>
      </c>
      <c r="S19" s="835">
        <f t="shared" si="2"/>
        <v>71010</v>
      </c>
      <c r="T19" s="1022"/>
      <c r="U19" s="560"/>
      <c r="V19" s="854">
        <f t="shared" si="3"/>
        <v>81118</v>
      </c>
      <c r="W19" s="831">
        <f t="shared" si="4"/>
        <v>-7608</v>
      </c>
      <c r="X19" s="835">
        <f t="shared" si="5"/>
        <v>73510</v>
      </c>
    </row>
    <row r="20" spans="2:24" s="594" customFormat="1" ht="12.75">
      <c r="B20" s="513">
        <f t="shared" si="6"/>
        <v>12</v>
      </c>
      <c r="C20" s="763"/>
      <c r="D20" s="742"/>
      <c r="E20" s="826" t="s">
        <v>340</v>
      </c>
      <c r="F20" s="837"/>
      <c r="G20" s="776"/>
      <c r="H20" s="838"/>
      <c r="I20" s="777"/>
      <c r="J20" s="539">
        <f t="shared" si="7"/>
        <v>0</v>
      </c>
      <c r="K20" s="539"/>
      <c r="L20" s="595">
        <f t="shared" si="0"/>
        <v>0</v>
      </c>
      <c r="M20" s="1020"/>
      <c r="N20" s="778"/>
      <c r="O20" s="839"/>
      <c r="P20" s="837">
        <v>65060</v>
      </c>
      <c r="Q20" s="539">
        <f t="shared" si="1"/>
        <v>65060</v>
      </c>
      <c r="R20" s="539"/>
      <c r="S20" s="595">
        <f t="shared" si="2"/>
        <v>65060</v>
      </c>
      <c r="T20" s="1020"/>
      <c r="U20" s="840"/>
      <c r="V20" s="853">
        <f t="shared" si="3"/>
        <v>65060</v>
      </c>
      <c r="W20" s="538">
        <f t="shared" si="4"/>
        <v>0</v>
      </c>
      <c r="X20" s="595">
        <f t="shared" si="5"/>
        <v>65060</v>
      </c>
    </row>
    <row r="21" spans="2:24" s="594" customFormat="1" ht="12.75">
      <c r="B21" s="513">
        <f t="shared" si="6"/>
        <v>13</v>
      </c>
      <c r="C21" s="763"/>
      <c r="D21" s="742"/>
      <c r="E21" s="827" t="s">
        <v>372</v>
      </c>
      <c r="F21" s="837"/>
      <c r="G21" s="776"/>
      <c r="H21" s="838"/>
      <c r="I21" s="777"/>
      <c r="J21" s="539">
        <f t="shared" si="7"/>
        <v>0</v>
      </c>
      <c r="K21" s="539"/>
      <c r="L21" s="595">
        <f t="shared" si="0"/>
        <v>0</v>
      </c>
      <c r="M21" s="1020"/>
      <c r="N21" s="778"/>
      <c r="O21" s="839"/>
      <c r="P21" s="837">
        <v>5950</v>
      </c>
      <c r="Q21" s="539">
        <f t="shared" si="1"/>
        <v>5950</v>
      </c>
      <c r="R21" s="539"/>
      <c r="S21" s="595">
        <f t="shared" si="2"/>
        <v>5950</v>
      </c>
      <c r="T21" s="1020"/>
      <c r="U21" s="840"/>
      <c r="V21" s="853">
        <f t="shared" si="3"/>
        <v>5950</v>
      </c>
      <c r="W21" s="538">
        <f t="shared" si="4"/>
        <v>0</v>
      </c>
      <c r="X21" s="595">
        <f t="shared" si="5"/>
        <v>5950</v>
      </c>
    </row>
    <row r="22" spans="2:24" s="594" customFormat="1" ht="12.75">
      <c r="B22" s="513">
        <f t="shared" si="6"/>
        <v>14</v>
      </c>
      <c r="C22" s="763"/>
      <c r="D22" s="742"/>
      <c r="E22" s="683" t="s">
        <v>371</v>
      </c>
      <c r="F22" s="837"/>
      <c r="G22" s="776"/>
      <c r="H22" s="838"/>
      <c r="I22" s="777"/>
      <c r="J22" s="539">
        <f t="shared" si="7"/>
        <v>0</v>
      </c>
      <c r="K22" s="539"/>
      <c r="L22" s="595">
        <f t="shared" si="0"/>
        <v>0</v>
      </c>
      <c r="M22" s="1020"/>
      <c r="N22" s="778"/>
      <c r="O22" s="839"/>
      <c r="P22" s="837">
        <v>7608</v>
      </c>
      <c r="Q22" s="539">
        <f t="shared" si="1"/>
        <v>7608</v>
      </c>
      <c r="R22" s="539">
        <v>-7608</v>
      </c>
      <c r="S22" s="595">
        <f t="shared" si="2"/>
        <v>0</v>
      </c>
      <c r="T22" s="1020"/>
      <c r="U22" s="840"/>
      <c r="V22" s="853">
        <f t="shared" si="3"/>
        <v>7608</v>
      </c>
      <c r="W22" s="538">
        <f t="shared" si="4"/>
        <v>-7608</v>
      </c>
      <c r="X22" s="595">
        <f t="shared" si="5"/>
        <v>0</v>
      </c>
    </row>
    <row r="23" spans="2:24" ht="12.75">
      <c r="B23" s="32">
        <f t="shared" si="6"/>
        <v>15</v>
      </c>
      <c r="C23" s="42">
        <v>3</v>
      </c>
      <c r="D23" s="43" t="s">
        <v>176</v>
      </c>
      <c r="E23" s="139"/>
      <c r="F23" s="316"/>
      <c r="G23" s="317"/>
      <c r="H23" s="317">
        <v>4200</v>
      </c>
      <c r="I23" s="317"/>
      <c r="J23" s="551">
        <f t="shared" si="7"/>
        <v>4200</v>
      </c>
      <c r="K23" s="552"/>
      <c r="L23" s="841">
        <f t="shared" si="0"/>
        <v>4200</v>
      </c>
      <c r="M23" s="1022">
        <v>360</v>
      </c>
      <c r="N23" s="560"/>
      <c r="O23" s="557"/>
      <c r="P23" s="316"/>
      <c r="Q23" s="551">
        <f t="shared" si="1"/>
        <v>0</v>
      </c>
      <c r="R23" s="552"/>
      <c r="S23" s="841">
        <f t="shared" si="2"/>
        <v>0</v>
      </c>
      <c r="T23" s="1022"/>
      <c r="U23" s="560"/>
      <c r="V23" s="561">
        <f t="shared" si="3"/>
        <v>4200</v>
      </c>
      <c r="W23" s="849">
        <f t="shared" si="4"/>
        <v>0</v>
      </c>
      <c r="X23" s="841">
        <f t="shared" si="5"/>
        <v>4200</v>
      </c>
    </row>
    <row r="24" spans="2:24" s="594" customFormat="1" ht="12.75">
      <c r="B24" s="513">
        <f t="shared" si="6"/>
        <v>16</v>
      </c>
      <c r="C24" s="514"/>
      <c r="D24" s="586"/>
      <c r="E24" s="721" t="s">
        <v>246</v>
      </c>
      <c r="F24" s="685"/>
      <c r="G24" s="549"/>
      <c r="H24" s="576"/>
      <c r="I24" s="549"/>
      <c r="J24" s="842">
        <f t="shared" si="7"/>
        <v>0</v>
      </c>
      <c r="K24" s="842"/>
      <c r="L24" s="843">
        <f t="shared" si="0"/>
        <v>0</v>
      </c>
      <c r="M24" s="1022"/>
      <c r="N24" s="574"/>
      <c r="O24" s="601"/>
      <c r="P24" s="685"/>
      <c r="Q24" s="842">
        <f t="shared" si="1"/>
        <v>0</v>
      </c>
      <c r="R24" s="842"/>
      <c r="S24" s="843">
        <f t="shared" si="2"/>
        <v>0</v>
      </c>
      <c r="T24" s="1022"/>
      <c r="U24" s="574"/>
      <c r="V24" s="852">
        <f t="shared" si="3"/>
        <v>0</v>
      </c>
      <c r="W24" s="850">
        <f t="shared" si="4"/>
        <v>0</v>
      </c>
      <c r="X24" s="843">
        <f t="shared" si="5"/>
        <v>0</v>
      </c>
    </row>
    <row r="25" spans="2:24" s="594" customFormat="1" ht="12.75">
      <c r="B25" s="513">
        <f t="shared" si="6"/>
        <v>17</v>
      </c>
      <c r="C25" s="518"/>
      <c r="D25" s="742"/>
      <c r="E25" s="808" t="s">
        <v>352</v>
      </c>
      <c r="F25" s="538"/>
      <c r="G25" s="538"/>
      <c r="H25" s="588">
        <v>2094</v>
      </c>
      <c r="I25" s="539"/>
      <c r="J25" s="549">
        <f aca="true" t="shared" si="8" ref="J25:J30">SUM(F25:I25)</f>
        <v>2094</v>
      </c>
      <c r="K25" s="549"/>
      <c r="L25" s="600">
        <f t="shared" si="0"/>
        <v>2094</v>
      </c>
      <c r="M25" s="1020"/>
      <c r="N25" s="574"/>
      <c r="O25" s="828"/>
      <c r="P25" s="538"/>
      <c r="Q25" s="549">
        <f t="shared" si="1"/>
        <v>0</v>
      </c>
      <c r="R25" s="549"/>
      <c r="S25" s="600">
        <f t="shared" si="2"/>
        <v>0</v>
      </c>
      <c r="T25" s="1020"/>
      <c r="U25" s="574"/>
      <c r="V25" s="852">
        <f t="shared" si="3"/>
        <v>2094</v>
      </c>
      <c r="W25" s="685">
        <f t="shared" si="4"/>
        <v>0</v>
      </c>
      <c r="X25" s="600">
        <f t="shared" si="5"/>
        <v>2094</v>
      </c>
    </row>
    <row r="26" spans="2:24" ht="12.75">
      <c r="B26" s="32">
        <f t="shared" si="6"/>
        <v>18</v>
      </c>
      <c r="C26" s="42">
        <v>4</v>
      </c>
      <c r="D26" s="43" t="s">
        <v>134</v>
      </c>
      <c r="E26" s="139"/>
      <c r="F26" s="316"/>
      <c r="G26" s="317"/>
      <c r="H26" s="317"/>
      <c r="I26" s="317">
        <f>I27</f>
        <v>15000</v>
      </c>
      <c r="J26" s="551">
        <f t="shared" si="8"/>
        <v>15000</v>
      </c>
      <c r="K26" s="552"/>
      <c r="L26" s="841">
        <f t="shared" si="0"/>
        <v>15000</v>
      </c>
      <c r="M26" s="1022"/>
      <c r="N26" s="560"/>
      <c r="O26" s="557"/>
      <c r="P26" s="316"/>
      <c r="Q26" s="551">
        <f t="shared" si="1"/>
        <v>0</v>
      </c>
      <c r="R26" s="552"/>
      <c r="S26" s="841">
        <f t="shared" si="2"/>
        <v>0</v>
      </c>
      <c r="T26" s="1022"/>
      <c r="U26" s="560"/>
      <c r="V26" s="561">
        <f t="shared" si="3"/>
        <v>15000</v>
      </c>
      <c r="W26" s="849">
        <f t="shared" si="4"/>
        <v>0</v>
      </c>
      <c r="X26" s="841">
        <f t="shared" si="5"/>
        <v>15000</v>
      </c>
    </row>
    <row r="27" spans="2:24" s="594" customFormat="1" ht="12.75">
      <c r="B27" s="513">
        <f t="shared" si="6"/>
        <v>19</v>
      </c>
      <c r="C27" s="514"/>
      <c r="D27" s="586"/>
      <c r="E27" s="687" t="s">
        <v>199</v>
      </c>
      <c r="F27" s="685"/>
      <c r="G27" s="549"/>
      <c r="H27" s="576"/>
      <c r="I27" s="549">
        <v>15000</v>
      </c>
      <c r="J27" s="549">
        <f t="shared" si="8"/>
        <v>15000</v>
      </c>
      <c r="K27" s="549"/>
      <c r="L27" s="600">
        <f t="shared" si="0"/>
        <v>15000</v>
      </c>
      <c r="M27" s="1020"/>
      <c r="N27" s="574"/>
      <c r="O27" s="844"/>
      <c r="P27" s="779"/>
      <c r="Q27" s="549">
        <f t="shared" si="1"/>
        <v>0</v>
      </c>
      <c r="R27" s="549"/>
      <c r="S27" s="600">
        <f t="shared" si="2"/>
        <v>0</v>
      </c>
      <c r="T27" s="1020"/>
      <c r="U27" s="574"/>
      <c r="V27" s="853">
        <f t="shared" si="3"/>
        <v>15000</v>
      </c>
      <c r="W27" s="685">
        <f t="shared" si="4"/>
        <v>0</v>
      </c>
      <c r="X27" s="600">
        <f t="shared" si="5"/>
        <v>15000</v>
      </c>
    </row>
    <row r="28" spans="2:24" ht="12.75">
      <c r="B28" s="32">
        <f t="shared" si="6"/>
        <v>20</v>
      </c>
      <c r="C28" s="42">
        <v>5</v>
      </c>
      <c r="D28" s="43" t="s">
        <v>135</v>
      </c>
      <c r="E28" s="139"/>
      <c r="F28" s="316"/>
      <c r="G28" s="317"/>
      <c r="H28" s="317"/>
      <c r="I28" s="317"/>
      <c r="J28" s="551">
        <f t="shared" si="8"/>
        <v>0</v>
      </c>
      <c r="K28" s="552">
        <f>K29</f>
        <v>7310</v>
      </c>
      <c r="L28" s="841">
        <f t="shared" si="0"/>
        <v>7310</v>
      </c>
      <c r="M28" s="1022"/>
      <c r="N28" s="560"/>
      <c r="O28" s="578"/>
      <c r="P28" s="336"/>
      <c r="Q28" s="551">
        <f t="shared" si="1"/>
        <v>0</v>
      </c>
      <c r="R28" s="552"/>
      <c r="S28" s="841">
        <f t="shared" si="2"/>
        <v>0</v>
      </c>
      <c r="T28" s="1022"/>
      <c r="U28" s="560"/>
      <c r="V28" s="561">
        <f t="shared" si="3"/>
        <v>0</v>
      </c>
      <c r="W28" s="849">
        <f t="shared" si="4"/>
        <v>7310</v>
      </c>
      <c r="X28" s="841">
        <f t="shared" si="5"/>
        <v>7310</v>
      </c>
    </row>
    <row r="29" spans="2:24" s="594" customFormat="1" ht="12.75">
      <c r="B29" s="513">
        <f t="shared" si="6"/>
        <v>21</v>
      </c>
      <c r="C29" s="514"/>
      <c r="D29" s="586"/>
      <c r="E29" s="684" t="s">
        <v>323</v>
      </c>
      <c r="F29" s="538"/>
      <c r="G29" s="538"/>
      <c r="H29" s="576"/>
      <c r="I29" s="539"/>
      <c r="J29" s="549">
        <f t="shared" si="8"/>
        <v>0</v>
      </c>
      <c r="K29" s="549">
        <v>7310</v>
      </c>
      <c r="L29" s="600">
        <f t="shared" si="0"/>
        <v>7310</v>
      </c>
      <c r="M29" s="1020"/>
      <c r="N29" s="574"/>
      <c r="O29" s="601"/>
      <c r="P29" s="685"/>
      <c r="Q29" s="549">
        <f t="shared" si="1"/>
        <v>0</v>
      </c>
      <c r="R29" s="549"/>
      <c r="S29" s="600">
        <f t="shared" si="2"/>
        <v>0</v>
      </c>
      <c r="T29" s="1020"/>
      <c r="U29" s="574"/>
      <c r="V29" s="853">
        <f t="shared" si="3"/>
        <v>0</v>
      </c>
      <c r="W29" s="685">
        <f t="shared" si="4"/>
        <v>7310</v>
      </c>
      <c r="X29" s="600">
        <f t="shared" si="5"/>
        <v>7310</v>
      </c>
    </row>
    <row r="30" spans="2:24" ht="13.5" thickBot="1">
      <c r="B30" s="33">
        <f t="shared" si="6"/>
        <v>22</v>
      </c>
      <c r="C30" s="56">
        <v>6</v>
      </c>
      <c r="D30" s="57" t="s">
        <v>278</v>
      </c>
      <c r="E30" s="315"/>
      <c r="F30" s="318">
        <v>62270</v>
      </c>
      <c r="G30" s="319">
        <v>22106</v>
      </c>
      <c r="H30" s="319">
        <v>10624</v>
      </c>
      <c r="I30" s="319"/>
      <c r="J30" s="845">
        <f t="shared" si="8"/>
        <v>95000</v>
      </c>
      <c r="K30" s="584">
        <v>10000</v>
      </c>
      <c r="L30" s="846">
        <f t="shared" si="0"/>
        <v>105000</v>
      </c>
      <c r="M30" s="1043">
        <v>59824</v>
      </c>
      <c r="N30" s="582"/>
      <c r="O30" s="580"/>
      <c r="P30" s="847"/>
      <c r="Q30" s="845">
        <f t="shared" si="1"/>
        <v>0</v>
      </c>
      <c r="R30" s="584"/>
      <c r="S30" s="846">
        <f t="shared" si="2"/>
        <v>0</v>
      </c>
      <c r="T30" s="1022"/>
      <c r="U30" s="560"/>
      <c r="V30" s="583">
        <f t="shared" si="3"/>
        <v>95000</v>
      </c>
      <c r="W30" s="851">
        <f t="shared" si="4"/>
        <v>10000</v>
      </c>
      <c r="X30" s="846">
        <f t="shared" si="5"/>
        <v>105000</v>
      </c>
    </row>
    <row r="31" spans="10:20" ht="12.75">
      <c r="J31" s="19"/>
      <c r="K31" s="19"/>
      <c r="L31" s="19"/>
      <c r="M31" s="1030"/>
      <c r="T31" s="1028"/>
    </row>
  </sheetData>
  <sheetProtection/>
  <mergeCells count="24">
    <mergeCell ref="V4:V8"/>
    <mergeCell ref="O7:O8"/>
    <mergeCell ref="R7:R8"/>
    <mergeCell ref="S7:S8"/>
    <mergeCell ref="O5:S5"/>
    <mergeCell ref="G7:G8"/>
    <mergeCell ref="Q7:Q8"/>
    <mergeCell ref="H7:H8"/>
    <mergeCell ref="C6:C8"/>
    <mergeCell ref="P7:P8"/>
    <mergeCell ref="J7:J8"/>
    <mergeCell ref="E6:L6"/>
    <mergeCell ref="D6:D8"/>
    <mergeCell ref="F7:F8"/>
    <mergeCell ref="W4:W8"/>
    <mergeCell ref="X4:X8"/>
    <mergeCell ref="B5:L5"/>
    <mergeCell ref="K7:K8"/>
    <mergeCell ref="L7:L8"/>
    <mergeCell ref="O6:S6"/>
    <mergeCell ref="M7:M8"/>
    <mergeCell ref="T7:T8"/>
    <mergeCell ref="B4:T4"/>
    <mergeCell ref="I7:I8"/>
  </mergeCells>
  <printOptions/>
  <pageMargins left="0.15748031496062992" right="0.15748031496062992" top="0.6692913385826772" bottom="0.2755905511811024" header="0.5118110236220472" footer="0.1968503937007874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421875" style="156" customWidth="1"/>
    <col min="2" max="2" width="3.140625" style="6" customWidth="1"/>
    <col min="3" max="3" width="3.140625" style="5" customWidth="1"/>
    <col min="4" max="4" width="2.28125" style="0" customWidth="1"/>
    <col min="5" max="5" width="40.421875" style="0" customWidth="1"/>
    <col min="6" max="6" width="8.7109375" style="0" customWidth="1"/>
    <col min="7" max="7" width="8.421875" style="0" customWidth="1"/>
    <col min="8" max="8" width="8.7109375" style="0" customWidth="1"/>
    <col min="9" max="9" width="7.140625" style="0" customWidth="1"/>
    <col min="10" max="10" width="10.7109375" style="0" customWidth="1"/>
    <col min="11" max="11" width="9.7109375" style="0" customWidth="1"/>
    <col min="12" max="12" width="10.28125" style="0" customWidth="1"/>
    <col min="13" max="13" width="7.00390625" style="0" customWidth="1"/>
    <col min="14" max="14" width="0.9921875" style="126" customWidth="1"/>
    <col min="15" max="16" width="5.8515625" style="0" customWidth="1"/>
    <col min="17" max="17" width="10.8515625" style="0" customWidth="1"/>
    <col min="18" max="18" width="0.9921875" style="156" customWidth="1"/>
    <col min="19" max="19" width="11.140625" style="0" customWidth="1"/>
    <col min="20" max="20" width="9.57421875" style="146" customWidth="1"/>
    <col min="21" max="21" width="10.8515625" style="0" customWidth="1"/>
  </cols>
  <sheetData>
    <row r="1" spans="10:20" ht="12" customHeight="1">
      <c r="J1" s="173"/>
      <c r="K1" s="173"/>
      <c r="L1" s="173"/>
      <c r="M1" s="173"/>
      <c r="N1" s="268"/>
      <c r="O1" s="45"/>
      <c r="P1" s="45"/>
      <c r="Q1" s="51"/>
      <c r="R1" s="170"/>
      <c r="S1" s="248"/>
      <c r="T1" s="278"/>
    </row>
    <row r="2" spans="3:19" ht="27">
      <c r="C2" s="249" t="s">
        <v>258</v>
      </c>
      <c r="J2" s="181"/>
      <c r="K2" s="181"/>
      <c r="L2" s="181"/>
      <c r="M2" s="181"/>
      <c r="N2" s="181"/>
      <c r="Q2" s="237"/>
      <c r="S2" s="237"/>
    </row>
    <row r="3" spans="10:14" ht="6.75" customHeight="1" thickBot="1">
      <c r="J3" s="170"/>
      <c r="K3" s="170"/>
      <c r="L3" s="170"/>
      <c r="M3" s="170"/>
      <c r="N3" s="156"/>
    </row>
    <row r="4" spans="2:21" ht="12.75" customHeight="1" thickBot="1">
      <c r="B4" s="1159" t="s">
        <v>313</v>
      </c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3"/>
      <c r="P4" s="1273"/>
      <c r="Q4" s="1274"/>
      <c r="R4" s="250"/>
      <c r="S4" s="1189" t="s">
        <v>410</v>
      </c>
      <c r="T4" s="1249" t="s">
        <v>417</v>
      </c>
      <c r="U4" s="1186" t="s">
        <v>415</v>
      </c>
    </row>
    <row r="5" spans="2:21" ht="18.75" customHeight="1" thickTop="1">
      <c r="B5" s="1231" t="s">
        <v>12</v>
      </c>
      <c r="C5" s="1232"/>
      <c r="D5" s="1232"/>
      <c r="E5" s="1232"/>
      <c r="F5" s="1232"/>
      <c r="G5" s="1232"/>
      <c r="H5" s="1232"/>
      <c r="I5" s="1232"/>
      <c r="J5" s="1232"/>
      <c r="K5" s="1232"/>
      <c r="L5" s="1233"/>
      <c r="M5" s="1042"/>
      <c r="N5" s="322"/>
      <c r="O5" s="1231" t="s">
        <v>297</v>
      </c>
      <c r="P5" s="1270"/>
      <c r="Q5" s="1271"/>
      <c r="R5" s="269"/>
      <c r="S5" s="1190"/>
      <c r="T5" s="1250"/>
      <c r="U5" s="1187"/>
    </row>
    <row r="6" spans="2:21" ht="12.75" customHeight="1">
      <c r="B6" s="41"/>
      <c r="C6" s="1175" t="s">
        <v>148</v>
      </c>
      <c r="D6" s="1175" t="s">
        <v>149</v>
      </c>
      <c r="E6" s="1174" t="s">
        <v>11</v>
      </c>
      <c r="F6" s="1157"/>
      <c r="G6" s="1157"/>
      <c r="H6" s="1157"/>
      <c r="I6" s="1157"/>
      <c r="J6" s="1157"/>
      <c r="K6" s="1157"/>
      <c r="L6" s="1158"/>
      <c r="M6" s="1019"/>
      <c r="N6" s="311"/>
      <c r="O6" s="1212" t="s">
        <v>11</v>
      </c>
      <c r="P6" s="1275"/>
      <c r="Q6" s="1276"/>
      <c r="R6" s="270"/>
      <c r="S6" s="1190"/>
      <c r="T6" s="1250"/>
      <c r="U6" s="1187"/>
    </row>
    <row r="7" spans="2:21" ht="27.75" customHeight="1">
      <c r="B7" s="41"/>
      <c r="C7" s="1176"/>
      <c r="D7" s="1176"/>
      <c r="E7" s="52" t="s">
        <v>5</v>
      </c>
      <c r="F7" s="1224">
        <v>610</v>
      </c>
      <c r="G7" s="1184">
        <v>620</v>
      </c>
      <c r="H7" s="1184">
        <v>630</v>
      </c>
      <c r="I7" s="1184">
        <v>640</v>
      </c>
      <c r="J7" s="1201" t="s">
        <v>410</v>
      </c>
      <c r="K7" s="1180" t="s">
        <v>417</v>
      </c>
      <c r="L7" s="1217" t="s">
        <v>415</v>
      </c>
      <c r="M7" s="1178" t="s">
        <v>453</v>
      </c>
      <c r="N7" s="153"/>
      <c r="O7" s="1222">
        <v>716</v>
      </c>
      <c r="P7" s="1194">
        <v>717</v>
      </c>
      <c r="Q7" s="1198" t="s">
        <v>410</v>
      </c>
      <c r="R7" s="153"/>
      <c r="S7" s="1190"/>
      <c r="T7" s="1250"/>
      <c r="U7" s="1187"/>
    </row>
    <row r="8" spans="2:21" ht="32.25" customHeight="1" thickBot="1">
      <c r="B8" s="46"/>
      <c r="C8" s="1177"/>
      <c r="D8" s="1177"/>
      <c r="E8" s="53"/>
      <c r="F8" s="1216"/>
      <c r="G8" s="1185"/>
      <c r="H8" s="1185"/>
      <c r="I8" s="1185"/>
      <c r="J8" s="1202"/>
      <c r="K8" s="1181"/>
      <c r="L8" s="1218"/>
      <c r="M8" s="1258"/>
      <c r="N8" s="325"/>
      <c r="O8" s="1193"/>
      <c r="P8" s="1185"/>
      <c r="Q8" s="1199"/>
      <c r="R8" s="279"/>
      <c r="S8" s="1191"/>
      <c r="T8" s="1251"/>
      <c r="U8" s="1188"/>
    </row>
    <row r="9" spans="2:22" ht="24.75" customHeight="1" thickBot="1" thickTop="1">
      <c r="B9" s="32">
        <v>1</v>
      </c>
      <c r="C9" s="313" t="s">
        <v>259</v>
      </c>
      <c r="D9" s="261"/>
      <c r="E9" s="262"/>
      <c r="F9" s="258">
        <f>F10+F12+F13+F14+F18+F28+F31+F33+F34+F36+F38</f>
        <v>737600</v>
      </c>
      <c r="G9" s="258">
        <f>G10+G12+G13+G14+G18+G28+G31+G33+G34+G36+G38</f>
        <v>258800</v>
      </c>
      <c r="H9" s="258">
        <f>H10+H12+H13+H14+H18+H28+H31+H33+H34+H36+H38</f>
        <v>493631</v>
      </c>
      <c r="I9" s="258">
        <f>I10+I12+I13+I14+I18+I28+I31+I33+I34+I36+I38</f>
        <v>39969</v>
      </c>
      <c r="J9" s="822">
        <f>SUM(F9:I9)</f>
        <v>1530000</v>
      </c>
      <c r="K9" s="823">
        <f>K10+K12+K13+K14+K18+K28+K31+K33+K34+K36+K38</f>
        <v>5751</v>
      </c>
      <c r="L9" s="856">
        <f>SUM(J9:K9)</f>
        <v>1535751</v>
      </c>
      <c r="M9" s="1026">
        <f>M10+M12+M13+M14+M18+M28+M31+M34+M36+M38+M33</f>
        <v>678121</v>
      </c>
      <c r="N9" s="323"/>
      <c r="O9" s="260">
        <f>SUM(O10:O11)</f>
        <v>0</v>
      </c>
      <c r="P9" s="258">
        <f>P10+P12+P13+P14+P18+P28+P31+P33+P34+P36</f>
        <v>0</v>
      </c>
      <c r="Q9" s="857">
        <f>SUM(O9:P9)</f>
        <v>0</v>
      </c>
      <c r="R9" s="280"/>
      <c r="S9" s="669">
        <f>J9+Q9</f>
        <v>1530000</v>
      </c>
      <c r="T9" s="663">
        <f>K9+Q9</f>
        <v>5751</v>
      </c>
      <c r="U9" s="655">
        <f>S9+T9</f>
        <v>1535751</v>
      </c>
      <c r="V9" s="19"/>
    </row>
    <row r="10" spans="2:22" ht="15.75" thickTop="1">
      <c r="B10" s="32">
        <f aca="true" t="shared" si="0" ref="B10:B39">B9+1</f>
        <v>2</v>
      </c>
      <c r="C10" s="42">
        <v>1</v>
      </c>
      <c r="D10" s="43" t="s">
        <v>112</v>
      </c>
      <c r="E10" s="44"/>
      <c r="F10" s="147">
        <f>F11</f>
        <v>70000</v>
      </c>
      <c r="G10" s="148">
        <f>G11</f>
        <v>24600</v>
      </c>
      <c r="H10" s="148">
        <f>H11</f>
        <v>45000</v>
      </c>
      <c r="I10" s="148">
        <f>I11</f>
        <v>3000</v>
      </c>
      <c r="J10" s="672">
        <f>SUM(F10:I10)</f>
        <v>142600</v>
      </c>
      <c r="K10" s="489"/>
      <c r="L10" s="585">
        <f aca="true" t="shared" si="1" ref="L10:L39">SUM(J10:K10)</f>
        <v>142600</v>
      </c>
      <c r="M10" s="1022">
        <f>M11</f>
        <v>72807</v>
      </c>
      <c r="N10" s="171"/>
      <c r="O10" s="243"/>
      <c r="P10" s="148"/>
      <c r="Q10" s="445"/>
      <c r="R10" s="171"/>
      <c r="S10" s="1116">
        <f aca="true" t="shared" si="2" ref="S10:S39">J10+Q10</f>
        <v>142600</v>
      </c>
      <c r="T10" s="489">
        <f aca="true" t="shared" si="3" ref="T10:T39">K10+Q10</f>
        <v>0</v>
      </c>
      <c r="U10" s="585">
        <f aca="true" t="shared" si="4" ref="U10:U39">SUM(S10:T10)</f>
        <v>142600</v>
      </c>
      <c r="V10" s="19"/>
    </row>
    <row r="11" spans="1:22" s="594" customFormat="1" ht="12.75">
      <c r="A11" s="858"/>
      <c r="B11" s="513">
        <f t="shared" si="0"/>
        <v>3</v>
      </c>
      <c r="C11" s="514"/>
      <c r="D11" s="586"/>
      <c r="E11" s="755" t="s">
        <v>226</v>
      </c>
      <c r="F11" s="722">
        <v>70000</v>
      </c>
      <c r="G11" s="528">
        <v>24600</v>
      </c>
      <c r="H11" s="534">
        <v>45000</v>
      </c>
      <c r="I11" s="528">
        <v>3000</v>
      </c>
      <c r="J11" s="528">
        <f>SUM(F11:I11)</f>
        <v>142600</v>
      </c>
      <c r="K11" s="528"/>
      <c r="L11" s="589">
        <f t="shared" si="1"/>
        <v>142600</v>
      </c>
      <c r="M11" s="1020">
        <v>72807</v>
      </c>
      <c r="N11" s="590"/>
      <c r="O11" s="530"/>
      <c r="P11" s="531"/>
      <c r="Q11" s="589"/>
      <c r="R11" s="590"/>
      <c r="S11" s="844">
        <f t="shared" si="2"/>
        <v>142600</v>
      </c>
      <c r="T11" s="528">
        <f t="shared" si="3"/>
        <v>0</v>
      </c>
      <c r="U11" s="589">
        <f t="shared" si="4"/>
        <v>142600</v>
      </c>
      <c r="V11" s="19"/>
    </row>
    <row r="12" spans="2:22" ht="15">
      <c r="B12" s="32">
        <f t="shared" si="0"/>
        <v>4</v>
      </c>
      <c r="C12" s="42">
        <v>2</v>
      </c>
      <c r="D12" s="43" t="s">
        <v>177</v>
      </c>
      <c r="E12" s="138"/>
      <c r="F12" s="147"/>
      <c r="G12" s="148"/>
      <c r="H12" s="148"/>
      <c r="I12" s="148">
        <v>2000</v>
      </c>
      <c r="J12" s="501">
        <f>I12</f>
        <v>2000</v>
      </c>
      <c r="K12" s="490">
        <v>-1000</v>
      </c>
      <c r="L12" s="496">
        <f t="shared" si="1"/>
        <v>1000</v>
      </c>
      <c r="M12" s="1022"/>
      <c r="N12" s="171"/>
      <c r="O12" s="245"/>
      <c r="P12" s="150"/>
      <c r="Q12" s="441"/>
      <c r="R12" s="171"/>
      <c r="S12" s="602">
        <f t="shared" si="2"/>
        <v>2000</v>
      </c>
      <c r="T12" s="490">
        <f t="shared" si="3"/>
        <v>-1000</v>
      </c>
      <c r="U12" s="496">
        <f t="shared" si="4"/>
        <v>1000</v>
      </c>
      <c r="V12" s="19"/>
    </row>
    <row r="13" spans="2:22" ht="15" customHeight="1">
      <c r="B13" s="32">
        <f t="shared" si="0"/>
        <v>5</v>
      </c>
      <c r="C13" s="42">
        <v>3</v>
      </c>
      <c r="D13" s="43" t="s">
        <v>3</v>
      </c>
      <c r="E13" s="138"/>
      <c r="F13" s="147"/>
      <c r="G13" s="148"/>
      <c r="H13" s="148"/>
      <c r="I13" s="148"/>
      <c r="J13" s="501">
        <f aca="true" t="shared" si="5" ref="J13:J39">SUM(F13:I13)</f>
        <v>0</v>
      </c>
      <c r="K13" s="490">
        <v>5000</v>
      </c>
      <c r="L13" s="496">
        <f t="shared" si="1"/>
        <v>5000</v>
      </c>
      <c r="M13" s="1022"/>
      <c r="N13" s="171"/>
      <c r="O13" s="245"/>
      <c r="P13" s="150"/>
      <c r="Q13" s="441"/>
      <c r="R13" s="171"/>
      <c r="S13" s="602">
        <f t="shared" si="2"/>
        <v>0</v>
      </c>
      <c r="T13" s="490">
        <f t="shared" si="3"/>
        <v>5000</v>
      </c>
      <c r="U13" s="496">
        <f t="shared" si="4"/>
        <v>5000</v>
      </c>
      <c r="V13" s="19"/>
    </row>
    <row r="14" spans="2:22" ht="15" customHeight="1">
      <c r="B14" s="32">
        <f t="shared" si="0"/>
        <v>6</v>
      </c>
      <c r="C14" s="42">
        <v>4</v>
      </c>
      <c r="D14" s="43" t="s">
        <v>178</v>
      </c>
      <c r="E14" s="138"/>
      <c r="F14" s="147">
        <f>SUM(F15:F17)</f>
        <v>2500</v>
      </c>
      <c r="G14" s="147">
        <f>SUM(G15:G17)</f>
        <v>800</v>
      </c>
      <c r="H14" s="147">
        <f>SUM(H15:H17)</f>
        <v>2000</v>
      </c>
      <c r="I14" s="147">
        <f>SUM(I15:I17)</f>
        <v>8300</v>
      </c>
      <c r="J14" s="501">
        <f t="shared" si="5"/>
        <v>13600</v>
      </c>
      <c r="K14" s="490">
        <f>SUM(K15:K17)</f>
        <v>35250</v>
      </c>
      <c r="L14" s="496">
        <f t="shared" si="1"/>
        <v>48850</v>
      </c>
      <c r="M14" s="1022">
        <f>SUM(M15:M17)</f>
        <v>41515</v>
      </c>
      <c r="N14" s="171"/>
      <c r="O14" s="243"/>
      <c r="P14" s="148"/>
      <c r="Q14" s="441"/>
      <c r="R14" s="171"/>
      <c r="S14" s="602">
        <f t="shared" si="2"/>
        <v>13600</v>
      </c>
      <c r="T14" s="490">
        <f t="shared" si="3"/>
        <v>35250</v>
      </c>
      <c r="U14" s="496">
        <f t="shared" si="4"/>
        <v>48850</v>
      </c>
      <c r="V14" s="19"/>
    </row>
    <row r="15" spans="1:22" s="594" customFormat="1" ht="12.75">
      <c r="A15" s="858"/>
      <c r="B15" s="513">
        <f t="shared" si="0"/>
        <v>7</v>
      </c>
      <c r="C15" s="514"/>
      <c r="D15" s="742"/>
      <c r="E15" s="755" t="s">
        <v>228</v>
      </c>
      <c r="F15" s="515">
        <v>2500</v>
      </c>
      <c r="G15" s="516">
        <v>800</v>
      </c>
      <c r="H15" s="717">
        <v>2000</v>
      </c>
      <c r="I15" s="516"/>
      <c r="J15" s="528">
        <f t="shared" si="5"/>
        <v>5300</v>
      </c>
      <c r="K15" s="528">
        <f>17401+6526+7504+1514-3950+5</f>
        <v>29000</v>
      </c>
      <c r="L15" s="589">
        <f t="shared" si="1"/>
        <v>34300</v>
      </c>
      <c r="M15" s="1020">
        <v>33215</v>
      </c>
      <c r="N15" s="590"/>
      <c r="O15" s="533"/>
      <c r="P15" s="528"/>
      <c r="Q15" s="589"/>
      <c r="R15" s="590"/>
      <c r="S15" s="785">
        <f t="shared" si="2"/>
        <v>5300</v>
      </c>
      <c r="T15" s="528">
        <f t="shared" si="3"/>
        <v>29000</v>
      </c>
      <c r="U15" s="589">
        <f t="shared" si="4"/>
        <v>34300</v>
      </c>
      <c r="V15" s="19"/>
    </row>
    <row r="16" spans="1:22" s="594" customFormat="1" ht="12.75">
      <c r="A16" s="858"/>
      <c r="B16" s="513">
        <f t="shared" si="0"/>
        <v>8</v>
      </c>
      <c r="C16" s="518"/>
      <c r="D16" s="742"/>
      <c r="E16" s="755" t="s">
        <v>229</v>
      </c>
      <c r="F16" s="515"/>
      <c r="G16" s="515"/>
      <c r="H16" s="527"/>
      <c r="I16" s="515"/>
      <c r="J16" s="528">
        <f t="shared" si="5"/>
        <v>0</v>
      </c>
      <c r="K16" s="528">
        <v>6250</v>
      </c>
      <c r="L16" s="589">
        <f t="shared" si="1"/>
        <v>6250</v>
      </c>
      <c r="M16" s="1020"/>
      <c r="N16" s="590"/>
      <c r="O16" s="536"/>
      <c r="P16" s="516"/>
      <c r="Q16" s="589"/>
      <c r="R16" s="590"/>
      <c r="S16" s="785">
        <f t="shared" si="2"/>
        <v>0</v>
      </c>
      <c r="T16" s="528">
        <f t="shared" si="3"/>
        <v>6250</v>
      </c>
      <c r="U16" s="589">
        <f t="shared" si="4"/>
        <v>6250</v>
      </c>
      <c r="V16" s="19"/>
    </row>
    <row r="17" spans="1:22" s="594" customFormat="1" ht="12.75">
      <c r="A17" s="858"/>
      <c r="B17" s="513">
        <f t="shared" si="0"/>
        <v>9</v>
      </c>
      <c r="C17" s="518"/>
      <c r="D17" s="742"/>
      <c r="E17" s="808" t="s">
        <v>352</v>
      </c>
      <c r="F17" s="515"/>
      <c r="G17" s="515"/>
      <c r="H17" s="527"/>
      <c r="I17" s="515">
        <v>8300</v>
      </c>
      <c r="J17" s="528">
        <f t="shared" si="5"/>
        <v>8300</v>
      </c>
      <c r="K17" s="528"/>
      <c r="L17" s="589">
        <f t="shared" si="1"/>
        <v>8300</v>
      </c>
      <c r="M17" s="1020">
        <v>8300</v>
      </c>
      <c r="N17" s="590"/>
      <c r="O17" s="536"/>
      <c r="P17" s="516"/>
      <c r="Q17" s="589"/>
      <c r="R17" s="590"/>
      <c r="S17" s="785">
        <f t="shared" si="2"/>
        <v>8300</v>
      </c>
      <c r="T17" s="528">
        <f t="shared" si="3"/>
        <v>0</v>
      </c>
      <c r="U17" s="589">
        <f t="shared" si="4"/>
        <v>8300</v>
      </c>
      <c r="V17" s="19"/>
    </row>
    <row r="18" spans="2:22" ht="15">
      <c r="B18" s="513">
        <f t="shared" si="0"/>
        <v>10</v>
      </c>
      <c r="C18" s="42">
        <v>5</v>
      </c>
      <c r="D18" s="43" t="s">
        <v>179</v>
      </c>
      <c r="E18" s="138"/>
      <c r="F18" s="147">
        <f>F19+F20+F23</f>
        <v>79000</v>
      </c>
      <c r="G18" s="147">
        <f>G19+G20+G23</f>
        <v>27800</v>
      </c>
      <c r="H18" s="147">
        <f>H19+H20+H23</f>
        <v>174431</v>
      </c>
      <c r="I18" s="147">
        <f>I19+I20+I23</f>
        <v>17269</v>
      </c>
      <c r="J18" s="501">
        <f t="shared" si="5"/>
        <v>298500</v>
      </c>
      <c r="K18" s="490">
        <f>K19+K20+K23</f>
        <v>-12100</v>
      </c>
      <c r="L18" s="496">
        <f t="shared" si="1"/>
        <v>286400</v>
      </c>
      <c r="M18" s="1022">
        <f>M19+M20+M23</f>
        <v>126394</v>
      </c>
      <c r="N18" s="171"/>
      <c r="O18" s="243"/>
      <c r="P18" s="148"/>
      <c r="Q18" s="441"/>
      <c r="R18" s="171"/>
      <c r="S18" s="602">
        <f t="shared" si="2"/>
        <v>298500</v>
      </c>
      <c r="T18" s="490">
        <f t="shared" si="3"/>
        <v>-12100</v>
      </c>
      <c r="U18" s="496">
        <f t="shared" si="4"/>
        <v>286400</v>
      </c>
      <c r="V18" s="19"/>
    </row>
    <row r="19" spans="2:22" ht="12.75">
      <c r="B19" s="513">
        <f t="shared" si="0"/>
        <v>11</v>
      </c>
      <c r="C19" s="31"/>
      <c r="D19" s="63" t="s">
        <v>6</v>
      </c>
      <c r="E19" s="281" t="s">
        <v>113</v>
      </c>
      <c r="F19" s="291"/>
      <c r="G19" s="292"/>
      <c r="H19" s="293">
        <v>50000</v>
      </c>
      <c r="I19" s="292"/>
      <c r="J19" s="292">
        <f t="shared" si="5"/>
        <v>50000</v>
      </c>
      <c r="K19" s="292">
        <v>-5000</v>
      </c>
      <c r="L19" s="442">
        <f t="shared" si="1"/>
        <v>45000</v>
      </c>
      <c r="M19" s="1020">
        <v>3680</v>
      </c>
      <c r="N19" s="155"/>
      <c r="O19" s="297"/>
      <c r="P19" s="298"/>
      <c r="Q19" s="442"/>
      <c r="R19" s="155"/>
      <c r="S19" s="321">
        <f t="shared" si="2"/>
        <v>50000</v>
      </c>
      <c r="T19" s="292">
        <f t="shared" si="3"/>
        <v>-5000</v>
      </c>
      <c r="U19" s="442">
        <f t="shared" si="4"/>
        <v>45000</v>
      </c>
      <c r="V19" s="19"/>
    </row>
    <row r="20" spans="1:22" ht="12.75">
      <c r="A20" s="187"/>
      <c r="B20" s="513">
        <f t="shared" si="0"/>
        <v>12</v>
      </c>
      <c r="C20" s="40"/>
      <c r="D20" s="59" t="s">
        <v>7</v>
      </c>
      <c r="E20" s="285" t="s">
        <v>270</v>
      </c>
      <c r="F20" s="295">
        <f>F21</f>
        <v>79000</v>
      </c>
      <c r="G20" s="295">
        <f>G21</f>
        <v>27800</v>
      </c>
      <c r="H20" s="295">
        <f>H21+H22</f>
        <v>107400</v>
      </c>
      <c r="I20" s="295">
        <f>I21+I22</f>
        <v>2600</v>
      </c>
      <c r="J20" s="292">
        <f t="shared" si="5"/>
        <v>216800</v>
      </c>
      <c r="K20" s="292">
        <f>SUM(K21:K22)</f>
        <v>-10000</v>
      </c>
      <c r="L20" s="442">
        <f t="shared" si="1"/>
        <v>206800</v>
      </c>
      <c r="M20" s="1020">
        <f>M21</f>
        <v>103267</v>
      </c>
      <c r="N20" s="155"/>
      <c r="O20" s="297"/>
      <c r="P20" s="298"/>
      <c r="Q20" s="442"/>
      <c r="R20" s="155"/>
      <c r="S20" s="321">
        <f t="shared" si="2"/>
        <v>216800</v>
      </c>
      <c r="T20" s="292">
        <f t="shared" si="3"/>
        <v>-10000</v>
      </c>
      <c r="U20" s="442">
        <f t="shared" si="4"/>
        <v>206800</v>
      </c>
      <c r="V20" s="19"/>
    </row>
    <row r="21" spans="1:22" s="594" customFormat="1" ht="12.75">
      <c r="A21" s="858"/>
      <c r="B21" s="513">
        <f t="shared" si="0"/>
        <v>13</v>
      </c>
      <c r="C21" s="514"/>
      <c r="D21" s="742"/>
      <c r="E21" s="755" t="s">
        <v>228</v>
      </c>
      <c r="F21" s="515">
        <v>79000</v>
      </c>
      <c r="G21" s="516">
        <v>27800</v>
      </c>
      <c r="H21" s="717">
        <v>93000</v>
      </c>
      <c r="I21" s="516">
        <v>2600</v>
      </c>
      <c r="J21" s="528">
        <f t="shared" si="5"/>
        <v>202400</v>
      </c>
      <c r="K21" s="528"/>
      <c r="L21" s="589">
        <f t="shared" si="1"/>
        <v>202400</v>
      </c>
      <c r="M21" s="1020">
        <v>103267</v>
      </c>
      <c r="N21" s="590"/>
      <c r="O21" s="530"/>
      <c r="P21" s="531"/>
      <c r="Q21" s="589"/>
      <c r="R21" s="590"/>
      <c r="S21" s="784">
        <f t="shared" si="2"/>
        <v>202400</v>
      </c>
      <c r="T21" s="528">
        <f t="shared" si="3"/>
        <v>0</v>
      </c>
      <c r="U21" s="589">
        <f t="shared" si="4"/>
        <v>202400</v>
      </c>
      <c r="V21" s="19"/>
    </row>
    <row r="22" spans="1:22" s="594" customFormat="1" ht="12.75">
      <c r="A22" s="858"/>
      <c r="B22" s="513">
        <f t="shared" si="0"/>
        <v>14</v>
      </c>
      <c r="C22" s="514"/>
      <c r="D22" s="742"/>
      <c r="E22" s="755" t="s">
        <v>315</v>
      </c>
      <c r="F22" s="515"/>
      <c r="G22" s="516"/>
      <c r="H22" s="717">
        <v>14400</v>
      </c>
      <c r="I22" s="516"/>
      <c r="J22" s="528">
        <f t="shared" si="5"/>
        <v>14400</v>
      </c>
      <c r="K22" s="528">
        <v>-10000</v>
      </c>
      <c r="L22" s="589">
        <f t="shared" si="1"/>
        <v>4400</v>
      </c>
      <c r="M22" s="1020"/>
      <c r="N22" s="590"/>
      <c r="O22" s="530"/>
      <c r="P22" s="531"/>
      <c r="Q22" s="589"/>
      <c r="R22" s="590"/>
      <c r="S22" s="784">
        <f t="shared" si="2"/>
        <v>14400</v>
      </c>
      <c r="T22" s="528">
        <f t="shared" si="3"/>
        <v>-10000</v>
      </c>
      <c r="U22" s="589">
        <f t="shared" si="4"/>
        <v>4400</v>
      </c>
      <c r="V22" s="19"/>
    </row>
    <row r="23" spans="2:22" ht="13.5" customHeight="1">
      <c r="B23" s="513">
        <f t="shared" si="0"/>
        <v>15</v>
      </c>
      <c r="C23" s="31"/>
      <c r="D23" s="63" t="s">
        <v>8</v>
      </c>
      <c r="E23" s="281" t="s">
        <v>200</v>
      </c>
      <c r="F23" s="291"/>
      <c r="G23" s="292"/>
      <c r="H23" s="293">
        <f>H26+H27</f>
        <v>17031</v>
      </c>
      <c r="I23" s="292">
        <f>SUM(I24:I27)</f>
        <v>14669</v>
      </c>
      <c r="J23" s="292">
        <f t="shared" si="5"/>
        <v>31700</v>
      </c>
      <c r="K23" s="292">
        <f>SUM(K24:K27)</f>
        <v>2900</v>
      </c>
      <c r="L23" s="442">
        <f t="shared" si="1"/>
        <v>34600</v>
      </c>
      <c r="M23" s="1020">
        <f>SUM(M24:M27)</f>
        <v>19447</v>
      </c>
      <c r="N23" s="155"/>
      <c r="O23" s="297"/>
      <c r="P23" s="298"/>
      <c r="Q23" s="442"/>
      <c r="R23" s="155"/>
      <c r="S23" s="321">
        <f t="shared" si="2"/>
        <v>31700</v>
      </c>
      <c r="T23" s="292">
        <f t="shared" si="3"/>
        <v>2900</v>
      </c>
      <c r="U23" s="442">
        <f t="shared" si="4"/>
        <v>34600</v>
      </c>
      <c r="V23" s="19"/>
    </row>
    <row r="24" spans="1:22" s="594" customFormat="1" ht="12.75">
      <c r="A24" s="858"/>
      <c r="B24" s="513">
        <f t="shared" si="0"/>
        <v>16</v>
      </c>
      <c r="C24" s="514"/>
      <c r="D24" s="742"/>
      <c r="E24" s="755" t="s">
        <v>325</v>
      </c>
      <c r="F24" s="515"/>
      <c r="G24" s="516"/>
      <c r="H24" s="717"/>
      <c r="I24" s="516">
        <f>15000-5000</f>
        <v>10000</v>
      </c>
      <c r="J24" s="528">
        <f t="shared" si="5"/>
        <v>10000</v>
      </c>
      <c r="K24" s="528"/>
      <c r="L24" s="589">
        <f t="shared" si="1"/>
        <v>10000</v>
      </c>
      <c r="M24" s="1020">
        <f>9902-M25</f>
        <v>5233</v>
      </c>
      <c r="N24" s="590"/>
      <c r="O24" s="533"/>
      <c r="P24" s="528"/>
      <c r="Q24" s="589"/>
      <c r="R24" s="590"/>
      <c r="S24" s="784">
        <f t="shared" si="2"/>
        <v>10000</v>
      </c>
      <c r="T24" s="528">
        <f t="shared" si="3"/>
        <v>0</v>
      </c>
      <c r="U24" s="589">
        <f t="shared" si="4"/>
        <v>10000</v>
      </c>
      <c r="V24" s="19"/>
    </row>
    <row r="25" spans="1:22" s="594" customFormat="1" ht="12.75">
      <c r="A25" s="858"/>
      <c r="B25" s="513">
        <f t="shared" si="0"/>
        <v>17</v>
      </c>
      <c r="C25" s="518"/>
      <c r="D25" s="742"/>
      <c r="E25" s="808" t="s">
        <v>352</v>
      </c>
      <c r="F25" s="515"/>
      <c r="G25" s="516"/>
      <c r="H25" s="717"/>
      <c r="I25" s="516">
        <v>4669</v>
      </c>
      <c r="J25" s="528">
        <f t="shared" si="5"/>
        <v>4669</v>
      </c>
      <c r="K25" s="528"/>
      <c r="L25" s="589">
        <f t="shared" si="1"/>
        <v>4669</v>
      </c>
      <c r="M25" s="1020">
        <v>4669</v>
      </c>
      <c r="N25" s="590"/>
      <c r="O25" s="536"/>
      <c r="P25" s="516"/>
      <c r="Q25" s="589"/>
      <c r="R25" s="590"/>
      <c r="S25" s="784">
        <f t="shared" si="2"/>
        <v>4669</v>
      </c>
      <c r="T25" s="528">
        <f t="shared" si="3"/>
        <v>0</v>
      </c>
      <c r="U25" s="589">
        <f t="shared" si="4"/>
        <v>4669</v>
      </c>
      <c r="V25" s="19"/>
    </row>
    <row r="26" spans="1:22" s="594" customFormat="1" ht="12.75">
      <c r="A26" s="858"/>
      <c r="B26" s="513">
        <f t="shared" si="0"/>
        <v>18</v>
      </c>
      <c r="C26" s="518"/>
      <c r="D26" s="742"/>
      <c r="E26" s="755" t="s">
        <v>333</v>
      </c>
      <c r="F26" s="515"/>
      <c r="G26" s="516"/>
      <c r="H26" s="717">
        <f>1000+31</f>
        <v>1031</v>
      </c>
      <c r="I26" s="516"/>
      <c r="J26" s="528">
        <f t="shared" si="5"/>
        <v>1031</v>
      </c>
      <c r="K26" s="528"/>
      <c r="L26" s="589">
        <f t="shared" si="1"/>
        <v>1031</v>
      </c>
      <c r="M26" s="1020">
        <v>294</v>
      </c>
      <c r="N26" s="590"/>
      <c r="O26" s="536"/>
      <c r="P26" s="516"/>
      <c r="Q26" s="589"/>
      <c r="R26" s="590"/>
      <c r="S26" s="784">
        <f t="shared" si="2"/>
        <v>1031</v>
      </c>
      <c r="T26" s="528">
        <f t="shared" si="3"/>
        <v>0</v>
      </c>
      <c r="U26" s="589">
        <f t="shared" si="4"/>
        <v>1031</v>
      </c>
      <c r="V26" s="19"/>
    </row>
    <row r="27" spans="1:22" s="594" customFormat="1" ht="12.75">
      <c r="A27" s="858"/>
      <c r="B27" s="513">
        <f t="shared" si="0"/>
        <v>19</v>
      </c>
      <c r="C27" s="518"/>
      <c r="D27" s="742"/>
      <c r="E27" s="755" t="s">
        <v>229</v>
      </c>
      <c r="F27" s="515"/>
      <c r="G27" s="516"/>
      <c r="H27" s="717">
        <v>16000</v>
      </c>
      <c r="I27" s="516"/>
      <c r="J27" s="528">
        <f t="shared" si="5"/>
        <v>16000</v>
      </c>
      <c r="K27" s="528">
        <v>2900</v>
      </c>
      <c r="L27" s="589">
        <f t="shared" si="1"/>
        <v>18900</v>
      </c>
      <c r="M27" s="1020">
        <v>9251</v>
      </c>
      <c r="N27" s="590"/>
      <c r="O27" s="536"/>
      <c r="P27" s="516"/>
      <c r="Q27" s="589"/>
      <c r="R27" s="590"/>
      <c r="S27" s="784">
        <f t="shared" si="2"/>
        <v>16000</v>
      </c>
      <c r="T27" s="528">
        <f t="shared" si="3"/>
        <v>2900</v>
      </c>
      <c r="U27" s="589">
        <f t="shared" si="4"/>
        <v>18900</v>
      </c>
      <c r="V27" s="19"/>
    </row>
    <row r="28" spans="2:22" ht="15">
      <c r="B28" s="32">
        <f t="shared" si="0"/>
        <v>20</v>
      </c>
      <c r="C28" s="42">
        <v>6</v>
      </c>
      <c r="D28" s="43" t="s">
        <v>75</v>
      </c>
      <c r="E28" s="138"/>
      <c r="F28" s="148">
        <f>F29+F30</f>
        <v>245000</v>
      </c>
      <c r="G28" s="148">
        <f>G29+G30</f>
        <v>86000</v>
      </c>
      <c r="H28" s="148">
        <f>H29+H30</f>
        <v>213500</v>
      </c>
      <c r="I28" s="148">
        <f>I29+I30</f>
        <v>2000</v>
      </c>
      <c r="J28" s="501">
        <f t="shared" si="5"/>
        <v>546500</v>
      </c>
      <c r="K28" s="490"/>
      <c r="L28" s="496">
        <f t="shared" si="1"/>
        <v>546500</v>
      </c>
      <c r="M28" s="1022">
        <f>M29+M30</f>
        <v>198643</v>
      </c>
      <c r="N28" s="171"/>
      <c r="O28" s="245"/>
      <c r="P28" s="150"/>
      <c r="Q28" s="441"/>
      <c r="R28" s="171"/>
      <c r="S28" s="602">
        <f t="shared" si="2"/>
        <v>546500</v>
      </c>
      <c r="T28" s="490">
        <f t="shared" si="3"/>
        <v>0</v>
      </c>
      <c r="U28" s="496">
        <f t="shared" si="4"/>
        <v>546500</v>
      </c>
      <c r="V28" s="19"/>
    </row>
    <row r="29" spans="1:22" s="594" customFormat="1" ht="12.75">
      <c r="A29" s="858"/>
      <c r="B29" s="513">
        <f t="shared" si="0"/>
        <v>21</v>
      </c>
      <c r="C29" s="514"/>
      <c r="D29" s="586"/>
      <c r="E29" s="764" t="s">
        <v>329</v>
      </c>
      <c r="F29" s="722">
        <v>245000</v>
      </c>
      <c r="G29" s="722">
        <v>86000</v>
      </c>
      <c r="H29" s="722">
        <v>209000</v>
      </c>
      <c r="I29" s="722">
        <v>2000</v>
      </c>
      <c r="J29" s="528">
        <f t="shared" si="5"/>
        <v>542000</v>
      </c>
      <c r="K29" s="528"/>
      <c r="L29" s="589">
        <f t="shared" si="1"/>
        <v>542000</v>
      </c>
      <c r="M29" s="1020">
        <v>197257</v>
      </c>
      <c r="N29" s="590"/>
      <c r="O29" s="533"/>
      <c r="P29" s="528"/>
      <c r="Q29" s="589"/>
      <c r="R29" s="590"/>
      <c r="S29" s="785">
        <f t="shared" si="2"/>
        <v>542000</v>
      </c>
      <c r="T29" s="528">
        <f t="shared" si="3"/>
        <v>0</v>
      </c>
      <c r="U29" s="589">
        <f t="shared" si="4"/>
        <v>542000</v>
      </c>
      <c r="V29" s="19"/>
    </row>
    <row r="30" spans="1:22" s="594" customFormat="1" ht="12.75">
      <c r="A30" s="858"/>
      <c r="B30" s="513">
        <f t="shared" si="0"/>
        <v>22</v>
      </c>
      <c r="C30" s="518"/>
      <c r="D30" s="586"/>
      <c r="E30" s="859" t="s">
        <v>316</v>
      </c>
      <c r="F30" s="515"/>
      <c r="G30" s="516"/>
      <c r="H30" s="717">
        <v>4500</v>
      </c>
      <c r="I30" s="516"/>
      <c r="J30" s="528">
        <f t="shared" si="5"/>
        <v>4500</v>
      </c>
      <c r="K30" s="528"/>
      <c r="L30" s="589">
        <f t="shared" si="1"/>
        <v>4500</v>
      </c>
      <c r="M30" s="1020">
        <v>1386</v>
      </c>
      <c r="N30" s="590"/>
      <c r="O30" s="536"/>
      <c r="P30" s="516"/>
      <c r="Q30" s="589"/>
      <c r="R30" s="590"/>
      <c r="S30" s="785">
        <f t="shared" si="2"/>
        <v>4500</v>
      </c>
      <c r="T30" s="528">
        <f t="shared" si="3"/>
        <v>0</v>
      </c>
      <c r="U30" s="589">
        <f t="shared" si="4"/>
        <v>4500</v>
      </c>
      <c r="V30" s="19"/>
    </row>
    <row r="31" spans="2:22" ht="15">
      <c r="B31" s="32">
        <f t="shared" si="0"/>
        <v>23</v>
      </c>
      <c r="C31" s="42">
        <v>7</v>
      </c>
      <c r="D31" s="43" t="s">
        <v>180</v>
      </c>
      <c r="E31" s="138"/>
      <c r="F31" s="147">
        <f>F32</f>
        <v>284400</v>
      </c>
      <c r="G31" s="148">
        <f>G32</f>
        <v>100000</v>
      </c>
      <c r="H31" s="148">
        <f>H32</f>
        <v>29000</v>
      </c>
      <c r="I31" s="148">
        <f>I32</f>
        <v>1100</v>
      </c>
      <c r="J31" s="501">
        <f t="shared" si="5"/>
        <v>414500</v>
      </c>
      <c r="K31" s="490">
        <f>K32</f>
        <v>-35600</v>
      </c>
      <c r="L31" s="496">
        <f t="shared" si="1"/>
        <v>378900</v>
      </c>
      <c r="M31" s="1022">
        <f>M32</f>
        <v>178855</v>
      </c>
      <c r="N31" s="171"/>
      <c r="O31" s="243"/>
      <c r="P31" s="148"/>
      <c r="Q31" s="441"/>
      <c r="R31" s="171"/>
      <c r="S31" s="602">
        <f t="shared" si="2"/>
        <v>414500</v>
      </c>
      <c r="T31" s="490">
        <f t="shared" si="3"/>
        <v>-35600</v>
      </c>
      <c r="U31" s="496">
        <f t="shared" si="4"/>
        <v>378900</v>
      </c>
      <c r="V31" s="19"/>
    </row>
    <row r="32" spans="1:22" s="594" customFormat="1" ht="12.75">
      <c r="A32" s="858"/>
      <c r="B32" s="513">
        <f t="shared" si="0"/>
        <v>24</v>
      </c>
      <c r="C32" s="514"/>
      <c r="D32" s="586"/>
      <c r="E32" s="764" t="s">
        <v>227</v>
      </c>
      <c r="F32" s="722">
        <v>284400</v>
      </c>
      <c r="G32" s="722">
        <v>100000</v>
      </c>
      <c r="H32" s="722">
        <v>29000</v>
      </c>
      <c r="I32" s="722">
        <v>1100</v>
      </c>
      <c r="J32" s="528">
        <f t="shared" si="5"/>
        <v>414500</v>
      </c>
      <c r="K32" s="528">
        <f>-28000-10000+2400</f>
        <v>-35600</v>
      </c>
      <c r="L32" s="589">
        <f t="shared" si="1"/>
        <v>378900</v>
      </c>
      <c r="M32" s="1020">
        <v>178855</v>
      </c>
      <c r="N32" s="590"/>
      <c r="O32" s="530"/>
      <c r="P32" s="531"/>
      <c r="Q32" s="589"/>
      <c r="R32" s="590"/>
      <c r="S32" s="785">
        <f t="shared" si="2"/>
        <v>414500</v>
      </c>
      <c r="T32" s="528">
        <f t="shared" si="3"/>
        <v>-35600</v>
      </c>
      <c r="U32" s="589">
        <f t="shared" si="4"/>
        <v>378900</v>
      </c>
      <c r="V32" s="19"/>
    </row>
    <row r="33" spans="2:22" ht="15">
      <c r="B33" s="32">
        <f t="shared" si="0"/>
        <v>25</v>
      </c>
      <c r="C33" s="42">
        <v>8</v>
      </c>
      <c r="D33" s="43" t="s">
        <v>114</v>
      </c>
      <c r="E33" s="138"/>
      <c r="F33" s="147"/>
      <c r="G33" s="148"/>
      <c r="H33" s="148">
        <v>3000</v>
      </c>
      <c r="I33" s="148"/>
      <c r="J33" s="501">
        <f t="shared" si="5"/>
        <v>3000</v>
      </c>
      <c r="K33" s="490">
        <v>-1500</v>
      </c>
      <c r="L33" s="496">
        <f t="shared" si="1"/>
        <v>1500</v>
      </c>
      <c r="M33" s="1022"/>
      <c r="N33" s="171"/>
      <c r="O33" s="245"/>
      <c r="P33" s="150"/>
      <c r="Q33" s="441"/>
      <c r="R33" s="171"/>
      <c r="S33" s="602">
        <f t="shared" si="2"/>
        <v>3000</v>
      </c>
      <c r="T33" s="490">
        <f t="shared" si="3"/>
        <v>-1500</v>
      </c>
      <c r="U33" s="496">
        <f t="shared" si="4"/>
        <v>1500</v>
      </c>
      <c r="V33" s="19"/>
    </row>
    <row r="34" spans="2:22" ht="15">
      <c r="B34" s="32">
        <f t="shared" si="0"/>
        <v>26</v>
      </c>
      <c r="C34" s="42">
        <v>9</v>
      </c>
      <c r="D34" s="43" t="s">
        <v>181</v>
      </c>
      <c r="E34" s="138"/>
      <c r="F34" s="147"/>
      <c r="G34" s="148"/>
      <c r="H34" s="148">
        <v>12370</v>
      </c>
      <c r="I34" s="148"/>
      <c r="J34" s="501">
        <f t="shared" si="5"/>
        <v>12370</v>
      </c>
      <c r="K34" s="490">
        <f>K35</f>
        <v>701</v>
      </c>
      <c r="L34" s="496">
        <f t="shared" si="1"/>
        <v>13071</v>
      </c>
      <c r="M34" s="1022">
        <v>2672</v>
      </c>
      <c r="N34" s="171"/>
      <c r="O34" s="245"/>
      <c r="P34" s="150"/>
      <c r="Q34" s="441"/>
      <c r="R34" s="171"/>
      <c r="S34" s="602">
        <f t="shared" si="2"/>
        <v>12370</v>
      </c>
      <c r="T34" s="490">
        <f t="shared" si="3"/>
        <v>701</v>
      </c>
      <c r="U34" s="496">
        <f t="shared" si="4"/>
        <v>13071</v>
      </c>
      <c r="V34" s="19"/>
    </row>
    <row r="35" spans="1:22" s="594" customFormat="1" ht="12.75">
      <c r="A35" s="858"/>
      <c r="B35" s="513">
        <f t="shared" si="0"/>
        <v>27</v>
      </c>
      <c r="C35" s="514"/>
      <c r="D35" s="586"/>
      <c r="E35" s="764" t="s">
        <v>430</v>
      </c>
      <c r="F35" s="722"/>
      <c r="G35" s="722"/>
      <c r="H35" s="722"/>
      <c r="I35" s="722"/>
      <c r="J35" s="528">
        <f t="shared" si="5"/>
        <v>0</v>
      </c>
      <c r="K35" s="528">
        <v>701</v>
      </c>
      <c r="L35" s="589">
        <f>SUM(J35:K35)</f>
        <v>701</v>
      </c>
      <c r="M35" s="1020"/>
      <c r="N35" s="590"/>
      <c r="O35" s="530"/>
      <c r="P35" s="531"/>
      <c r="Q35" s="589"/>
      <c r="R35" s="590"/>
      <c r="S35" s="785">
        <f>J35+Q35</f>
        <v>0</v>
      </c>
      <c r="T35" s="528">
        <f t="shared" si="3"/>
        <v>701</v>
      </c>
      <c r="U35" s="589">
        <f>SUM(S35:T35)</f>
        <v>701</v>
      </c>
      <c r="V35" s="19"/>
    </row>
    <row r="36" spans="2:22" ht="15">
      <c r="B36" s="513">
        <f t="shared" si="0"/>
        <v>28</v>
      </c>
      <c r="C36" s="42">
        <v>10</v>
      </c>
      <c r="D36" s="43" t="s">
        <v>147</v>
      </c>
      <c r="E36" s="138"/>
      <c r="F36" s="147">
        <f>F37</f>
        <v>4700</v>
      </c>
      <c r="G36" s="148">
        <f>G37</f>
        <v>1600</v>
      </c>
      <c r="H36" s="148">
        <f>H37</f>
        <v>2700</v>
      </c>
      <c r="I36" s="148"/>
      <c r="J36" s="501">
        <f t="shared" si="5"/>
        <v>9000</v>
      </c>
      <c r="K36" s="490"/>
      <c r="L36" s="496">
        <f t="shared" si="1"/>
        <v>9000</v>
      </c>
      <c r="M36" s="1022">
        <f>M37</f>
        <v>4297</v>
      </c>
      <c r="N36" s="171"/>
      <c r="O36" s="245"/>
      <c r="P36" s="150"/>
      <c r="Q36" s="441"/>
      <c r="R36" s="171"/>
      <c r="S36" s="602">
        <f t="shared" si="2"/>
        <v>9000</v>
      </c>
      <c r="T36" s="490">
        <f t="shared" si="3"/>
        <v>0</v>
      </c>
      <c r="U36" s="496">
        <f t="shared" si="4"/>
        <v>9000</v>
      </c>
      <c r="V36" s="19"/>
    </row>
    <row r="37" spans="1:22" s="594" customFormat="1" ht="12.75">
      <c r="A37" s="858"/>
      <c r="B37" s="513">
        <f t="shared" si="0"/>
        <v>29</v>
      </c>
      <c r="C37" s="514"/>
      <c r="D37" s="586"/>
      <c r="E37" s="764" t="s">
        <v>228</v>
      </c>
      <c r="F37" s="722">
        <v>4700</v>
      </c>
      <c r="G37" s="528">
        <v>1600</v>
      </c>
      <c r="H37" s="534">
        <v>2700</v>
      </c>
      <c r="I37" s="528"/>
      <c r="J37" s="528">
        <f t="shared" si="5"/>
        <v>9000</v>
      </c>
      <c r="K37" s="528"/>
      <c r="L37" s="589">
        <f t="shared" si="1"/>
        <v>9000</v>
      </c>
      <c r="M37" s="1020">
        <v>4297</v>
      </c>
      <c r="N37" s="590"/>
      <c r="O37" s="533"/>
      <c r="P37" s="528"/>
      <c r="Q37" s="589"/>
      <c r="R37" s="590"/>
      <c r="S37" s="785">
        <f t="shared" si="2"/>
        <v>9000</v>
      </c>
      <c r="T37" s="528">
        <f t="shared" si="3"/>
        <v>0</v>
      </c>
      <c r="U37" s="589">
        <f t="shared" si="4"/>
        <v>9000</v>
      </c>
      <c r="V37" s="19"/>
    </row>
    <row r="38" spans="2:22" ht="15">
      <c r="B38" s="32">
        <f t="shared" si="0"/>
        <v>30</v>
      </c>
      <c r="C38" s="42">
        <v>11</v>
      </c>
      <c r="D38" s="43" t="s">
        <v>197</v>
      </c>
      <c r="E38" s="138"/>
      <c r="F38" s="147">
        <v>52000</v>
      </c>
      <c r="G38" s="148">
        <v>18000</v>
      </c>
      <c r="H38" s="148">
        <v>11630</v>
      </c>
      <c r="I38" s="148">
        <v>6300</v>
      </c>
      <c r="J38" s="712">
        <f t="shared" si="5"/>
        <v>87930</v>
      </c>
      <c r="K38" s="510">
        <f>K39</f>
        <v>15000</v>
      </c>
      <c r="L38" s="855">
        <f t="shared" si="1"/>
        <v>102930</v>
      </c>
      <c r="M38" s="1022">
        <f>M39</f>
        <v>52938</v>
      </c>
      <c r="N38" s="171"/>
      <c r="O38" s="245"/>
      <c r="P38" s="150"/>
      <c r="Q38" s="440"/>
      <c r="R38" s="171"/>
      <c r="S38" s="602">
        <f t="shared" si="2"/>
        <v>87930</v>
      </c>
      <c r="T38" s="510">
        <f t="shared" si="3"/>
        <v>15000</v>
      </c>
      <c r="U38" s="855">
        <f t="shared" si="4"/>
        <v>102930</v>
      </c>
      <c r="V38" s="19"/>
    </row>
    <row r="39" spans="1:22" s="594" customFormat="1" ht="13.5" thickBot="1">
      <c r="A39" s="858"/>
      <c r="B39" s="690">
        <f t="shared" si="0"/>
        <v>31</v>
      </c>
      <c r="C39" s="745"/>
      <c r="D39" s="598"/>
      <c r="E39" s="767" t="s">
        <v>198</v>
      </c>
      <c r="F39" s="768">
        <v>52000</v>
      </c>
      <c r="G39" s="769">
        <v>18000</v>
      </c>
      <c r="H39" s="860">
        <v>11630</v>
      </c>
      <c r="I39" s="769">
        <v>6300</v>
      </c>
      <c r="J39" s="769">
        <f t="shared" si="5"/>
        <v>87930</v>
      </c>
      <c r="K39" s="769">
        <v>15000</v>
      </c>
      <c r="L39" s="772">
        <f t="shared" si="1"/>
        <v>102930</v>
      </c>
      <c r="M39" s="1021">
        <v>52938</v>
      </c>
      <c r="N39" s="861"/>
      <c r="O39" s="771"/>
      <c r="P39" s="769"/>
      <c r="Q39" s="772"/>
      <c r="R39" s="590"/>
      <c r="S39" s="862">
        <f t="shared" si="2"/>
        <v>87930</v>
      </c>
      <c r="T39" s="769">
        <f t="shared" si="3"/>
        <v>15000</v>
      </c>
      <c r="U39" s="772">
        <f t="shared" si="4"/>
        <v>102930</v>
      </c>
      <c r="V39" s="19"/>
    </row>
    <row r="40" ht="24" customHeight="1"/>
  </sheetData>
  <sheetProtection/>
  <mergeCells count="21">
    <mergeCell ref="O6:Q6"/>
    <mergeCell ref="D6:D8"/>
    <mergeCell ref="M7:M8"/>
    <mergeCell ref="U4:U8"/>
    <mergeCell ref="E6:L6"/>
    <mergeCell ref="B5:L5"/>
    <mergeCell ref="C6:C8"/>
    <mergeCell ref="I7:I8"/>
    <mergeCell ref="T4:T8"/>
    <mergeCell ref="H7:H8"/>
    <mergeCell ref="G7:G8"/>
    <mergeCell ref="K7:K8"/>
    <mergeCell ref="F7:F8"/>
    <mergeCell ref="P7:P8"/>
    <mergeCell ref="O5:Q5"/>
    <mergeCell ref="S4:S8"/>
    <mergeCell ref="O7:O8"/>
    <mergeCell ref="Q7:Q8"/>
    <mergeCell ref="B4:Q4"/>
    <mergeCell ref="J7:J8"/>
    <mergeCell ref="L7:L8"/>
  </mergeCells>
  <printOptions/>
  <pageMargins left="0.55" right="0.1968503937007874" top="0.6299212598425197" bottom="0.1968503937007874" header="0.3937007874015748" footer="0.1968503937007874"/>
  <pageSetup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00390625" style="6" customWidth="1"/>
    <col min="3" max="3" width="2.421875" style="5" customWidth="1"/>
    <col min="4" max="4" width="2.28125" style="0" customWidth="1"/>
    <col min="5" max="5" width="37.7109375" style="0" customWidth="1"/>
    <col min="6" max="6" width="7.28125" style="0" customWidth="1"/>
    <col min="7" max="7" width="6.00390625" style="0" customWidth="1"/>
    <col min="8" max="8" width="8.421875" style="0" customWidth="1"/>
    <col min="9" max="9" width="7.28125" style="0" customWidth="1"/>
    <col min="10" max="10" width="10.00390625" style="0" customWidth="1"/>
    <col min="11" max="11" width="9.57421875" style="0" customWidth="1"/>
    <col min="12" max="12" width="10.421875" style="0" customWidth="1"/>
    <col min="13" max="13" width="6.57421875" style="0" customWidth="1"/>
    <col min="14" max="14" width="0.71875" style="126" customWidth="1"/>
    <col min="15" max="15" width="7.140625" style="0" customWidth="1"/>
    <col min="16" max="16" width="9.8515625" style="0" customWidth="1"/>
    <col min="17" max="17" width="8.421875" style="0" customWidth="1"/>
    <col min="18" max="18" width="10.421875" style="0" customWidth="1"/>
    <col min="19" max="19" width="10.00390625" style="0" customWidth="1"/>
    <col min="20" max="20" width="10.8515625" style="0" customWidth="1"/>
    <col min="21" max="21" width="7.00390625" style="0" customWidth="1"/>
    <col min="22" max="22" width="0.71875" style="47" customWidth="1"/>
    <col min="23" max="23" width="10.421875" style="0" customWidth="1"/>
    <col min="24" max="24" width="9.00390625" style="0" customWidth="1"/>
    <col min="25" max="25" width="10.7109375" style="0" bestFit="1" customWidth="1"/>
  </cols>
  <sheetData>
    <row r="1" spans="10:23" ht="15.75" customHeight="1">
      <c r="J1" s="181"/>
      <c r="K1" s="181"/>
      <c r="L1" s="181"/>
      <c r="M1" s="181"/>
      <c r="N1" s="181"/>
      <c r="O1" s="45"/>
      <c r="P1" s="45"/>
      <c r="Q1" s="45"/>
      <c r="R1" s="51"/>
      <c r="S1" s="51"/>
      <c r="T1" s="51"/>
      <c r="U1" s="51"/>
      <c r="V1" s="247"/>
      <c r="W1" s="248"/>
    </row>
    <row r="2" spans="2:23" s="35" customFormat="1" ht="27">
      <c r="B2" s="124"/>
      <c r="C2" s="308" t="s">
        <v>261</v>
      </c>
      <c r="J2" s="183"/>
      <c r="K2" s="183"/>
      <c r="L2" s="183"/>
      <c r="M2" s="183"/>
      <c r="N2" s="183"/>
      <c r="O2" s="182"/>
      <c r="P2" s="182"/>
      <c r="R2" s="237"/>
      <c r="S2" s="237"/>
      <c r="T2" s="237"/>
      <c r="U2" s="237"/>
      <c r="V2" s="47"/>
      <c r="W2" s="237"/>
    </row>
    <row r="3" spans="2:22" s="35" customFormat="1" ht="13.5" thickBot="1">
      <c r="B3" s="124"/>
      <c r="C3" s="123"/>
      <c r="N3" s="156"/>
      <c r="V3" s="47"/>
    </row>
    <row r="4" spans="2:25" ht="12.75" customHeight="1" thickBot="1">
      <c r="B4" s="1159" t="s">
        <v>313</v>
      </c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0"/>
      <c r="O4" s="1160"/>
      <c r="P4" s="1160"/>
      <c r="Q4" s="1160"/>
      <c r="R4" s="1160"/>
      <c r="S4" s="1160"/>
      <c r="T4" s="1160"/>
      <c r="U4" s="1280"/>
      <c r="V4" s="238"/>
      <c r="W4" s="1189" t="s">
        <v>410</v>
      </c>
      <c r="X4" s="1162" t="s">
        <v>417</v>
      </c>
      <c r="Y4" s="1203" t="s">
        <v>415</v>
      </c>
    </row>
    <row r="5" spans="2:25" ht="18.75" customHeight="1" thickTop="1">
      <c r="B5" s="1231" t="s">
        <v>12</v>
      </c>
      <c r="C5" s="1232"/>
      <c r="D5" s="1232"/>
      <c r="E5" s="1232"/>
      <c r="F5" s="1232"/>
      <c r="G5" s="1232"/>
      <c r="H5" s="1232"/>
      <c r="I5" s="1232"/>
      <c r="J5" s="1232"/>
      <c r="K5" s="1232"/>
      <c r="L5" s="1233"/>
      <c r="M5" s="1047"/>
      <c r="N5" s="322"/>
      <c r="O5" s="1231" t="s">
        <v>297</v>
      </c>
      <c r="P5" s="1232"/>
      <c r="Q5" s="1232"/>
      <c r="R5" s="1232"/>
      <c r="S5" s="1232"/>
      <c r="T5" s="1233"/>
      <c r="U5" s="1047"/>
      <c r="V5" s="239"/>
      <c r="W5" s="1190"/>
      <c r="X5" s="1163"/>
      <c r="Y5" s="1204"/>
    </row>
    <row r="6" spans="2:25" ht="12.75" customHeight="1">
      <c r="B6" s="41"/>
      <c r="C6" s="1175" t="s">
        <v>148</v>
      </c>
      <c r="D6" s="1175" t="s">
        <v>149</v>
      </c>
      <c r="E6" s="1174" t="s">
        <v>11</v>
      </c>
      <c r="F6" s="1157"/>
      <c r="G6" s="1157"/>
      <c r="H6" s="1157"/>
      <c r="I6" s="1157"/>
      <c r="J6" s="1157"/>
      <c r="K6" s="1157"/>
      <c r="L6" s="1158"/>
      <c r="M6" s="1019"/>
      <c r="N6" s="311"/>
      <c r="O6" s="1277" t="s">
        <v>11</v>
      </c>
      <c r="P6" s="1278"/>
      <c r="Q6" s="1278"/>
      <c r="R6" s="1278"/>
      <c r="S6" s="1278"/>
      <c r="T6" s="1279"/>
      <c r="U6" s="1019"/>
      <c r="V6" s="15"/>
      <c r="W6" s="1190"/>
      <c r="X6" s="1163"/>
      <c r="Y6" s="1204"/>
    </row>
    <row r="7" spans="2:25" ht="31.5" customHeight="1">
      <c r="B7" s="41"/>
      <c r="C7" s="1176"/>
      <c r="D7" s="1176"/>
      <c r="E7" s="52" t="s">
        <v>5</v>
      </c>
      <c r="F7" s="1224">
        <v>610</v>
      </c>
      <c r="G7" s="1184">
        <v>620</v>
      </c>
      <c r="H7" s="1184">
        <v>630</v>
      </c>
      <c r="I7" s="1184">
        <v>640</v>
      </c>
      <c r="J7" s="1201" t="s">
        <v>410</v>
      </c>
      <c r="K7" s="1180" t="s">
        <v>417</v>
      </c>
      <c r="L7" s="1217" t="s">
        <v>415</v>
      </c>
      <c r="M7" s="1178" t="s">
        <v>453</v>
      </c>
      <c r="N7" s="153"/>
      <c r="O7" s="1222">
        <v>716</v>
      </c>
      <c r="P7" s="1184">
        <v>712.711</v>
      </c>
      <c r="Q7" s="1184">
        <v>717</v>
      </c>
      <c r="R7" s="1201" t="s">
        <v>410</v>
      </c>
      <c r="S7" s="1180" t="s">
        <v>417</v>
      </c>
      <c r="T7" s="1217" t="s">
        <v>415</v>
      </c>
      <c r="U7" s="1178" t="s">
        <v>453</v>
      </c>
      <c r="V7" s="240"/>
      <c r="W7" s="1190"/>
      <c r="X7" s="1163"/>
      <c r="Y7" s="1204"/>
    </row>
    <row r="8" spans="2:25" ht="30" customHeight="1" thickBot="1">
      <c r="B8" s="46"/>
      <c r="C8" s="1177"/>
      <c r="D8" s="1177"/>
      <c r="E8" s="53"/>
      <c r="F8" s="1216"/>
      <c r="G8" s="1185"/>
      <c r="H8" s="1185"/>
      <c r="I8" s="1185"/>
      <c r="J8" s="1202"/>
      <c r="K8" s="1181"/>
      <c r="L8" s="1218"/>
      <c r="M8" s="1258"/>
      <c r="N8" s="325"/>
      <c r="O8" s="1193"/>
      <c r="P8" s="1185"/>
      <c r="Q8" s="1185"/>
      <c r="R8" s="1202"/>
      <c r="S8" s="1181"/>
      <c r="T8" s="1218"/>
      <c r="U8" s="1258"/>
      <c r="V8" s="180"/>
      <c r="W8" s="1191"/>
      <c r="X8" s="1164"/>
      <c r="Y8" s="1205"/>
    </row>
    <row r="9" spans="2:25" ht="25.5" customHeight="1" thickBot="1" thickTop="1">
      <c r="B9" s="32">
        <v>1</v>
      </c>
      <c r="C9" s="185" t="s">
        <v>262</v>
      </c>
      <c r="D9" s="261"/>
      <c r="E9" s="262"/>
      <c r="F9" s="257">
        <f>F10+F12</f>
        <v>14620</v>
      </c>
      <c r="G9" s="257">
        <f>G10+G12</f>
        <v>5330</v>
      </c>
      <c r="H9" s="257">
        <f>H10+H12</f>
        <v>139050</v>
      </c>
      <c r="I9" s="257">
        <f>I10+I12</f>
        <v>40000</v>
      </c>
      <c r="J9" s="711">
        <f>SUM(F9:I9)</f>
        <v>199000</v>
      </c>
      <c r="K9" s="713">
        <f>K10+K12</f>
        <v>12500</v>
      </c>
      <c r="L9" s="655">
        <f>SUM(J9:K9)</f>
        <v>211500</v>
      </c>
      <c r="M9" s="1026">
        <f>M12+M17</f>
        <v>86663</v>
      </c>
      <c r="N9" s="323"/>
      <c r="O9" s="260">
        <f>O10+O12</f>
        <v>36100</v>
      </c>
      <c r="P9" s="258">
        <f>P10+P12</f>
        <v>1267590</v>
      </c>
      <c r="Q9" s="258">
        <f>Q10+Q12</f>
        <v>487141</v>
      </c>
      <c r="R9" s="714">
        <f>SUM(O9:Q9)</f>
        <v>1790831</v>
      </c>
      <c r="S9" s="713">
        <f>S10+S12</f>
        <v>2916</v>
      </c>
      <c r="T9" s="655">
        <f>SUM(R9:S9)</f>
        <v>1793747</v>
      </c>
      <c r="U9" s="1026">
        <f>U12</f>
        <v>349992</v>
      </c>
      <c r="V9" s="259"/>
      <c r="W9" s="669">
        <f>J9+R9</f>
        <v>1989831</v>
      </c>
      <c r="X9" s="713">
        <f>K9+S9</f>
        <v>15416</v>
      </c>
      <c r="Y9" s="655">
        <f>W9+X9</f>
        <v>2005247</v>
      </c>
    </row>
    <row r="10" spans="2:25" ht="15" thickTop="1">
      <c r="B10" s="32">
        <f aca="true" t="shared" si="0" ref="B10:B22">B9+1</f>
        <v>2</v>
      </c>
      <c r="C10" s="42">
        <v>1</v>
      </c>
      <c r="D10" s="43" t="s">
        <v>269</v>
      </c>
      <c r="E10" s="44"/>
      <c r="F10" s="147"/>
      <c r="G10" s="148"/>
      <c r="H10" s="148"/>
      <c r="I10" s="148"/>
      <c r="J10" s="672">
        <f>SUM(F10:H10)</f>
        <v>0</v>
      </c>
      <c r="K10" s="489">
        <f>K11</f>
        <v>10500</v>
      </c>
      <c r="L10" s="677">
        <f aca="true" t="shared" si="1" ref="L10:L23">SUM(J10:K10)</f>
        <v>10500</v>
      </c>
      <c r="M10" s="1022"/>
      <c r="N10" s="171"/>
      <c r="O10" s="276"/>
      <c r="P10" s="148">
        <f>1145650-200000</f>
        <v>945650</v>
      </c>
      <c r="Q10" s="148"/>
      <c r="R10" s="673">
        <f>P10</f>
        <v>945650</v>
      </c>
      <c r="S10" s="911">
        <f>-636788+11+69675-45000</f>
        <v>-612102</v>
      </c>
      <c r="T10" s="677">
        <f aca="true" t="shared" si="2" ref="T10:T23">SUM(R10:S10)</f>
        <v>333548</v>
      </c>
      <c r="U10" s="1022"/>
      <c r="V10" s="246"/>
      <c r="W10" s="483">
        <f aca="true" t="shared" si="3" ref="W10:W23">J10+R10</f>
        <v>945650</v>
      </c>
      <c r="X10" s="489">
        <f aca="true" t="shared" si="4" ref="X10:X23">K10+S10</f>
        <v>-601602</v>
      </c>
      <c r="Y10" s="677">
        <f aca="true" t="shared" si="5" ref="Y10:Y23">W10+X10</f>
        <v>344048</v>
      </c>
    </row>
    <row r="11" spans="1:25" s="594" customFormat="1" ht="12.75">
      <c r="A11" s="858"/>
      <c r="B11" s="513">
        <f t="shared" si="0"/>
        <v>3</v>
      </c>
      <c r="C11" s="518"/>
      <c r="D11" s="742"/>
      <c r="E11" s="808" t="s">
        <v>352</v>
      </c>
      <c r="F11" s="515"/>
      <c r="G11" s="516"/>
      <c r="H11" s="717"/>
      <c r="I11" s="516"/>
      <c r="J11" s="516">
        <f>H11</f>
        <v>0</v>
      </c>
      <c r="K11" s="516">
        <v>10500</v>
      </c>
      <c r="L11" s="517">
        <f t="shared" si="1"/>
        <v>10500</v>
      </c>
      <c r="M11" s="1020"/>
      <c r="N11" s="590"/>
      <c r="O11" s="596"/>
      <c r="P11" s="871">
        <v>15650</v>
      </c>
      <c r="Q11" s="528"/>
      <c r="R11" s="516">
        <f>SUM(O11:Q11)</f>
        <v>15650</v>
      </c>
      <c r="S11" s="516"/>
      <c r="T11" s="517">
        <f t="shared" si="2"/>
        <v>15650</v>
      </c>
      <c r="U11" s="1020"/>
      <c r="V11" s="307"/>
      <c r="W11" s="875">
        <f t="shared" si="3"/>
        <v>15650</v>
      </c>
      <c r="X11" s="516">
        <f t="shared" si="4"/>
        <v>10500</v>
      </c>
      <c r="Y11" s="517">
        <f t="shared" si="5"/>
        <v>26150</v>
      </c>
    </row>
    <row r="12" spans="2:25" ht="14.25">
      <c r="B12" s="513">
        <f t="shared" si="0"/>
        <v>4</v>
      </c>
      <c r="C12" s="42">
        <v>2</v>
      </c>
      <c r="D12" s="43" t="s">
        <v>222</v>
      </c>
      <c r="E12" s="44"/>
      <c r="F12" s="147">
        <f>F13+F16+F17+F18</f>
        <v>14620</v>
      </c>
      <c r="G12" s="147">
        <f>G13+G16+G17+G18</f>
        <v>5330</v>
      </c>
      <c r="H12" s="147">
        <f>H13+H16+H17+H18</f>
        <v>139050</v>
      </c>
      <c r="I12" s="147">
        <f>I13+I16+I17+I18</f>
        <v>40000</v>
      </c>
      <c r="J12" s="712">
        <f>SUM(F12:I12)</f>
        <v>199000</v>
      </c>
      <c r="K12" s="510">
        <f>K13+K16+K17+K18</f>
        <v>2000</v>
      </c>
      <c r="L12" s="509">
        <f t="shared" si="1"/>
        <v>201000</v>
      </c>
      <c r="M12" s="1022">
        <f>M13</f>
        <v>79537</v>
      </c>
      <c r="N12" s="171"/>
      <c r="O12" s="245">
        <f>O13+O16+O17+O18</f>
        <v>36100</v>
      </c>
      <c r="P12" s="150">
        <f>SUM(P13:P18)</f>
        <v>321940</v>
      </c>
      <c r="Q12" s="150">
        <f>SUM(Q13:Q18)</f>
        <v>487141</v>
      </c>
      <c r="R12" s="715">
        <f>R13+R16+R17+R18</f>
        <v>845181</v>
      </c>
      <c r="S12" s="510">
        <f>S13+S16+S17+S18</f>
        <v>615018</v>
      </c>
      <c r="T12" s="509">
        <f t="shared" si="2"/>
        <v>1460199</v>
      </c>
      <c r="U12" s="1022">
        <f>U18</f>
        <v>349992</v>
      </c>
      <c r="V12" s="246"/>
      <c r="W12" s="484">
        <f t="shared" si="3"/>
        <v>1044181</v>
      </c>
      <c r="X12" s="510">
        <f t="shared" si="4"/>
        <v>617018</v>
      </c>
      <c r="Y12" s="509">
        <f t="shared" si="5"/>
        <v>1661199</v>
      </c>
    </row>
    <row r="13" spans="2:25" ht="12.75">
      <c r="B13" s="513">
        <f t="shared" si="0"/>
        <v>5</v>
      </c>
      <c r="C13" s="40"/>
      <c r="D13" s="63" t="s">
        <v>6</v>
      </c>
      <c r="E13" s="285" t="s">
        <v>223</v>
      </c>
      <c r="F13" s="291"/>
      <c r="G13" s="292"/>
      <c r="H13" s="293">
        <f>SUM(H14:H15)</f>
        <v>134694</v>
      </c>
      <c r="I13" s="293">
        <f>40000</f>
        <v>40000</v>
      </c>
      <c r="J13" s="292">
        <f>SUM(F13:I13)</f>
        <v>174694</v>
      </c>
      <c r="K13" s="292">
        <f>K14</f>
        <v>0</v>
      </c>
      <c r="L13" s="439">
        <f t="shared" si="1"/>
        <v>174694</v>
      </c>
      <c r="M13" s="1020">
        <v>79537</v>
      </c>
      <c r="N13" s="155"/>
      <c r="O13" s="301"/>
      <c r="P13" s="291"/>
      <c r="Q13" s="292"/>
      <c r="R13" s="292">
        <f aca="true" t="shared" si="6" ref="R13:R23">SUM(O13:Q13)</f>
        <v>0</v>
      </c>
      <c r="S13" s="292"/>
      <c r="T13" s="439">
        <f t="shared" si="2"/>
        <v>0</v>
      </c>
      <c r="U13" s="1020"/>
      <c r="V13" s="36"/>
      <c r="W13" s="876">
        <f t="shared" si="3"/>
        <v>174694</v>
      </c>
      <c r="X13" s="292">
        <f t="shared" si="4"/>
        <v>0</v>
      </c>
      <c r="Y13" s="439">
        <f t="shared" si="5"/>
        <v>174694</v>
      </c>
    </row>
    <row r="14" spans="2:25" s="594" customFormat="1" ht="12.75">
      <c r="B14" s="513">
        <f t="shared" si="0"/>
        <v>6</v>
      </c>
      <c r="C14" s="518"/>
      <c r="D14" s="518"/>
      <c r="E14" s="683" t="s">
        <v>390</v>
      </c>
      <c r="F14" s="515"/>
      <c r="G14" s="516"/>
      <c r="H14" s="717">
        <v>129170</v>
      </c>
      <c r="I14" s="717">
        <v>40000</v>
      </c>
      <c r="J14" s="516">
        <f>SUM(F14:I14)</f>
        <v>169170</v>
      </c>
      <c r="K14" s="516"/>
      <c r="L14" s="517">
        <f t="shared" si="1"/>
        <v>169170</v>
      </c>
      <c r="M14" s="1020"/>
      <c r="N14" s="532"/>
      <c r="O14" s="591"/>
      <c r="P14" s="592"/>
      <c r="Q14" s="528">
        <f>SUM(O14:P14)</f>
        <v>0</v>
      </c>
      <c r="R14" s="516">
        <f>SUM(O14:Q14)</f>
        <v>0</v>
      </c>
      <c r="S14" s="516"/>
      <c r="T14" s="517">
        <f t="shared" si="2"/>
        <v>0</v>
      </c>
      <c r="U14" s="1020"/>
      <c r="V14" s="1046"/>
      <c r="W14" s="802">
        <f t="shared" si="3"/>
        <v>169170</v>
      </c>
      <c r="X14" s="516">
        <f t="shared" si="4"/>
        <v>0</v>
      </c>
      <c r="Y14" s="517">
        <f t="shared" si="5"/>
        <v>169170</v>
      </c>
    </row>
    <row r="15" spans="1:25" s="594" customFormat="1" ht="12.75">
      <c r="A15" s="858"/>
      <c r="B15" s="513">
        <f t="shared" si="0"/>
        <v>7</v>
      </c>
      <c r="C15" s="518"/>
      <c r="D15" s="742"/>
      <c r="E15" s="808" t="s">
        <v>352</v>
      </c>
      <c r="F15" s="515"/>
      <c r="G15" s="516"/>
      <c r="H15" s="717">
        <v>5524</v>
      </c>
      <c r="I15" s="516"/>
      <c r="J15" s="516">
        <f>H15</f>
        <v>5524</v>
      </c>
      <c r="K15" s="516"/>
      <c r="L15" s="517">
        <f t="shared" si="1"/>
        <v>5524</v>
      </c>
      <c r="M15" s="1020"/>
      <c r="N15" s="590"/>
      <c r="O15" s="596"/>
      <c r="P15" s="871"/>
      <c r="Q15" s="528"/>
      <c r="R15" s="516">
        <f>SUM(O15:Q15)</f>
        <v>0</v>
      </c>
      <c r="S15" s="516"/>
      <c r="T15" s="517">
        <f t="shared" si="2"/>
        <v>0</v>
      </c>
      <c r="U15" s="1020"/>
      <c r="V15" s="307"/>
      <c r="W15" s="875">
        <f t="shared" si="3"/>
        <v>5524</v>
      </c>
      <c r="X15" s="516">
        <f t="shared" si="4"/>
        <v>0</v>
      </c>
      <c r="Y15" s="517">
        <f t="shared" si="5"/>
        <v>5524</v>
      </c>
    </row>
    <row r="16" spans="2:25" ht="12.75">
      <c r="B16" s="513">
        <f t="shared" si="0"/>
        <v>8</v>
      </c>
      <c r="C16" s="40"/>
      <c r="D16" s="63" t="s">
        <v>7</v>
      </c>
      <c r="E16" s="281" t="s">
        <v>188</v>
      </c>
      <c r="F16" s="291"/>
      <c r="G16" s="292"/>
      <c r="H16" s="293"/>
      <c r="I16" s="293"/>
      <c r="J16" s="292">
        <f>SUM(F16:H16)</f>
        <v>0</v>
      </c>
      <c r="K16" s="292"/>
      <c r="L16" s="439">
        <f t="shared" si="1"/>
        <v>0</v>
      </c>
      <c r="M16" s="1020"/>
      <c r="N16" s="155"/>
      <c r="O16" s="301"/>
      <c r="P16" s="291"/>
      <c r="Q16" s="292"/>
      <c r="R16" s="292">
        <f t="shared" si="6"/>
        <v>0</v>
      </c>
      <c r="S16" s="292"/>
      <c r="T16" s="439">
        <f t="shared" si="2"/>
        <v>0</v>
      </c>
      <c r="U16" s="1020"/>
      <c r="V16" s="36"/>
      <c r="W16" s="876">
        <f t="shared" si="3"/>
        <v>0</v>
      </c>
      <c r="X16" s="292">
        <f t="shared" si="4"/>
        <v>0</v>
      </c>
      <c r="Y16" s="439">
        <f t="shared" si="5"/>
        <v>0</v>
      </c>
    </row>
    <row r="17" spans="1:25" ht="12.75">
      <c r="A17" s="35"/>
      <c r="B17" s="513">
        <f t="shared" si="0"/>
        <v>9</v>
      </c>
      <c r="C17" s="40"/>
      <c r="D17" s="63" t="s">
        <v>8</v>
      </c>
      <c r="E17" s="281" t="s">
        <v>224</v>
      </c>
      <c r="F17" s="291">
        <v>14620</v>
      </c>
      <c r="G17" s="292">
        <v>5330</v>
      </c>
      <c r="H17" s="293">
        <f>2550+1806</f>
        <v>4356</v>
      </c>
      <c r="I17" s="293"/>
      <c r="J17" s="292">
        <f>SUM(F17:H17)</f>
        <v>24306</v>
      </c>
      <c r="K17" s="292"/>
      <c r="L17" s="439">
        <f t="shared" si="1"/>
        <v>24306</v>
      </c>
      <c r="M17" s="1020">
        <v>7126</v>
      </c>
      <c r="N17" s="155"/>
      <c r="O17" s="301"/>
      <c r="P17" s="291"/>
      <c r="Q17" s="292"/>
      <c r="R17" s="292">
        <f t="shared" si="6"/>
        <v>0</v>
      </c>
      <c r="S17" s="292"/>
      <c r="T17" s="439">
        <f t="shared" si="2"/>
        <v>0</v>
      </c>
      <c r="U17" s="1020"/>
      <c r="V17" s="36"/>
      <c r="W17" s="876">
        <f t="shared" si="3"/>
        <v>24306</v>
      </c>
      <c r="X17" s="292">
        <f t="shared" si="4"/>
        <v>0</v>
      </c>
      <c r="Y17" s="439">
        <f t="shared" si="5"/>
        <v>24306</v>
      </c>
    </row>
    <row r="18" spans="1:25" ht="12.75">
      <c r="A18" s="389"/>
      <c r="B18" s="513">
        <f t="shared" si="0"/>
        <v>10</v>
      </c>
      <c r="C18" s="40"/>
      <c r="D18" s="63" t="s">
        <v>9</v>
      </c>
      <c r="E18" s="285" t="s">
        <v>225</v>
      </c>
      <c r="F18" s="302"/>
      <c r="G18" s="303"/>
      <c r="H18" s="304"/>
      <c r="I18" s="304"/>
      <c r="J18" s="292">
        <f>SUM(F18:H18)</f>
        <v>0</v>
      </c>
      <c r="K18" s="292">
        <v>2000</v>
      </c>
      <c r="L18" s="439">
        <f t="shared" si="1"/>
        <v>2000</v>
      </c>
      <c r="M18" s="1020"/>
      <c r="N18" s="155"/>
      <c r="O18" s="301">
        <f>SUM(O19:O23)</f>
        <v>36100</v>
      </c>
      <c r="P18" s="291">
        <f>SUM(P19:P23)</f>
        <v>321940</v>
      </c>
      <c r="Q18" s="292">
        <f>SUM(Q19:Q23)</f>
        <v>487141</v>
      </c>
      <c r="R18" s="292">
        <f t="shared" si="6"/>
        <v>845181</v>
      </c>
      <c r="S18" s="292">
        <f>SUM(S19:S23)</f>
        <v>615018</v>
      </c>
      <c r="T18" s="439">
        <f t="shared" si="2"/>
        <v>1460199</v>
      </c>
      <c r="U18" s="1020">
        <v>349992</v>
      </c>
      <c r="V18" s="36"/>
      <c r="W18" s="876">
        <f t="shared" si="3"/>
        <v>845181</v>
      </c>
      <c r="X18" s="292">
        <f t="shared" si="4"/>
        <v>617018</v>
      </c>
      <c r="Y18" s="439">
        <f t="shared" si="5"/>
        <v>1462199</v>
      </c>
    </row>
    <row r="19" spans="1:25" s="594" customFormat="1" ht="12.75">
      <c r="A19" s="858"/>
      <c r="B19" s="513">
        <f t="shared" si="0"/>
        <v>11</v>
      </c>
      <c r="C19" s="514"/>
      <c r="D19" s="586"/>
      <c r="E19" s="859" t="s">
        <v>342</v>
      </c>
      <c r="F19" s="722"/>
      <c r="G19" s="528"/>
      <c r="H19" s="534"/>
      <c r="I19" s="528"/>
      <c r="J19" s="528">
        <f>SUM(F19:I19)</f>
        <v>0</v>
      </c>
      <c r="K19" s="528"/>
      <c r="L19" s="529">
        <f t="shared" si="1"/>
        <v>0</v>
      </c>
      <c r="M19" s="1020"/>
      <c r="N19" s="590"/>
      <c r="O19" s="718"/>
      <c r="P19" s="872"/>
      <c r="Q19" s="528"/>
      <c r="R19" s="516">
        <f t="shared" si="6"/>
        <v>0</v>
      </c>
      <c r="S19" s="528">
        <v>562859</v>
      </c>
      <c r="T19" s="529">
        <f t="shared" si="2"/>
        <v>562859</v>
      </c>
      <c r="U19" s="1020"/>
      <c r="V19" s="590"/>
      <c r="W19" s="802">
        <f t="shared" si="3"/>
        <v>0</v>
      </c>
      <c r="X19" s="528">
        <f t="shared" si="4"/>
        <v>562859</v>
      </c>
      <c r="Y19" s="529">
        <f t="shared" si="5"/>
        <v>562859</v>
      </c>
    </row>
    <row r="20" spans="1:25" s="594" customFormat="1" ht="12.75">
      <c r="A20" s="858"/>
      <c r="B20" s="513">
        <f t="shared" si="0"/>
        <v>12</v>
      </c>
      <c r="C20" s="514"/>
      <c r="D20" s="586"/>
      <c r="E20" s="859" t="s">
        <v>343</v>
      </c>
      <c r="F20" s="722"/>
      <c r="G20" s="528"/>
      <c r="H20" s="534"/>
      <c r="I20" s="528"/>
      <c r="J20" s="528">
        <f>SUM(F20:I20)</f>
        <v>0</v>
      </c>
      <c r="K20" s="528"/>
      <c r="L20" s="529">
        <f t="shared" si="1"/>
        <v>0</v>
      </c>
      <c r="M20" s="1020"/>
      <c r="N20" s="590"/>
      <c r="O20" s="596"/>
      <c r="P20" s="871">
        <v>321940</v>
      </c>
      <c r="Q20" s="528"/>
      <c r="R20" s="516">
        <f t="shared" si="6"/>
        <v>321940</v>
      </c>
      <c r="S20" s="528"/>
      <c r="T20" s="529">
        <f t="shared" si="2"/>
        <v>321940</v>
      </c>
      <c r="U20" s="1020"/>
      <c r="V20" s="590"/>
      <c r="W20" s="802">
        <f t="shared" si="3"/>
        <v>321940</v>
      </c>
      <c r="X20" s="528">
        <f t="shared" si="4"/>
        <v>0</v>
      </c>
      <c r="Y20" s="529">
        <f t="shared" si="5"/>
        <v>321940</v>
      </c>
    </row>
    <row r="21" spans="1:25" s="594" customFormat="1" ht="12.75">
      <c r="A21" s="858"/>
      <c r="B21" s="513">
        <f t="shared" si="0"/>
        <v>13</v>
      </c>
      <c r="C21" s="518"/>
      <c r="D21" s="742"/>
      <c r="E21" s="791" t="s">
        <v>350</v>
      </c>
      <c r="F21" s="515"/>
      <c r="G21" s="516"/>
      <c r="H21" s="717"/>
      <c r="I21" s="516"/>
      <c r="J21" s="528">
        <f>SUM(F21:I21)</f>
        <v>0</v>
      </c>
      <c r="K21" s="528"/>
      <c r="L21" s="529">
        <f t="shared" si="1"/>
        <v>0</v>
      </c>
      <c r="M21" s="1020"/>
      <c r="N21" s="590"/>
      <c r="O21" s="596"/>
      <c r="P21" s="871"/>
      <c r="Q21" s="528">
        <v>95400</v>
      </c>
      <c r="R21" s="516">
        <f t="shared" si="6"/>
        <v>95400</v>
      </c>
      <c r="S21" s="528"/>
      <c r="T21" s="529">
        <f t="shared" si="2"/>
        <v>95400</v>
      </c>
      <c r="U21" s="1020"/>
      <c r="V21" s="590"/>
      <c r="W21" s="1048">
        <f t="shared" si="3"/>
        <v>95400</v>
      </c>
      <c r="X21" s="528">
        <f t="shared" si="4"/>
        <v>0</v>
      </c>
      <c r="Y21" s="529">
        <f t="shared" si="5"/>
        <v>95400</v>
      </c>
    </row>
    <row r="22" spans="1:25" s="594" customFormat="1" ht="12.75">
      <c r="A22" s="858"/>
      <c r="B22" s="513">
        <f t="shared" si="0"/>
        <v>14</v>
      </c>
      <c r="C22" s="518"/>
      <c r="D22" s="742"/>
      <c r="E22" s="791" t="s">
        <v>357</v>
      </c>
      <c r="F22" s="515"/>
      <c r="G22" s="516"/>
      <c r="H22" s="717"/>
      <c r="I22" s="516"/>
      <c r="J22" s="528">
        <f>SUM(F22:I22)</f>
        <v>0</v>
      </c>
      <c r="K22" s="528"/>
      <c r="L22" s="529">
        <f t="shared" si="1"/>
        <v>0</v>
      </c>
      <c r="M22" s="1020"/>
      <c r="N22" s="590"/>
      <c r="O22" s="596"/>
      <c r="P22" s="871"/>
      <c r="Q22" s="528">
        <v>300000</v>
      </c>
      <c r="R22" s="516">
        <f>SUM(O22:Q22)</f>
        <v>300000</v>
      </c>
      <c r="S22" s="528">
        <v>60000</v>
      </c>
      <c r="T22" s="529">
        <f t="shared" si="2"/>
        <v>360000</v>
      </c>
      <c r="U22" s="1020"/>
      <c r="V22" s="590"/>
      <c r="W22" s="802">
        <f t="shared" si="3"/>
        <v>300000</v>
      </c>
      <c r="X22" s="528">
        <f t="shared" si="4"/>
        <v>60000</v>
      </c>
      <c r="Y22" s="529">
        <f t="shared" si="5"/>
        <v>360000</v>
      </c>
    </row>
    <row r="23" spans="1:25" s="594" customFormat="1" ht="13.5" thickBot="1">
      <c r="A23" s="858"/>
      <c r="B23" s="690">
        <f>B22+1</f>
        <v>15</v>
      </c>
      <c r="C23" s="597"/>
      <c r="D23" s="793"/>
      <c r="E23" s="873" t="s">
        <v>341</v>
      </c>
      <c r="F23" s="723"/>
      <c r="G23" s="692"/>
      <c r="H23" s="694"/>
      <c r="I23" s="692"/>
      <c r="J23" s="692">
        <f>SUM(F23:I23)</f>
        <v>0</v>
      </c>
      <c r="K23" s="692"/>
      <c r="L23" s="693">
        <f t="shared" si="1"/>
        <v>0</v>
      </c>
      <c r="M23" s="1021"/>
      <c r="N23" s="861"/>
      <c r="O23" s="874">
        <v>36100</v>
      </c>
      <c r="P23" s="861"/>
      <c r="Q23" s="692">
        <f>157241+200-65700</f>
        <v>91741</v>
      </c>
      <c r="R23" s="692">
        <f t="shared" si="6"/>
        <v>127841</v>
      </c>
      <c r="S23" s="692">
        <f>-7841</f>
        <v>-7841</v>
      </c>
      <c r="T23" s="693">
        <f t="shared" si="2"/>
        <v>120000</v>
      </c>
      <c r="U23" s="1020"/>
      <c r="V23" s="590"/>
      <c r="W23" s="877">
        <f t="shared" si="3"/>
        <v>127841</v>
      </c>
      <c r="X23" s="692">
        <f t="shared" si="4"/>
        <v>-7841</v>
      </c>
      <c r="Y23" s="693">
        <f t="shared" si="5"/>
        <v>120000</v>
      </c>
    </row>
    <row r="25" spans="10:13" ht="12.75">
      <c r="J25" s="19"/>
      <c r="K25" s="19"/>
      <c r="L25" s="19"/>
      <c r="M25" s="19"/>
    </row>
    <row r="26" spans="14:22" ht="12.75">
      <c r="N26"/>
      <c r="V26"/>
    </row>
    <row r="27" spans="14:22" ht="12.75">
      <c r="N27"/>
      <c r="V27"/>
    </row>
    <row r="28" spans="14:22" ht="12.75">
      <c r="N28"/>
      <c r="V28"/>
    </row>
    <row r="29" spans="14:22" ht="12.75">
      <c r="N29"/>
      <c r="V29"/>
    </row>
    <row r="30" spans="14:22" ht="12.75">
      <c r="N30"/>
      <c r="V30"/>
    </row>
    <row r="31" spans="14:22" ht="12.75">
      <c r="N31"/>
      <c r="V31"/>
    </row>
    <row r="32" spans="14:22" ht="12.75">
      <c r="N32"/>
      <c r="V32"/>
    </row>
    <row r="33" spans="14:22" ht="12.75">
      <c r="N33"/>
      <c r="V33"/>
    </row>
  </sheetData>
  <sheetProtection/>
  <mergeCells count="25">
    <mergeCell ref="K7:K8"/>
    <mergeCell ref="G7:G8"/>
    <mergeCell ref="R7:R8"/>
    <mergeCell ref="J7:J8"/>
    <mergeCell ref="D6:D8"/>
    <mergeCell ref="X4:X8"/>
    <mergeCell ref="Q7:Q8"/>
    <mergeCell ref="I7:I8"/>
    <mergeCell ref="P7:P8"/>
    <mergeCell ref="M7:M8"/>
    <mergeCell ref="U7:U8"/>
    <mergeCell ref="B4:U4"/>
    <mergeCell ref="C6:C8"/>
    <mergeCell ref="O7:O8"/>
    <mergeCell ref="H7:H8"/>
    <mergeCell ref="Y4:Y8"/>
    <mergeCell ref="S7:S8"/>
    <mergeCell ref="T7:T8"/>
    <mergeCell ref="E6:L6"/>
    <mergeCell ref="B5:L5"/>
    <mergeCell ref="O6:T6"/>
    <mergeCell ref="O5:T5"/>
    <mergeCell ref="W4:W8"/>
    <mergeCell ref="F7:F8"/>
    <mergeCell ref="L7:L8"/>
  </mergeCells>
  <printOptions/>
  <pageMargins left="0.15748031496062992" right="0.2362204724409449" top="0.7480314960629921" bottom="0.984251968503937" header="0.5118110236220472" footer="0.5118110236220472"/>
  <pageSetup horizontalDpi="600" verticalDpi="600" orientation="landscape" paperSize="9" scale="7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.00390625" style="0" customWidth="1"/>
    <col min="3" max="3" width="55.140625" style="0" customWidth="1"/>
    <col min="4" max="4" width="15.421875" style="0" customWidth="1"/>
    <col min="5" max="5" width="14.28125" style="0" customWidth="1"/>
    <col min="6" max="6" width="15.57421875" style="0" customWidth="1"/>
    <col min="7" max="7" width="15.28125" style="0" customWidth="1"/>
    <col min="8" max="8" width="12.7109375" style="0" customWidth="1"/>
    <col min="9" max="9" width="14.00390625" style="0" customWidth="1"/>
    <col min="10" max="10" width="15.7109375" style="0" customWidth="1"/>
    <col min="11" max="11" width="13.00390625" style="0" customWidth="1"/>
    <col min="12" max="12" width="15.57421875" style="0" customWidth="1"/>
    <col min="14" max="14" width="10.421875" style="0" bestFit="1" customWidth="1"/>
  </cols>
  <sheetData>
    <row r="1" ht="9.75" customHeight="1">
      <c r="B1" s="24"/>
    </row>
    <row r="2" spans="2:12" ht="21.75" customHeight="1">
      <c r="B2" s="1307" t="s">
        <v>504</v>
      </c>
      <c r="C2" s="1307"/>
      <c r="D2" s="1307"/>
      <c r="E2" s="1307"/>
      <c r="F2" s="1307"/>
      <c r="G2" s="1307"/>
      <c r="H2" s="1307"/>
      <c r="I2" s="1307"/>
      <c r="J2" s="1307"/>
      <c r="K2" s="1307"/>
      <c r="L2" s="1307"/>
    </row>
    <row r="3" ht="3" customHeight="1" thickBot="1">
      <c r="B3" s="145"/>
    </row>
    <row r="4" spans="2:12" ht="6.75" customHeight="1">
      <c r="B4" s="1310"/>
      <c r="C4" s="1311"/>
      <c r="D4" s="1281" t="s">
        <v>411</v>
      </c>
      <c r="E4" s="1282"/>
      <c r="F4" s="1282"/>
      <c r="G4" s="1282"/>
      <c r="H4" s="1282"/>
      <c r="I4" s="1282"/>
      <c r="J4" s="1282"/>
      <c r="K4" s="1282"/>
      <c r="L4" s="1282"/>
    </row>
    <row r="5" spans="2:12" ht="28.5" customHeight="1" thickBot="1">
      <c r="B5" s="1312"/>
      <c r="C5" s="1313"/>
      <c r="D5" s="1281"/>
      <c r="E5" s="1282"/>
      <c r="F5" s="1282"/>
      <c r="G5" s="1282"/>
      <c r="H5" s="1282"/>
      <c r="I5" s="1282"/>
      <c r="J5" s="1282"/>
      <c r="K5" s="1282"/>
      <c r="L5" s="1282"/>
    </row>
    <row r="6" spans="2:12" ht="86.25" customHeight="1" thickTop="1">
      <c r="B6" s="1314"/>
      <c r="C6" s="1315"/>
      <c r="D6" s="863" t="s">
        <v>421</v>
      </c>
      <c r="E6" s="863" t="s">
        <v>417</v>
      </c>
      <c r="F6" s="863" t="s">
        <v>422</v>
      </c>
      <c r="G6" s="435" t="s">
        <v>423</v>
      </c>
      <c r="H6" s="866" t="s">
        <v>417</v>
      </c>
      <c r="I6" s="866" t="s">
        <v>424</v>
      </c>
      <c r="J6" s="878" t="s">
        <v>428</v>
      </c>
      <c r="K6" s="878" t="s">
        <v>417</v>
      </c>
      <c r="L6" s="436" t="s">
        <v>427</v>
      </c>
    </row>
    <row r="7" spans="2:12" ht="15">
      <c r="B7" s="27">
        <v>1</v>
      </c>
      <c r="C7" s="28" t="s">
        <v>275</v>
      </c>
      <c r="D7" s="864">
        <f>'BP'!H139</f>
        <v>26642000</v>
      </c>
      <c r="E7" s="864">
        <f>'BP'!I139</f>
        <v>433140</v>
      </c>
      <c r="F7" s="864">
        <f>SUM(D7:E7)</f>
        <v>27075140</v>
      </c>
      <c r="G7" s="363">
        <f>KP!G26</f>
        <v>12110145</v>
      </c>
      <c r="H7" s="363">
        <f>KP!H26</f>
        <v>-2401700</v>
      </c>
      <c r="I7" s="363">
        <f>SUM(G7:H7)</f>
        <v>9708445</v>
      </c>
      <c r="J7" s="956">
        <f>D7+G7</f>
        <v>38752145</v>
      </c>
      <c r="K7" s="879">
        <f>E7+H7</f>
        <v>-1968560</v>
      </c>
      <c r="L7" s="364">
        <f>F7+I7</f>
        <v>36783585</v>
      </c>
    </row>
    <row r="8" spans="2:12" ht="15">
      <c r="B8" s="29">
        <f>B7+1</f>
        <v>2</v>
      </c>
      <c r="C8" s="30" t="s">
        <v>500</v>
      </c>
      <c r="D8" s="865">
        <f>SUM(D9:D20)</f>
        <v>26567085</v>
      </c>
      <c r="E8" s="865">
        <f>SUM(E9:E20)</f>
        <v>-1906901</v>
      </c>
      <c r="F8" s="865">
        <f>SUM(D8:E8)</f>
        <v>24660184</v>
      </c>
      <c r="G8" s="365">
        <f>SUM(G9:G20)</f>
        <v>6657660</v>
      </c>
      <c r="H8" s="365">
        <f>SUM(H9:H20)</f>
        <v>180382</v>
      </c>
      <c r="I8" s="365">
        <f>SUM(G8:H8)</f>
        <v>6838042</v>
      </c>
      <c r="J8" s="880">
        <f aca="true" t="shared" si="0" ref="J8:L20">D8+G8</f>
        <v>33224745</v>
      </c>
      <c r="K8" s="880">
        <f aca="true" t="shared" si="1" ref="K8:K20">E8+H8</f>
        <v>-1726519</v>
      </c>
      <c r="L8" s="366">
        <f t="shared" si="0"/>
        <v>31498226</v>
      </c>
    </row>
    <row r="9" spans="2:12" ht="15">
      <c r="B9" s="1">
        <f>B8+1</f>
        <v>3</v>
      </c>
      <c r="C9" s="437" t="s">
        <v>247</v>
      </c>
      <c r="D9" s="367">
        <f>'P1'!H9</f>
        <v>190500</v>
      </c>
      <c r="E9" s="367">
        <f>'P1'!I9</f>
        <v>38700</v>
      </c>
      <c r="F9" s="367">
        <f>SUM(D9:E9)</f>
        <v>229200</v>
      </c>
      <c r="G9" s="367">
        <f>'P1'!O9</f>
        <v>35398</v>
      </c>
      <c r="H9" s="367">
        <f>'P1'!P9</f>
        <v>0</v>
      </c>
      <c r="I9" s="367">
        <f>SUM(G9:H9)</f>
        <v>35398</v>
      </c>
      <c r="J9" s="367">
        <f t="shared" si="0"/>
        <v>225898</v>
      </c>
      <c r="K9" s="367">
        <f t="shared" si="1"/>
        <v>38700</v>
      </c>
      <c r="L9" s="368">
        <f t="shared" si="0"/>
        <v>264598</v>
      </c>
    </row>
    <row r="10" spans="2:12" ht="15">
      <c r="B10" s="1">
        <f aca="true" t="shared" si="2" ref="B10:B22">B9+1</f>
        <v>4</v>
      </c>
      <c r="C10" s="438" t="s">
        <v>248</v>
      </c>
      <c r="D10" s="367">
        <f>'P2'!I9</f>
        <v>80000</v>
      </c>
      <c r="E10" s="367">
        <f>'P2'!J9</f>
        <v>-17500</v>
      </c>
      <c r="F10" s="367">
        <f aca="true" t="shared" si="3" ref="F10:F20">SUM(D10:E10)</f>
        <v>62500</v>
      </c>
      <c r="G10" s="367">
        <f>'P2'!P9</f>
        <v>0</v>
      </c>
      <c r="H10" s="367">
        <f>'P2'!P9</f>
        <v>0</v>
      </c>
      <c r="I10" s="367">
        <f aca="true" t="shared" si="4" ref="I10:I20">SUM(G10:H10)</f>
        <v>0</v>
      </c>
      <c r="J10" s="367">
        <f t="shared" si="0"/>
        <v>80000</v>
      </c>
      <c r="K10" s="367">
        <f t="shared" si="1"/>
        <v>-17500</v>
      </c>
      <c r="L10" s="368">
        <f t="shared" si="0"/>
        <v>62500</v>
      </c>
    </row>
    <row r="11" spans="2:12" ht="15">
      <c r="B11" s="1">
        <f t="shared" si="2"/>
        <v>5</v>
      </c>
      <c r="C11" s="438" t="s">
        <v>106</v>
      </c>
      <c r="D11" s="369">
        <f>'P3'!J9</f>
        <v>3205685</v>
      </c>
      <c r="E11" s="369">
        <f>'P3'!K9</f>
        <v>81525</v>
      </c>
      <c r="F11" s="367">
        <f t="shared" si="3"/>
        <v>3287210</v>
      </c>
      <c r="G11" s="367">
        <f>'P3'!Q9</f>
        <v>19015</v>
      </c>
      <c r="H11" s="367">
        <f>'P3'!R9</f>
        <v>0</v>
      </c>
      <c r="I11" s="367">
        <f t="shared" si="4"/>
        <v>19015</v>
      </c>
      <c r="J11" s="367">
        <f t="shared" si="0"/>
        <v>3224700</v>
      </c>
      <c r="K11" s="367">
        <f t="shared" si="1"/>
        <v>81525</v>
      </c>
      <c r="L11" s="368">
        <f t="shared" si="0"/>
        <v>3306225</v>
      </c>
    </row>
    <row r="12" spans="2:12" ht="15">
      <c r="B12" s="1">
        <f t="shared" si="2"/>
        <v>6</v>
      </c>
      <c r="C12" s="438" t="s">
        <v>105</v>
      </c>
      <c r="D12" s="367">
        <f>'P4'!J9</f>
        <v>428400</v>
      </c>
      <c r="E12" s="367">
        <f>'P4'!K9</f>
        <v>86715</v>
      </c>
      <c r="F12" s="367">
        <f t="shared" si="3"/>
        <v>515115</v>
      </c>
      <c r="G12" s="367">
        <f>'P4'!Q9</f>
        <v>9891</v>
      </c>
      <c r="H12" s="367">
        <f>'P4'!R9</f>
        <v>0</v>
      </c>
      <c r="I12" s="367">
        <f t="shared" si="4"/>
        <v>9891</v>
      </c>
      <c r="J12" s="367">
        <f t="shared" si="0"/>
        <v>438291</v>
      </c>
      <c r="K12" s="367">
        <f t="shared" si="1"/>
        <v>86715</v>
      </c>
      <c r="L12" s="368">
        <f t="shared" si="0"/>
        <v>525006</v>
      </c>
    </row>
    <row r="13" spans="2:12" ht="15">
      <c r="B13" s="1">
        <f t="shared" si="2"/>
        <v>7</v>
      </c>
      <c r="C13" s="438" t="s">
        <v>249</v>
      </c>
      <c r="D13" s="369">
        <f>'P5'!J9</f>
        <v>1506000</v>
      </c>
      <c r="E13" s="369">
        <f>'P5'!K9</f>
        <v>15000</v>
      </c>
      <c r="F13" s="367">
        <f t="shared" si="3"/>
        <v>1521000</v>
      </c>
      <c r="G13" s="369">
        <f>'P5'!Q9</f>
        <v>1195670</v>
      </c>
      <c r="H13" s="369">
        <f>'P5'!R9</f>
        <v>10000</v>
      </c>
      <c r="I13" s="367">
        <f t="shared" si="4"/>
        <v>1205670</v>
      </c>
      <c r="J13" s="367">
        <f t="shared" si="0"/>
        <v>2701670</v>
      </c>
      <c r="K13" s="367">
        <f t="shared" si="1"/>
        <v>25000</v>
      </c>
      <c r="L13" s="368">
        <f t="shared" si="0"/>
        <v>2726670</v>
      </c>
    </row>
    <row r="14" spans="2:12" ht="15">
      <c r="B14" s="1">
        <f t="shared" si="2"/>
        <v>8</v>
      </c>
      <c r="C14" s="438" t="s">
        <v>250</v>
      </c>
      <c r="D14" s="369">
        <f>'P6'!H9</f>
        <v>3721300</v>
      </c>
      <c r="E14" s="369">
        <f>'P6'!I9</f>
        <v>-438292</v>
      </c>
      <c r="F14" s="367">
        <f t="shared" si="3"/>
        <v>3283008</v>
      </c>
      <c r="G14" s="369">
        <f>'P6'!P9</f>
        <v>531615</v>
      </c>
      <c r="H14" s="369">
        <f>'P6'!Q9</f>
        <v>-34000</v>
      </c>
      <c r="I14" s="367">
        <f t="shared" si="4"/>
        <v>497615</v>
      </c>
      <c r="J14" s="367">
        <f t="shared" si="0"/>
        <v>4252915</v>
      </c>
      <c r="K14" s="367">
        <f t="shared" si="1"/>
        <v>-472292</v>
      </c>
      <c r="L14" s="368">
        <f t="shared" si="0"/>
        <v>3780623</v>
      </c>
    </row>
    <row r="15" spans="2:12" ht="15">
      <c r="B15" s="1">
        <f t="shared" si="2"/>
        <v>9</v>
      </c>
      <c r="C15" s="438" t="s">
        <v>251</v>
      </c>
      <c r="D15" s="369">
        <f>'P7'!J9</f>
        <v>9981500</v>
      </c>
      <c r="E15" s="369">
        <f>'P7'!K9</f>
        <v>118975</v>
      </c>
      <c r="F15" s="367">
        <f t="shared" si="3"/>
        <v>10100475</v>
      </c>
      <c r="G15" s="369">
        <f>'P7'!Q9</f>
        <v>2383609</v>
      </c>
      <c r="H15" s="369">
        <f>'P7'!R9</f>
        <v>97000</v>
      </c>
      <c r="I15" s="367">
        <f t="shared" si="4"/>
        <v>2480609</v>
      </c>
      <c r="J15" s="367">
        <f t="shared" si="0"/>
        <v>12365109</v>
      </c>
      <c r="K15" s="367">
        <f t="shared" si="1"/>
        <v>215975</v>
      </c>
      <c r="L15" s="368">
        <f t="shared" si="0"/>
        <v>12581084</v>
      </c>
    </row>
    <row r="16" spans="2:12" ht="15">
      <c r="B16" s="1">
        <f t="shared" si="2"/>
        <v>10</v>
      </c>
      <c r="C16" s="438" t="s">
        <v>252</v>
      </c>
      <c r="D16" s="369">
        <f>'P8'!J9</f>
        <v>519200</v>
      </c>
      <c r="E16" s="369">
        <f>'P8'!K9</f>
        <v>363545</v>
      </c>
      <c r="F16" s="367">
        <f t="shared" si="3"/>
        <v>882745</v>
      </c>
      <c r="G16" s="369">
        <f>'P8'!Q9</f>
        <v>435022</v>
      </c>
      <c r="H16" s="369">
        <f>'P8'!R9</f>
        <v>192074</v>
      </c>
      <c r="I16" s="367">
        <f t="shared" si="4"/>
        <v>627096</v>
      </c>
      <c r="J16" s="367">
        <f t="shared" si="0"/>
        <v>954222</v>
      </c>
      <c r="K16" s="367">
        <f t="shared" si="1"/>
        <v>555619</v>
      </c>
      <c r="L16" s="368">
        <f t="shared" si="0"/>
        <v>1509841</v>
      </c>
    </row>
    <row r="17" spans="2:12" ht="15">
      <c r="B17" s="1">
        <f t="shared" si="2"/>
        <v>11</v>
      </c>
      <c r="C17" s="438" t="s">
        <v>253</v>
      </c>
      <c r="D17" s="369">
        <f>'P9'!J9</f>
        <v>215500</v>
      </c>
      <c r="E17" s="369">
        <f>'P9'!K9</f>
        <v>44235</v>
      </c>
      <c r="F17" s="367">
        <f t="shared" si="3"/>
        <v>259735</v>
      </c>
      <c r="G17" s="369">
        <f>'P9'!Q9</f>
        <v>48352</v>
      </c>
      <c r="H17" s="369">
        <f>'P9'!R9</f>
        <v>0</v>
      </c>
      <c r="I17" s="367">
        <f t="shared" si="4"/>
        <v>48352</v>
      </c>
      <c r="J17" s="367">
        <f t="shared" si="0"/>
        <v>263852</v>
      </c>
      <c r="K17" s="367">
        <f t="shared" si="1"/>
        <v>44235</v>
      </c>
      <c r="L17" s="368">
        <f t="shared" si="0"/>
        <v>308087</v>
      </c>
    </row>
    <row r="18" spans="2:12" ht="15">
      <c r="B18" s="1">
        <f t="shared" si="2"/>
        <v>12</v>
      </c>
      <c r="C18" s="438" t="s">
        <v>257</v>
      </c>
      <c r="D18" s="369">
        <f>'P10'!J9</f>
        <v>4990000</v>
      </c>
      <c r="E18" s="369">
        <f>'P10'!K9</f>
        <v>-2218055</v>
      </c>
      <c r="F18" s="367">
        <f t="shared" si="3"/>
        <v>2771945</v>
      </c>
      <c r="G18" s="369">
        <f>'P10'!Q9</f>
        <v>208257</v>
      </c>
      <c r="H18" s="369">
        <f>'P10'!R9</f>
        <v>-87608</v>
      </c>
      <c r="I18" s="367">
        <f t="shared" si="4"/>
        <v>120649</v>
      </c>
      <c r="J18" s="367">
        <f t="shared" si="0"/>
        <v>5198257</v>
      </c>
      <c r="K18" s="367">
        <f t="shared" si="1"/>
        <v>-2305663</v>
      </c>
      <c r="L18" s="368">
        <f t="shared" si="0"/>
        <v>2892594</v>
      </c>
    </row>
    <row r="19" spans="2:12" ht="15">
      <c r="B19" s="1">
        <f t="shared" si="2"/>
        <v>13</v>
      </c>
      <c r="C19" s="438" t="s">
        <v>260</v>
      </c>
      <c r="D19" s="369">
        <f>'P11'!J9</f>
        <v>1530000</v>
      </c>
      <c r="E19" s="369">
        <f>'P11'!K9</f>
        <v>5751</v>
      </c>
      <c r="F19" s="367">
        <f t="shared" si="3"/>
        <v>1535751</v>
      </c>
      <c r="G19" s="369">
        <f>'P11'!Q9</f>
        <v>0</v>
      </c>
      <c r="H19" s="369">
        <f>'P11'!Q9</f>
        <v>0</v>
      </c>
      <c r="I19" s="367">
        <f t="shared" si="4"/>
        <v>0</v>
      </c>
      <c r="J19" s="367">
        <f t="shared" si="0"/>
        <v>1530000</v>
      </c>
      <c r="K19" s="367">
        <f t="shared" si="1"/>
        <v>5751</v>
      </c>
      <c r="L19" s="368">
        <f t="shared" si="0"/>
        <v>1535751</v>
      </c>
    </row>
    <row r="20" spans="2:12" ht="15">
      <c r="B20" s="1">
        <f t="shared" si="2"/>
        <v>14</v>
      </c>
      <c r="C20" s="438" t="s">
        <v>263</v>
      </c>
      <c r="D20" s="369">
        <f>'P12'!J9</f>
        <v>199000</v>
      </c>
      <c r="E20" s="369">
        <f>'P12'!K9</f>
        <v>12500</v>
      </c>
      <c r="F20" s="367">
        <f t="shared" si="3"/>
        <v>211500</v>
      </c>
      <c r="G20" s="369">
        <f>'P12'!R9</f>
        <v>1790831</v>
      </c>
      <c r="H20" s="369">
        <f>'P12'!S9</f>
        <v>2916</v>
      </c>
      <c r="I20" s="367">
        <f t="shared" si="4"/>
        <v>1793747</v>
      </c>
      <c r="J20" s="367">
        <f t="shared" si="0"/>
        <v>1989831</v>
      </c>
      <c r="K20" s="367">
        <f t="shared" si="1"/>
        <v>15416</v>
      </c>
      <c r="L20" s="368">
        <f t="shared" si="0"/>
        <v>2005247</v>
      </c>
    </row>
    <row r="21" spans="2:12" ht="12" customHeight="1">
      <c r="B21" s="1">
        <f t="shared" si="2"/>
        <v>15</v>
      </c>
      <c r="C21" s="1316" t="s">
        <v>380</v>
      </c>
      <c r="D21" s="1288">
        <f>D7-D8</f>
        <v>74915</v>
      </c>
      <c r="E21" s="1288">
        <f>E7-E8</f>
        <v>2340041</v>
      </c>
      <c r="F21" s="1288">
        <f>F7-F8</f>
        <v>2414956</v>
      </c>
      <c r="G21" s="370"/>
      <c r="H21" s="370"/>
      <c r="I21" s="370"/>
      <c r="J21" s="1290"/>
      <c r="K21" s="1290"/>
      <c r="L21" s="1294"/>
    </row>
    <row r="22" spans="2:12" ht="3.75" customHeight="1">
      <c r="B22" s="1">
        <f t="shared" si="2"/>
        <v>16</v>
      </c>
      <c r="C22" s="1317"/>
      <c r="D22" s="1289"/>
      <c r="E22" s="1289"/>
      <c r="F22" s="1289"/>
      <c r="G22" s="371"/>
      <c r="H22" s="371"/>
      <c r="I22" s="371"/>
      <c r="J22" s="1291"/>
      <c r="K22" s="1291"/>
      <c r="L22" s="1295"/>
    </row>
    <row r="23" spans="2:12" ht="11.25" customHeight="1">
      <c r="B23" s="1">
        <f>B22+1</f>
        <v>17</v>
      </c>
      <c r="C23" s="1318" t="s">
        <v>381</v>
      </c>
      <c r="D23" s="372"/>
      <c r="E23" s="372"/>
      <c r="F23" s="372"/>
      <c r="G23" s="1286">
        <f>G7-G8</f>
        <v>5452485</v>
      </c>
      <c r="H23" s="1286">
        <f>H7-H8</f>
        <v>-2582082</v>
      </c>
      <c r="I23" s="1286">
        <f>I7-I8</f>
        <v>2870403</v>
      </c>
      <c r="J23" s="1320"/>
      <c r="K23" s="1292"/>
      <c r="L23" s="1296"/>
    </row>
    <row r="24" spans="2:12" ht="4.5" customHeight="1">
      <c r="B24" s="1">
        <f>B23+1</f>
        <v>18</v>
      </c>
      <c r="C24" s="1319"/>
      <c r="D24" s="373"/>
      <c r="E24" s="373"/>
      <c r="F24" s="373"/>
      <c r="G24" s="1287"/>
      <c r="H24" s="1287"/>
      <c r="I24" s="1287"/>
      <c r="J24" s="1321"/>
      <c r="K24" s="1293"/>
      <c r="L24" s="1297"/>
    </row>
    <row r="25" spans="1:12" ht="15" customHeight="1" thickBot="1">
      <c r="A25" s="35"/>
      <c r="B25" s="309">
        <f>B24+1</f>
        <v>19</v>
      </c>
      <c r="C25" s="362" t="s">
        <v>382</v>
      </c>
      <c r="D25" s="374"/>
      <c r="E25" s="374"/>
      <c r="F25" s="374"/>
      <c r="G25" s="375"/>
      <c r="H25" s="375"/>
      <c r="I25" s="375"/>
      <c r="J25" s="881">
        <f>J7-J8</f>
        <v>5527400</v>
      </c>
      <c r="K25" s="881">
        <f>K7-K8</f>
        <v>-242041</v>
      </c>
      <c r="L25" s="376">
        <f>L7-L8</f>
        <v>5285359</v>
      </c>
    </row>
    <row r="26" spans="1:10" s="35" customFormat="1" ht="4.5" customHeight="1" thickBot="1">
      <c r="A26" s="47"/>
      <c r="B26" s="15"/>
      <c r="C26" s="225"/>
      <c r="D26" s="310"/>
      <c r="E26" s="310"/>
      <c r="F26" s="310"/>
      <c r="G26" s="310"/>
      <c r="H26" s="310"/>
      <c r="I26" s="310"/>
      <c r="J26" s="310"/>
    </row>
    <row r="27" spans="1:12" ht="16.5" customHeight="1">
      <c r="A27" s="35"/>
      <c r="B27" s="1283" t="s">
        <v>308</v>
      </c>
      <c r="C27" s="1284"/>
      <c r="D27" s="1284"/>
      <c r="E27" s="1284"/>
      <c r="F27" s="1284"/>
      <c r="G27" s="1284"/>
      <c r="H27" s="1284"/>
      <c r="I27" s="1284"/>
      <c r="J27" s="1284"/>
      <c r="K27" s="1284"/>
      <c r="L27" s="1285"/>
    </row>
    <row r="28" spans="1:14" ht="14.25" customHeight="1">
      <c r="A28" s="35"/>
      <c r="B28" s="434">
        <f>B25+1</f>
        <v>20</v>
      </c>
      <c r="C28" s="1301" t="s">
        <v>405</v>
      </c>
      <c r="D28" s="1302"/>
      <c r="E28" s="1302"/>
      <c r="F28" s="1302"/>
      <c r="G28" s="1303"/>
      <c r="H28" s="450"/>
      <c r="I28" s="450"/>
      <c r="J28" s="868">
        <f>J29</f>
        <v>2000000</v>
      </c>
      <c r="K28" s="868">
        <f>SUM(K29:K31)</f>
        <v>242041</v>
      </c>
      <c r="L28" s="882">
        <f>SUM(L29:L31)</f>
        <v>2242041</v>
      </c>
      <c r="N28" s="19"/>
    </row>
    <row r="29" spans="1:12" ht="14.25" customHeight="1">
      <c r="A29" s="35"/>
      <c r="B29" s="430">
        <f>B28+1</f>
        <v>21</v>
      </c>
      <c r="C29" s="431" t="s">
        <v>404</v>
      </c>
      <c r="D29" s="432"/>
      <c r="E29" s="432"/>
      <c r="F29" s="432"/>
      <c r="G29" s="433"/>
      <c r="H29" s="432"/>
      <c r="I29" s="432"/>
      <c r="J29" s="867">
        <v>2000000</v>
      </c>
      <c r="K29" s="867"/>
      <c r="L29" s="883">
        <f>SUM(J29:K29)</f>
        <v>2000000</v>
      </c>
    </row>
    <row r="30" spans="1:12" ht="14.25" customHeight="1">
      <c r="A30" s="35"/>
      <c r="B30" s="430">
        <f>B29+1</f>
        <v>22</v>
      </c>
      <c r="C30" s="431" t="s">
        <v>496</v>
      </c>
      <c r="D30" s="432"/>
      <c r="E30" s="432"/>
      <c r="F30" s="432"/>
      <c r="G30" s="433"/>
      <c r="H30" s="432"/>
      <c r="I30" s="432"/>
      <c r="J30" s="867">
        <v>0</v>
      </c>
      <c r="K30" s="867">
        <v>201593</v>
      </c>
      <c r="L30" s="883">
        <f>SUM(J30:K30)</f>
        <v>201593</v>
      </c>
    </row>
    <row r="31" spans="1:12" ht="14.25" customHeight="1">
      <c r="A31" s="35"/>
      <c r="B31" s="430">
        <f>B30+1</f>
        <v>23</v>
      </c>
      <c r="C31" s="431" t="s">
        <v>497</v>
      </c>
      <c r="D31" s="432"/>
      <c r="E31" s="432"/>
      <c r="F31" s="432"/>
      <c r="G31" s="433"/>
      <c r="H31" s="432"/>
      <c r="I31" s="432"/>
      <c r="J31" s="867">
        <v>0</v>
      </c>
      <c r="K31" s="867">
        <v>40448</v>
      </c>
      <c r="L31" s="883">
        <f>SUM(J31:K31)</f>
        <v>40448</v>
      </c>
    </row>
    <row r="32" spans="1:12" ht="15.75" customHeight="1">
      <c r="A32" s="35"/>
      <c r="B32" s="434">
        <f>B31+1</f>
        <v>24</v>
      </c>
      <c r="C32" s="1301" t="s">
        <v>406</v>
      </c>
      <c r="D32" s="1302"/>
      <c r="E32" s="1302"/>
      <c r="F32" s="1302"/>
      <c r="G32" s="1303"/>
      <c r="H32" s="450"/>
      <c r="I32" s="450"/>
      <c r="J32" s="868">
        <f>J33+J37+J38</f>
        <v>7527400</v>
      </c>
      <c r="K32" s="868"/>
      <c r="L32" s="882">
        <f>L33+L37+L38</f>
        <v>7527400</v>
      </c>
    </row>
    <row r="33" spans="1:12" ht="14.25" customHeight="1">
      <c r="A33" s="35"/>
      <c r="B33" s="430">
        <f aca="true" t="shared" si="5" ref="B33:B41">B32+1</f>
        <v>25</v>
      </c>
      <c r="C33" s="431" t="s">
        <v>400</v>
      </c>
      <c r="D33" s="432"/>
      <c r="E33" s="432"/>
      <c r="F33" s="432"/>
      <c r="G33" s="433"/>
      <c r="H33" s="432"/>
      <c r="I33" s="432"/>
      <c r="J33" s="867">
        <f>SUM(J34:J36)</f>
        <v>1532200</v>
      </c>
      <c r="K33" s="867"/>
      <c r="L33" s="883">
        <f>SUM(L34:L36)</f>
        <v>1532200</v>
      </c>
    </row>
    <row r="34" spans="1:12" ht="13.5" customHeight="1">
      <c r="A34" s="35"/>
      <c r="B34" s="191">
        <f t="shared" si="5"/>
        <v>26</v>
      </c>
      <c r="C34" s="1304" t="s">
        <v>408</v>
      </c>
      <c r="D34" s="1305"/>
      <c r="E34" s="1305"/>
      <c r="F34" s="1305"/>
      <c r="G34" s="1306"/>
      <c r="H34" s="379"/>
      <c r="I34" s="379"/>
      <c r="J34" s="869">
        <v>266000</v>
      </c>
      <c r="K34" s="869"/>
      <c r="L34" s="884">
        <v>266000</v>
      </c>
    </row>
    <row r="35" spans="1:12" ht="13.5" customHeight="1">
      <c r="A35" s="35"/>
      <c r="B35" s="191">
        <f t="shared" si="5"/>
        <v>27</v>
      </c>
      <c r="C35" s="1304" t="s">
        <v>388</v>
      </c>
      <c r="D35" s="1305"/>
      <c r="E35" s="1305"/>
      <c r="F35" s="1305"/>
      <c r="G35" s="1306"/>
      <c r="H35" s="379"/>
      <c r="I35" s="379"/>
      <c r="J35" s="869">
        <v>731200</v>
      </c>
      <c r="K35" s="869"/>
      <c r="L35" s="884">
        <v>731200</v>
      </c>
    </row>
    <row r="36" spans="1:12" ht="13.5" customHeight="1">
      <c r="A36" s="35"/>
      <c r="B36" s="191">
        <f t="shared" si="5"/>
        <v>28</v>
      </c>
      <c r="C36" s="399" t="s">
        <v>389</v>
      </c>
      <c r="D36" s="379"/>
      <c r="E36" s="379"/>
      <c r="F36" s="379"/>
      <c r="G36" s="380"/>
      <c r="H36" s="379"/>
      <c r="I36" s="379"/>
      <c r="J36" s="869">
        <v>535000</v>
      </c>
      <c r="K36" s="869"/>
      <c r="L36" s="884">
        <v>535000</v>
      </c>
    </row>
    <row r="37" spans="1:12" ht="14.25" customHeight="1">
      <c r="A37" s="35"/>
      <c r="B37" s="430">
        <f t="shared" si="5"/>
        <v>29</v>
      </c>
      <c r="C37" s="431" t="s">
        <v>401</v>
      </c>
      <c r="D37" s="432"/>
      <c r="E37" s="432"/>
      <c r="F37" s="432"/>
      <c r="G37" s="433"/>
      <c r="H37" s="432"/>
      <c r="I37" s="432"/>
      <c r="J37" s="867">
        <v>21200</v>
      </c>
      <c r="K37" s="867"/>
      <c r="L37" s="883">
        <v>21200</v>
      </c>
    </row>
    <row r="38" spans="1:12" ht="14.25" customHeight="1">
      <c r="A38" s="35"/>
      <c r="B38" s="430">
        <f t="shared" si="5"/>
        <v>30</v>
      </c>
      <c r="C38" s="431" t="s">
        <v>402</v>
      </c>
      <c r="D38" s="432"/>
      <c r="E38" s="432"/>
      <c r="F38" s="432"/>
      <c r="G38" s="433"/>
      <c r="H38" s="432"/>
      <c r="I38" s="432"/>
      <c r="J38" s="867">
        <f>J39+J40</f>
        <v>5974000</v>
      </c>
      <c r="K38" s="867"/>
      <c r="L38" s="883">
        <f>L39+L40</f>
        <v>5974000</v>
      </c>
    </row>
    <row r="39" spans="1:12" ht="13.5" customHeight="1">
      <c r="A39" s="35"/>
      <c r="B39" s="191">
        <f t="shared" si="5"/>
        <v>31</v>
      </c>
      <c r="C39" s="1304" t="s">
        <v>403</v>
      </c>
      <c r="D39" s="1305"/>
      <c r="E39" s="1305"/>
      <c r="F39" s="1305"/>
      <c r="G39" s="1306"/>
      <c r="H39" s="379"/>
      <c r="I39" s="379"/>
      <c r="J39" s="869">
        <v>3974000</v>
      </c>
      <c r="K39" s="869"/>
      <c r="L39" s="884">
        <v>3974000</v>
      </c>
    </row>
    <row r="40" spans="1:12" ht="13.5" customHeight="1" thickBot="1">
      <c r="A40" s="35"/>
      <c r="B40" s="191">
        <f t="shared" si="5"/>
        <v>32</v>
      </c>
      <c r="C40" s="384" t="s">
        <v>409</v>
      </c>
      <c r="D40" s="385"/>
      <c r="E40" s="385"/>
      <c r="F40" s="385"/>
      <c r="G40" s="386"/>
      <c r="H40" s="385"/>
      <c r="I40" s="385"/>
      <c r="J40" s="870">
        <v>2000000</v>
      </c>
      <c r="K40" s="870"/>
      <c r="L40" s="885">
        <v>2000000</v>
      </c>
    </row>
    <row r="41" spans="1:12" ht="20.25" customHeight="1" thickBot="1" thickTop="1">
      <c r="A41" s="35"/>
      <c r="B41" s="312">
        <f t="shared" si="5"/>
        <v>33</v>
      </c>
      <c r="C41" s="1298" t="s">
        <v>309</v>
      </c>
      <c r="D41" s="1299"/>
      <c r="E41" s="1299"/>
      <c r="F41" s="1299"/>
      <c r="G41" s="1300"/>
      <c r="H41" s="449"/>
      <c r="I41" s="449"/>
      <c r="J41" s="887">
        <f>J25+J28-J32</f>
        <v>0</v>
      </c>
      <c r="K41" s="887">
        <f>K25+K28-K32</f>
        <v>0</v>
      </c>
      <c r="L41" s="886">
        <f>L25+L28-L32</f>
        <v>0</v>
      </c>
    </row>
    <row r="42" spans="1:10" ht="28.5" customHeight="1">
      <c r="A42" s="35"/>
      <c r="B42" s="1309" t="s">
        <v>326</v>
      </c>
      <c r="C42" s="1309"/>
      <c r="D42" s="1309"/>
      <c r="E42" s="1309"/>
      <c r="F42" s="1309"/>
      <c r="G42" s="1309"/>
      <c r="H42" s="1309"/>
      <c r="I42" s="1309"/>
      <c r="J42" s="1309"/>
    </row>
    <row r="43" spans="1:12" ht="27.75" customHeight="1">
      <c r="A43" s="35"/>
      <c r="B43" s="1308" t="s">
        <v>407</v>
      </c>
      <c r="C43" s="1308"/>
      <c r="D43" s="1308"/>
      <c r="E43" s="1308"/>
      <c r="F43" s="1308"/>
      <c r="G43" s="1308"/>
      <c r="H43" s="1308"/>
      <c r="I43" s="1308"/>
      <c r="J43" s="1308"/>
      <c r="L43" s="912"/>
    </row>
    <row r="44" spans="2:3" ht="15">
      <c r="B44" s="25"/>
      <c r="C44" s="26"/>
    </row>
    <row r="45" spans="2:3" ht="15">
      <c r="B45" s="25"/>
      <c r="C45" s="26"/>
    </row>
    <row r="46" spans="2:3" ht="15">
      <c r="B46" s="25"/>
      <c r="C46" s="26"/>
    </row>
    <row r="47" spans="2:3" ht="15">
      <c r="B47" s="25"/>
      <c r="C47" s="26"/>
    </row>
    <row r="48" spans="2:3" ht="15">
      <c r="B48" s="25"/>
      <c r="C48" s="26"/>
    </row>
    <row r="49" spans="2:3" ht="15">
      <c r="B49" s="25"/>
      <c r="C49" s="26"/>
    </row>
    <row r="50" spans="2:3" ht="15">
      <c r="B50" s="25"/>
      <c r="C50" s="26"/>
    </row>
    <row r="51" spans="2:3" ht="15">
      <c r="B51" s="25"/>
      <c r="C51" s="26"/>
    </row>
    <row r="52" spans="2:3" ht="15">
      <c r="B52" s="25"/>
      <c r="C52" s="26"/>
    </row>
  </sheetData>
  <sheetProtection/>
  <mergeCells count="26">
    <mergeCell ref="B2:L2"/>
    <mergeCell ref="B43:J43"/>
    <mergeCell ref="J21:J22"/>
    <mergeCell ref="B42:J42"/>
    <mergeCell ref="B4:C6"/>
    <mergeCell ref="C21:C22"/>
    <mergeCell ref="C23:C24"/>
    <mergeCell ref="G23:G24"/>
    <mergeCell ref="D21:D22"/>
    <mergeCell ref="J23:J24"/>
    <mergeCell ref="C41:G41"/>
    <mergeCell ref="C28:G28"/>
    <mergeCell ref="C32:G32"/>
    <mergeCell ref="C34:G34"/>
    <mergeCell ref="C35:G35"/>
    <mergeCell ref="C39:G39"/>
    <mergeCell ref="D4:L5"/>
    <mergeCell ref="B27:L27"/>
    <mergeCell ref="H23:H24"/>
    <mergeCell ref="I23:I24"/>
    <mergeCell ref="E21:E22"/>
    <mergeCell ref="F21:F22"/>
    <mergeCell ref="K21:K22"/>
    <mergeCell ref="K23:K24"/>
    <mergeCell ref="L21:L22"/>
    <mergeCell ref="L23:L24"/>
  </mergeCells>
  <printOptions/>
  <pageMargins left="0.4330708661417323" right="0.1968503937007874" top="0.2362204724409449" bottom="0.1968503937007874" header="0.2362204724409449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3.140625" style="17" customWidth="1"/>
    <col min="3" max="3" width="5.140625" style="18" customWidth="1"/>
    <col min="4" max="4" width="4.28125" style="18" customWidth="1"/>
    <col min="5" max="5" width="3.421875" style="18" customWidth="1"/>
    <col min="6" max="6" width="41.00390625" style="17" customWidth="1"/>
    <col min="7" max="7" width="12.57421875" style="17" customWidth="1"/>
    <col min="8" max="9" width="12.7109375" style="0" customWidth="1"/>
    <col min="10" max="10" width="0.85546875" style="0" customWidth="1"/>
    <col min="11" max="11" width="8.57421875" style="0" customWidth="1"/>
  </cols>
  <sheetData>
    <row r="1" ht="12.75">
      <c r="A1" s="383"/>
    </row>
    <row r="2" ht="13.5" thickBot="1"/>
    <row r="3" spans="2:11" ht="14.25" customHeight="1">
      <c r="B3" s="1120" t="s">
        <v>283</v>
      </c>
      <c r="C3" s="1145"/>
      <c r="D3" s="1145"/>
      <c r="E3" s="1145"/>
      <c r="F3" s="1146"/>
      <c r="G3" s="1139" t="s">
        <v>410</v>
      </c>
      <c r="H3" s="1150" t="s">
        <v>417</v>
      </c>
      <c r="I3" s="1136" t="s">
        <v>415</v>
      </c>
      <c r="K3" s="1142" t="s">
        <v>418</v>
      </c>
    </row>
    <row r="4" spans="2:11" ht="14.25" customHeight="1">
      <c r="B4" s="1147"/>
      <c r="C4" s="1148"/>
      <c r="D4" s="1148"/>
      <c r="E4" s="1148"/>
      <c r="F4" s="1149"/>
      <c r="G4" s="1140"/>
      <c r="H4" s="1151"/>
      <c r="I4" s="1137"/>
      <c r="K4" s="1143"/>
    </row>
    <row r="5" spans="2:11" ht="14.25" customHeight="1">
      <c r="B5" s="161"/>
      <c r="C5" s="162" t="s">
        <v>14</v>
      </c>
      <c r="D5" s="162" t="s">
        <v>15</v>
      </c>
      <c r="E5" s="162" t="s">
        <v>16</v>
      </c>
      <c r="F5" s="164"/>
      <c r="G5" s="1140"/>
      <c r="H5" s="1151"/>
      <c r="I5" s="1137"/>
      <c r="K5" s="1143"/>
    </row>
    <row r="6" spans="2:11" ht="23.25" customHeight="1" thickBot="1">
      <c r="B6" s="165"/>
      <c r="C6" s="166"/>
      <c r="D6" s="167"/>
      <c r="E6" s="166" t="s">
        <v>17</v>
      </c>
      <c r="F6" s="169" t="s">
        <v>18</v>
      </c>
      <c r="G6" s="1141"/>
      <c r="H6" s="1152"/>
      <c r="I6" s="1138"/>
      <c r="K6" s="1144"/>
    </row>
    <row r="7" spans="2:11" ht="16.5" thickTop="1">
      <c r="B7" s="191">
        <v>1</v>
      </c>
      <c r="C7" s="192" t="s">
        <v>41</v>
      </c>
      <c r="D7" s="193"/>
      <c r="E7" s="194"/>
      <c r="F7" s="195" t="s">
        <v>42</v>
      </c>
      <c r="G7" s="410">
        <f>G9</f>
        <v>9965145</v>
      </c>
      <c r="H7" s="897">
        <f>H9</f>
        <v>-2401700</v>
      </c>
      <c r="I7" s="893">
        <f>H7+G7</f>
        <v>7563445</v>
      </c>
      <c r="K7" s="951">
        <f>K9</f>
        <v>890924</v>
      </c>
    </row>
    <row r="8" spans="2:11" ht="12.75">
      <c r="B8" s="196">
        <f>B7+1</f>
        <v>2</v>
      </c>
      <c r="C8" s="16"/>
      <c r="D8" s="9"/>
      <c r="E8" s="11"/>
      <c r="F8" s="197"/>
      <c r="G8" s="198"/>
      <c r="H8" s="898"/>
      <c r="I8" s="890"/>
      <c r="K8" s="953"/>
    </row>
    <row r="9" spans="2:11" ht="12.75">
      <c r="B9" s="196">
        <f aca="true" t="shared" si="0" ref="B9:B25">B8+1</f>
        <v>3</v>
      </c>
      <c r="C9" s="9" t="s">
        <v>284</v>
      </c>
      <c r="D9" s="9"/>
      <c r="E9" s="11"/>
      <c r="F9" s="197" t="s">
        <v>283</v>
      </c>
      <c r="G9" s="158">
        <f>G10+G15</f>
        <v>9965145</v>
      </c>
      <c r="H9" s="899">
        <f>H10+H15</f>
        <v>-2401700</v>
      </c>
      <c r="I9" s="891">
        <f aca="true" t="shared" si="1" ref="I9:I26">H9+G9</f>
        <v>7563445</v>
      </c>
      <c r="K9" s="954">
        <f>K10+K15</f>
        <v>890924</v>
      </c>
    </row>
    <row r="10" spans="2:11" ht="12.75">
      <c r="B10" s="196">
        <f t="shared" si="0"/>
        <v>4</v>
      </c>
      <c r="C10" s="10"/>
      <c r="D10" s="10" t="s">
        <v>285</v>
      </c>
      <c r="E10" s="13"/>
      <c r="F10" s="199" t="s">
        <v>286</v>
      </c>
      <c r="G10" s="159">
        <f>SUM(G11:G13)</f>
        <v>2812850</v>
      </c>
      <c r="H10" s="900">
        <f>SUM(H11:H13)</f>
        <v>2431550</v>
      </c>
      <c r="I10" s="328">
        <f t="shared" si="1"/>
        <v>5244400</v>
      </c>
      <c r="K10" s="955">
        <f>SUM(K11:K13)</f>
        <v>144017</v>
      </c>
    </row>
    <row r="11" spans="2:11" ht="12.75">
      <c r="B11" s="196">
        <f t="shared" si="0"/>
        <v>5</v>
      </c>
      <c r="C11" s="10"/>
      <c r="D11" s="48"/>
      <c r="E11" s="8"/>
      <c r="F11" s="20" t="s">
        <v>287</v>
      </c>
      <c r="G11" s="159">
        <v>460000</v>
      </c>
      <c r="H11" s="900">
        <v>2140000</v>
      </c>
      <c r="I11" s="328">
        <f t="shared" si="1"/>
        <v>2600000</v>
      </c>
      <c r="K11" s="955">
        <v>9567</v>
      </c>
    </row>
    <row r="12" spans="2:11" ht="12.75">
      <c r="B12" s="196">
        <f t="shared" si="0"/>
        <v>6</v>
      </c>
      <c r="C12" s="9"/>
      <c r="D12" s="10"/>
      <c r="E12" s="12"/>
      <c r="F12" s="22" t="s">
        <v>288</v>
      </c>
      <c r="G12" s="159">
        <v>20000</v>
      </c>
      <c r="H12" s="900">
        <v>480000</v>
      </c>
      <c r="I12" s="328">
        <f t="shared" si="1"/>
        <v>500000</v>
      </c>
      <c r="K12" s="955">
        <v>0</v>
      </c>
    </row>
    <row r="13" spans="2:11" ht="12.75">
      <c r="B13" s="196">
        <f t="shared" si="0"/>
        <v>7</v>
      </c>
      <c r="C13" s="9"/>
      <c r="D13" s="10"/>
      <c r="E13" s="12"/>
      <c r="F13" s="22" t="s">
        <v>398</v>
      </c>
      <c r="G13" s="160">
        <v>2332850</v>
      </c>
      <c r="H13" s="901">
        <v>-188450</v>
      </c>
      <c r="I13" s="892">
        <f t="shared" si="1"/>
        <v>2144400</v>
      </c>
      <c r="K13" s="955">
        <v>134450</v>
      </c>
    </row>
    <row r="14" spans="2:11" ht="12.75">
      <c r="B14" s="196">
        <f t="shared" si="0"/>
        <v>8</v>
      </c>
      <c r="C14" s="9"/>
      <c r="D14" s="10"/>
      <c r="E14" s="12"/>
      <c r="F14" s="22"/>
      <c r="G14" s="160"/>
      <c r="H14" s="901"/>
      <c r="I14" s="892"/>
      <c r="K14" s="955"/>
    </row>
    <row r="15" spans="2:11" ht="12.75">
      <c r="B15" s="196">
        <f t="shared" si="0"/>
        <v>9</v>
      </c>
      <c r="C15" s="9"/>
      <c r="D15" s="10" t="s">
        <v>289</v>
      </c>
      <c r="E15" s="12" t="s">
        <v>30</v>
      </c>
      <c r="F15" s="22" t="s">
        <v>290</v>
      </c>
      <c r="G15" s="159">
        <f>SUM(G16:G20)</f>
        <v>7152295</v>
      </c>
      <c r="H15" s="900">
        <f>SUM(H16:H20)</f>
        <v>-4833250</v>
      </c>
      <c r="I15" s="328">
        <f t="shared" si="1"/>
        <v>2319045</v>
      </c>
      <c r="K15" s="955">
        <f>SUM(K16:K20)</f>
        <v>746907</v>
      </c>
    </row>
    <row r="16" spans="2:11" ht="12.75">
      <c r="B16" s="196">
        <f t="shared" si="0"/>
        <v>10</v>
      </c>
      <c r="C16" s="10"/>
      <c r="D16" s="10"/>
      <c r="E16" s="12"/>
      <c r="F16" s="22" t="s">
        <v>291</v>
      </c>
      <c r="G16" s="159">
        <v>276150</v>
      </c>
      <c r="H16" s="900">
        <f>1200000-16150+40000+3-200000</f>
        <v>1023853</v>
      </c>
      <c r="I16" s="328">
        <f t="shared" si="1"/>
        <v>1300003</v>
      </c>
      <c r="K16" s="955">
        <f>746877-685637+30</f>
        <v>61270</v>
      </c>
    </row>
    <row r="17" spans="2:11" ht="12.75">
      <c r="B17" s="196">
        <f t="shared" si="0"/>
        <v>11</v>
      </c>
      <c r="C17" s="10"/>
      <c r="D17" s="13"/>
      <c r="E17" s="12"/>
      <c r="F17" s="22" t="s">
        <v>292</v>
      </c>
      <c r="G17" s="159">
        <v>3800000</v>
      </c>
      <c r="H17" s="900">
        <f>-3800000+59260</f>
        <v>-3740740</v>
      </c>
      <c r="I17" s="328">
        <f t="shared" si="1"/>
        <v>59260</v>
      </c>
      <c r="K17" s="955"/>
    </row>
    <row r="18" spans="2:11" ht="12.75">
      <c r="B18" s="196">
        <f t="shared" si="0"/>
        <v>12</v>
      </c>
      <c r="C18" s="10"/>
      <c r="D18" s="13"/>
      <c r="E18" s="12"/>
      <c r="F18" s="22" t="s">
        <v>383</v>
      </c>
      <c r="G18" s="159">
        <v>685000</v>
      </c>
      <c r="H18" s="900">
        <v>637</v>
      </c>
      <c r="I18" s="328">
        <f t="shared" si="1"/>
        <v>685637</v>
      </c>
      <c r="K18" s="955">
        <v>685637</v>
      </c>
    </row>
    <row r="19" spans="2:11" ht="12.75">
      <c r="B19" s="196">
        <f t="shared" si="0"/>
        <v>13</v>
      </c>
      <c r="C19" s="10"/>
      <c r="D19" s="13"/>
      <c r="E19" s="12"/>
      <c r="F19" s="22" t="s">
        <v>384</v>
      </c>
      <c r="G19" s="159">
        <v>274145</v>
      </c>
      <c r="H19" s="900"/>
      <c r="I19" s="328">
        <f t="shared" si="1"/>
        <v>274145</v>
      </c>
      <c r="K19" s="955"/>
    </row>
    <row r="20" spans="2:11" ht="12.75">
      <c r="B20" s="196">
        <f t="shared" si="0"/>
        <v>14</v>
      </c>
      <c r="C20" s="10"/>
      <c r="D20" s="13"/>
      <c r="E20" s="12"/>
      <c r="F20" s="22" t="s">
        <v>385</v>
      </c>
      <c r="G20" s="159">
        <v>2117000</v>
      </c>
      <c r="H20" s="900">
        <v>-2117000</v>
      </c>
      <c r="I20" s="328">
        <f t="shared" si="1"/>
        <v>0</v>
      </c>
      <c r="K20" s="955"/>
    </row>
    <row r="21" spans="2:11" ht="12.75">
      <c r="B21" s="196">
        <f t="shared" si="0"/>
        <v>15</v>
      </c>
      <c r="C21" s="10"/>
      <c r="D21" s="13"/>
      <c r="E21" s="12"/>
      <c r="F21" s="200" t="s">
        <v>293</v>
      </c>
      <c r="G21" s="159"/>
      <c r="H21" s="900"/>
      <c r="I21" s="328"/>
      <c r="K21" s="955"/>
    </row>
    <row r="22" spans="2:11" ht="12.75">
      <c r="B22" s="196">
        <f t="shared" si="0"/>
        <v>16</v>
      </c>
      <c r="C22" s="201" t="s">
        <v>88</v>
      </c>
      <c r="D22" s="202"/>
      <c r="E22" s="202"/>
      <c r="F22" s="195" t="s">
        <v>294</v>
      </c>
      <c r="G22" s="351">
        <f>G24</f>
        <v>2145000</v>
      </c>
      <c r="H22" s="902">
        <f>H24</f>
        <v>0</v>
      </c>
      <c r="I22" s="894">
        <f t="shared" si="1"/>
        <v>2145000</v>
      </c>
      <c r="K22" s="951">
        <f>K24</f>
        <v>0</v>
      </c>
    </row>
    <row r="23" spans="2:11" ht="12.75">
      <c r="B23" s="196">
        <f t="shared" si="0"/>
        <v>17</v>
      </c>
      <c r="C23" s="203"/>
      <c r="D23" s="204"/>
      <c r="E23" s="204"/>
      <c r="F23" s="205"/>
      <c r="G23" s="157"/>
      <c r="H23" s="903"/>
      <c r="I23" s="327"/>
      <c r="K23" s="955"/>
    </row>
    <row r="24" spans="2:11" ht="12.75">
      <c r="B24" s="196">
        <f t="shared" si="0"/>
        <v>18</v>
      </c>
      <c r="C24" s="203"/>
      <c r="D24" s="204"/>
      <c r="E24" s="204"/>
      <c r="F24" s="22" t="s">
        <v>386</v>
      </c>
      <c r="G24" s="447">
        <v>2145000</v>
      </c>
      <c r="H24" s="903"/>
      <c r="I24" s="895">
        <f t="shared" si="1"/>
        <v>2145000</v>
      </c>
      <c r="K24" s="955"/>
    </row>
    <row r="25" spans="2:11" ht="12.75">
      <c r="B25" s="196">
        <f t="shared" si="0"/>
        <v>19</v>
      </c>
      <c r="C25" s="203"/>
      <c r="D25" s="204"/>
      <c r="E25" s="204"/>
      <c r="F25" s="205"/>
      <c r="G25" s="157"/>
      <c r="H25" s="903"/>
      <c r="I25" s="327"/>
      <c r="K25" s="955"/>
    </row>
    <row r="26" spans="2:11" ht="21" thickBot="1">
      <c r="B26" s="206">
        <f>B25+1</f>
        <v>20</v>
      </c>
      <c r="C26" s="358"/>
      <c r="D26" s="359"/>
      <c r="E26" s="360"/>
      <c r="F26" s="361" t="s">
        <v>295</v>
      </c>
      <c r="G26" s="411">
        <f>G7+G22</f>
        <v>12110145</v>
      </c>
      <c r="H26" s="904">
        <f>H7+H22</f>
        <v>-2401700</v>
      </c>
      <c r="I26" s="896">
        <f t="shared" si="1"/>
        <v>9708445</v>
      </c>
      <c r="K26" s="952">
        <f>K7+K22</f>
        <v>890924</v>
      </c>
    </row>
    <row r="27" spans="2:7" ht="12.75">
      <c r="B27" s="15"/>
      <c r="C27" s="207"/>
      <c r="D27" s="207"/>
      <c r="E27" s="207"/>
      <c r="F27" s="208"/>
      <c r="G27"/>
    </row>
    <row r="28" spans="2:7" ht="12.75" customHeight="1">
      <c r="B28" s="15"/>
      <c r="C28" s="209"/>
      <c r="D28" s="207"/>
      <c r="E28" s="207"/>
      <c r="F28" s="210"/>
      <c r="G28"/>
    </row>
    <row r="29" spans="2:7" ht="13.5" customHeight="1" thickBot="1">
      <c r="B29" s="15"/>
      <c r="C29" s="207"/>
      <c r="D29" s="207"/>
      <c r="E29" s="207"/>
      <c r="F29" s="208"/>
      <c r="G29"/>
    </row>
    <row r="30" spans="2:11" ht="14.25" customHeight="1">
      <c r="B30" s="1120" t="s">
        <v>328</v>
      </c>
      <c r="C30" s="1145"/>
      <c r="D30" s="1145"/>
      <c r="E30" s="1145"/>
      <c r="F30" s="1146"/>
      <c r="G30" s="1139" t="s">
        <v>410</v>
      </c>
      <c r="H30" s="1150" t="s">
        <v>417</v>
      </c>
      <c r="I30" s="1136" t="s">
        <v>415</v>
      </c>
      <c r="K30" s="1142" t="s">
        <v>418</v>
      </c>
    </row>
    <row r="31" spans="2:11" ht="14.25" customHeight="1">
      <c r="B31" s="1147"/>
      <c r="C31" s="1148"/>
      <c r="D31" s="1148"/>
      <c r="E31" s="1148"/>
      <c r="F31" s="1149"/>
      <c r="G31" s="1140"/>
      <c r="H31" s="1151"/>
      <c r="I31" s="1137"/>
      <c r="K31" s="1143"/>
    </row>
    <row r="32" spans="2:11" ht="18.75" customHeight="1">
      <c r="B32" s="161"/>
      <c r="C32" s="162" t="s">
        <v>14</v>
      </c>
      <c r="D32" s="162" t="s">
        <v>15</v>
      </c>
      <c r="E32" s="162" t="s">
        <v>16</v>
      </c>
      <c r="F32" s="164"/>
      <c r="G32" s="1140"/>
      <c r="H32" s="1151"/>
      <c r="I32" s="1137"/>
      <c r="K32" s="1143"/>
    </row>
    <row r="33" spans="2:11" ht="14.25" customHeight="1" thickBot="1">
      <c r="B33" s="165"/>
      <c r="C33" s="166"/>
      <c r="D33" s="167"/>
      <c r="E33" s="166" t="s">
        <v>17</v>
      </c>
      <c r="F33" s="169" t="s">
        <v>18</v>
      </c>
      <c r="G33" s="1141"/>
      <c r="H33" s="1152"/>
      <c r="I33" s="1138"/>
      <c r="K33" s="1144"/>
    </row>
    <row r="34" spans="2:11" ht="16.5" thickTop="1">
      <c r="B34" s="196">
        <v>1</v>
      </c>
      <c r="C34" s="211"/>
      <c r="D34" s="211"/>
      <c r="E34" s="212"/>
      <c r="F34" s="213" t="s">
        <v>98</v>
      </c>
      <c r="G34" s="412">
        <f>'BP'!H139</f>
        <v>26642000</v>
      </c>
      <c r="H34" s="908">
        <f>'BP'!I139</f>
        <v>433140</v>
      </c>
      <c r="I34" s="905">
        <f>H34+G34</f>
        <v>27075140</v>
      </c>
      <c r="K34" s="950">
        <f>'BP'!L139</f>
        <v>13213395</v>
      </c>
    </row>
    <row r="35" spans="2:11" ht="16.5" thickBot="1">
      <c r="B35" s="214">
        <f>B34+1</f>
        <v>2</v>
      </c>
      <c r="C35" s="215"/>
      <c r="D35" s="215"/>
      <c r="E35" s="216"/>
      <c r="F35" s="217" t="s">
        <v>295</v>
      </c>
      <c r="G35" s="413">
        <f>G26</f>
        <v>12110145</v>
      </c>
      <c r="H35" s="909">
        <f>H26</f>
        <v>-2401700</v>
      </c>
      <c r="I35" s="906">
        <f>H35+G35</f>
        <v>9708445</v>
      </c>
      <c r="K35" s="951">
        <f>K26</f>
        <v>890924</v>
      </c>
    </row>
    <row r="36" spans="2:11" ht="17.25" thickBot="1" thickTop="1">
      <c r="B36" s="218">
        <f>B35+1</f>
        <v>3</v>
      </c>
      <c r="C36" s="219"/>
      <c r="D36" s="220"/>
      <c r="E36" s="221"/>
      <c r="F36" s="222" t="s">
        <v>296</v>
      </c>
      <c r="G36" s="414">
        <f>G34+G35</f>
        <v>38752145</v>
      </c>
      <c r="H36" s="910">
        <f>H34+H35</f>
        <v>-1968560</v>
      </c>
      <c r="I36" s="907">
        <f>H36+G36</f>
        <v>36783585</v>
      </c>
      <c r="K36" s="952">
        <f>SUM(K34:K35)</f>
        <v>14104319</v>
      </c>
    </row>
    <row r="37" spans="2:7" ht="12.75">
      <c r="B37" s="15"/>
      <c r="C37" s="223"/>
      <c r="D37" s="223"/>
      <c r="E37" s="207"/>
      <c r="F37" s="7"/>
      <c r="G37" s="7"/>
    </row>
    <row r="38" spans="1:7" ht="12.75">
      <c r="A38" s="15"/>
      <c r="B38" s="223"/>
      <c r="C38" s="223"/>
      <c r="D38" s="224"/>
      <c r="E38" s="17"/>
      <c r="G38"/>
    </row>
    <row r="39" spans="1:7" ht="12.75">
      <c r="A39" s="15"/>
      <c r="B39" s="223"/>
      <c r="C39" s="223"/>
      <c r="D39" s="224"/>
      <c r="E39" s="17"/>
      <c r="G39"/>
    </row>
    <row r="40" spans="1:7" ht="12.75">
      <c r="A40" s="15"/>
      <c r="B40" s="223"/>
      <c r="C40" s="223"/>
      <c r="D40" s="224"/>
      <c r="E40" s="17"/>
      <c r="G40"/>
    </row>
    <row r="41" spans="1:7" ht="12.75">
      <c r="A41" s="15"/>
      <c r="B41" s="223"/>
      <c r="C41" s="223"/>
      <c r="D41" s="224"/>
      <c r="E41" s="17"/>
      <c r="G41"/>
    </row>
    <row r="42" spans="1:7" ht="12.75">
      <c r="A42" s="15"/>
      <c r="B42" s="223"/>
      <c r="C42" s="223"/>
      <c r="D42" s="207"/>
      <c r="E42" s="7"/>
      <c r="F42" s="7"/>
      <c r="G42"/>
    </row>
    <row r="43" spans="1:7" ht="12.75">
      <c r="A43" s="15"/>
      <c r="B43" s="223"/>
      <c r="C43" s="223"/>
      <c r="D43" s="207"/>
      <c r="E43" s="7"/>
      <c r="F43" s="7"/>
      <c r="G43"/>
    </row>
    <row r="44" spans="1:7" ht="12.75">
      <c r="A44" s="15"/>
      <c r="B44" s="209"/>
      <c r="C44" s="223"/>
      <c r="D44" s="224"/>
      <c r="E44" s="23"/>
      <c r="F44" s="23"/>
      <c r="G44"/>
    </row>
    <row r="45" spans="1:7" ht="12.75">
      <c r="A45" s="15"/>
      <c r="B45" s="209"/>
      <c r="C45" s="223"/>
      <c r="D45" s="224"/>
      <c r="E45" s="210"/>
      <c r="F45" s="210"/>
      <c r="G45"/>
    </row>
    <row r="46" spans="2:7" ht="12.75">
      <c r="B46" s="15"/>
      <c r="C46" s="209"/>
      <c r="D46" s="207"/>
      <c r="E46" s="224"/>
      <c r="F46" s="208"/>
      <c r="G46" s="208"/>
    </row>
    <row r="47" spans="2:7" ht="12.75">
      <c r="B47" s="15"/>
      <c r="C47" s="209"/>
      <c r="D47" s="223"/>
      <c r="E47" s="207"/>
      <c r="F47" s="7"/>
      <c r="G47" s="7"/>
    </row>
    <row r="48" spans="2:7" ht="12.75">
      <c r="B48" s="15"/>
      <c r="C48" s="209"/>
      <c r="D48" s="223"/>
      <c r="E48" s="224"/>
      <c r="F48" s="7"/>
      <c r="G48" s="7"/>
    </row>
    <row r="49" spans="2:7" ht="12.75">
      <c r="B49" s="15"/>
      <c r="C49" s="209"/>
      <c r="D49" s="223"/>
      <c r="E49" s="224"/>
      <c r="F49" s="7"/>
      <c r="G49" s="7"/>
    </row>
    <row r="50" spans="2:7" ht="12.75">
      <c r="B50" s="15"/>
      <c r="C50" s="209"/>
      <c r="D50" s="223"/>
      <c r="E50" s="224"/>
      <c r="F50" s="7"/>
      <c r="G50" s="7"/>
    </row>
    <row r="51" spans="2:7" ht="12.75">
      <c r="B51" s="15"/>
      <c r="C51" s="209"/>
      <c r="D51" s="223"/>
      <c r="E51" s="224"/>
      <c r="F51" s="7"/>
      <c r="G51" s="7"/>
    </row>
    <row r="52" spans="2:7" ht="12.75">
      <c r="B52" s="15"/>
      <c r="C52" s="209"/>
      <c r="D52" s="223"/>
      <c r="E52" s="224"/>
      <c r="F52" s="7"/>
      <c r="G52" s="7"/>
    </row>
    <row r="53" spans="2:7" ht="12.75">
      <c r="B53" s="15"/>
      <c r="C53" s="209"/>
      <c r="D53" s="223"/>
      <c r="E53" s="207"/>
      <c r="F53" s="7"/>
      <c r="G53" s="7"/>
    </row>
    <row r="54" spans="2:7" ht="12.75">
      <c r="B54" s="15"/>
      <c r="C54" s="209"/>
      <c r="D54" s="223"/>
      <c r="E54" s="207"/>
      <c r="F54" s="7"/>
      <c r="G54" s="7"/>
    </row>
    <row r="55" spans="2:7" ht="12.75">
      <c r="B55" s="15"/>
      <c r="C55" s="209"/>
      <c r="D55" s="223"/>
      <c r="E55" s="207"/>
      <c r="F55" s="7"/>
      <c r="G55" s="7"/>
    </row>
    <row r="56" spans="2:7" ht="12.75">
      <c r="B56" s="15"/>
      <c r="C56" s="209"/>
      <c r="D56" s="209"/>
      <c r="E56" s="207"/>
      <c r="F56" s="210"/>
      <c r="G56" s="210"/>
    </row>
    <row r="57" spans="2:7" ht="12.75">
      <c r="B57" s="15"/>
      <c r="C57" s="209"/>
      <c r="D57" s="207"/>
      <c r="E57" s="207"/>
      <c r="F57" s="7"/>
      <c r="G57" s="7"/>
    </row>
    <row r="58" spans="2:7" ht="12.75">
      <c r="B58" s="15"/>
      <c r="C58" s="209"/>
      <c r="D58" s="207"/>
      <c r="E58" s="207"/>
      <c r="F58" s="7"/>
      <c r="G58" s="7"/>
    </row>
    <row r="59" spans="2:7" ht="12.75">
      <c r="B59" s="15"/>
      <c r="C59" s="209"/>
      <c r="D59" s="223"/>
      <c r="E59" s="207"/>
      <c r="F59" s="7"/>
      <c r="G59" s="7"/>
    </row>
    <row r="60" spans="2:7" ht="12.75">
      <c r="B60" s="15"/>
      <c r="C60" s="209"/>
      <c r="D60" s="223"/>
      <c r="E60" s="207"/>
      <c r="F60" s="7"/>
      <c r="G60" s="7"/>
    </row>
    <row r="61" spans="2:7" ht="12.75">
      <c r="B61" s="15"/>
      <c r="C61" s="209"/>
      <c r="D61" s="207"/>
      <c r="E61" s="207"/>
      <c r="F61" s="7"/>
      <c r="G61" s="7"/>
    </row>
    <row r="62" spans="2:7" ht="12.75">
      <c r="B62" s="15"/>
      <c r="C62" s="209"/>
      <c r="D62" s="223"/>
      <c r="E62" s="207"/>
      <c r="F62" s="7"/>
      <c r="G62" s="7"/>
    </row>
    <row r="63" spans="2:7" ht="12.75">
      <c r="B63" s="15"/>
      <c r="C63" s="209"/>
      <c r="D63" s="223"/>
      <c r="E63" s="207"/>
      <c r="F63" s="210"/>
      <c r="G63" s="210"/>
    </row>
    <row r="64" spans="2:7" ht="12.75">
      <c r="B64" s="15"/>
      <c r="C64" s="209"/>
      <c r="D64" s="223"/>
      <c r="E64" s="207"/>
      <c r="F64" s="7"/>
      <c r="G64" s="7"/>
    </row>
    <row r="65" spans="2:7" ht="12.75">
      <c r="B65" s="15"/>
      <c r="C65" s="209"/>
      <c r="D65" s="223"/>
      <c r="E65" s="207"/>
      <c r="F65" s="7"/>
      <c r="G65" s="7"/>
    </row>
    <row r="66" spans="2:7" ht="12.75">
      <c r="B66" s="15"/>
      <c r="C66" s="209"/>
      <c r="D66" s="223"/>
      <c r="E66" s="207"/>
      <c r="F66" s="225"/>
      <c r="G66" s="225"/>
    </row>
    <row r="67" spans="2:7" ht="12.75">
      <c r="B67" s="7"/>
      <c r="C67" s="207"/>
      <c r="D67" s="207"/>
      <c r="E67" s="207"/>
      <c r="F67" s="7"/>
      <c r="G67" s="7"/>
    </row>
    <row r="68" spans="2:7" ht="12.75">
      <c r="B68" s="7"/>
      <c r="C68" s="207"/>
      <c r="D68" s="207"/>
      <c r="E68" s="207"/>
      <c r="F68" s="7"/>
      <c r="G68" s="7"/>
    </row>
    <row r="69" spans="2:7" ht="12.75">
      <c r="B69" s="7"/>
      <c r="C69" s="207"/>
      <c r="D69" s="207"/>
      <c r="E69" s="207"/>
      <c r="F69" s="7"/>
      <c r="G69" s="7"/>
    </row>
    <row r="70" spans="2:7" ht="12.75">
      <c r="B70" s="7"/>
      <c r="C70" s="207"/>
      <c r="D70" s="207"/>
      <c r="E70" s="207"/>
      <c r="F70" s="7"/>
      <c r="G70" s="7"/>
    </row>
    <row r="71" spans="2:7" ht="12.75">
      <c r="B71" s="7"/>
      <c r="C71" s="207"/>
      <c r="D71" s="207"/>
      <c r="E71" s="207"/>
      <c r="F71" s="7"/>
      <c r="G71" s="7"/>
    </row>
    <row r="72" spans="2:7" ht="12.75">
      <c r="B72" s="7"/>
      <c r="C72" s="207"/>
      <c r="D72" s="207"/>
      <c r="E72" s="207"/>
      <c r="F72" s="7"/>
      <c r="G72" s="7"/>
    </row>
    <row r="73" spans="2:7" ht="12.75">
      <c r="B73" s="7"/>
      <c r="C73" s="207"/>
      <c r="D73" s="207"/>
      <c r="E73" s="207"/>
      <c r="F73" s="7"/>
      <c r="G73" s="7"/>
    </row>
    <row r="74" spans="2:7" ht="12.75">
      <c r="B74" s="7"/>
      <c r="C74" s="207"/>
      <c r="D74" s="207"/>
      <c r="E74" s="207"/>
      <c r="F74" s="7"/>
      <c r="G74" s="7"/>
    </row>
    <row r="75" spans="2:7" ht="12.75">
      <c r="B75" s="7"/>
      <c r="C75" s="207"/>
      <c r="D75" s="207"/>
      <c r="E75" s="207"/>
      <c r="F75" s="7"/>
      <c r="G75" s="7"/>
    </row>
    <row r="76" spans="2:7" ht="12.75">
      <c r="B76" s="7"/>
      <c r="C76" s="207"/>
      <c r="D76" s="207"/>
      <c r="E76" s="207"/>
      <c r="F76" s="7"/>
      <c r="G76" s="7"/>
    </row>
    <row r="77" spans="2:7" ht="12.75">
      <c r="B77" s="7"/>
      <c r="C77" s="207"/>
      <c r="D77" s="207"/>
      <c r="E77" s="207"/>
      <c r="F77" s="7"/>
      <c r="G77" s="7"/>
    </row>
    <row r="78" spans="2:7" ht="12.75">
      <c r="B78" s="7"/>
      <c r="C78" s="207"/>
      <c r="D78" s="207"/>
      <c r="E78" s="207"/>
      <c r="F78" s="7"/>
      <c r="G78" s="7"/>
    </row>
    <row r="79" spans="2:7" ht="12.75">
      <c r="B79" s="7"/>
      <c r="C79" s="207"/>
      <c r="D79" s="207"/>
      <c r="E79" s="207"/>
      <c r="F79" s="7"/>
      <c r="G79" s="7"/>
    </row>
    <row r="80" spans="2:7" ht="12.75">
      <c r="B80" s="7"/>
      <c r="C80" s="207"/>
      <c r="D80" s="207"/>
      <c r="E80" s="207"/>
      <c r="F80" s="7"/>
      <c r="G80" s="7"/>
    </row>
    <row r="81" spans="2:7" ht="12.75">
      <c r="B81" s="7"/>
      <c r="C81" s="207"/>
      <c r="D81" s="207"/>
      <c r="E81" s="207"/>
      <c r="F81" s="7"/>
      <c r="G81" s="7"/>
    </row>
    <row r="82" spans="2:7" ht="12.75">
      <c r="B82" s="7"/>
      <c r="C82" s="207"/>
      <c r="D82" s="207"/>
      <c r="E82" s="207"/>
      <c r="F82" s="7"/>
      <c r="G82" s="7"/>
    </row>
    <row r="83" spans="2:7" ht="12.75">
      <c r="B83" s="7"/>
      <c r="C83" s="207"/>
      <c r="D83" s="207"/>
      <c r="E83" s="207"/>
      <c r="F83" s="7"/>
      <c r="G83" s="7"/>
    </row>
    <row r="84" spans="2:7" ht="12.75">
      <c r="B84" s="7"/>
      <c r="C84" s="207"/>
      <c r="D84" s="207"/>
      <c r="E84" s="207"/>
      <c r="F84" s="7"/>
      <c r="G84" s="7"/>
    </row>
    <row r="85" spans="2:7" ht="12.75">
      <c r="B85" s="7"/>
      <c r="C85" s="207"/>
      <c r="D85" s="207"/>
      <c r="E85" s="207"/>
      <c r="F85" s="7"/>
      <c r="G85" s="7"/>
    </row>
    <row r="86" spans="2:7" ht="12.75">
      <c r="B86" s="7"/>
      <c r="C86" s="207"/>
      <c r="D86" s="207"/>
      <c r="E86" s="207"/>
      <c r="F86" s="7"/>
      <c r="G86" s="7"/>
    </row>
    <row r="87" spans="2:7" ht="12.75">
      <c r="B87" s="7"/>
      <c r="C87" s="207"/>
      <c r="D87" s="207"/>
      <c r="E87" s="207"/>
      <c r="F87" s="7"/>
      <c r="G87" s="7"/>
    </row>
    <row r="88" spans="2:7" ht="12.75">
      <c r="B88" s="7"/>
      <c r="C88" s="207"/>
      <c r="D88" s="207"/>
      <c r="E88" s="207"/>
      <c r="F88" s="7"/>
      <c r="G88" s="7"/>
    </row>
    <row r="89" spans="2:7" ht="12.75">
      <c r="B89" s="7"/>
      <c r="C89" s="207"/>
      <c r="D89" s="207"/>
      <c r="E89" s="207"/>
      <c r="F89" s="7"/>
      <c r="G89" s="7"/>
    </row>
    <row r="90" spans="2:7" ht="12.75">
      <c r="B90" s="7"/>
      <c r="C90" s="207"/>
      <c r="D90" s="207"/>
      <c r="E90" s="207"/>
      <c r="F90" s="7"/>
      <c r="G90" s="7"/>
    </row>
    <row r="91" spans="2:7" ht="12.75">
      <c r="B91" s="7"/>
      <c r="C91" s="207"/>
      <c r="D91" s="207"/>
      <c r="E91" s="207"/>
      <c r="F91" s="7"/>
      <c r="G91" s="7"/>
    </row>
    <row r="92" spans="2:7" ht="12.75">
      <c r="B92" s="7"/>
      <c r="C92" s="207"/>
      <c r="D92" s="207"/>
      <c r="E92" s="207"/>
      <c r="F92" s="7"/>
      <c r="G92" s="7"/>
    </row>
    <row r="93" spans="2:7" ht="12.75">
      <c r="B93" s="7"/>
      <c r="C93" s="207"/>
      <c r="D93" s="207"/>
      <c r="E93" s="207"/>
      <c r="F93" s="7"/>
      <c r="G93" s="7"/>
    </row>
    <row r="94" spans="2:7" ht="12.75">
      <c r="B94" s="7"/>
      <c r="C94" s="207"/>
      <c r="D94" s="207"/>
      <c r="E94" s="207"/>
      <c r="F94" s="7"/>
      <c r="G94" s="7"/>
    </row>
    <row r="95" spans="2:7" ht="12.75">
      <c r="B95" s="7"/>
      <c r="C95" s="207"/>
      <c r="D95" s="207"/>
      <c r="E95" s="207"/>
      <c r="F95" s="7"/>
      <c r="G95" s="7"/>
    </row>
    <row r="96" spans="2:7" ht="12.75">
      <c r="B96" s="7"/>
      <c r="C96" s="207"/>
      <c r="D96" s="207"/>
      <c r="E96" s="207"/>
      <c r="F96" s="7"/>
      <c r="G96" s="7"/>
    </row>
    <row r="97" spans="2:7" ht="12.75">
      <c r="B97" s="7"/>
      <c r="C97" s="207"/>
      <c r="D97" s="207"/>
      <c r="E97" s="207"/>
      <c r="F97" s="7"/>
      <c r="G97" s="7"/>
    </row>
    <row r="98" spans="2:7" ht="12.75">
      <c r="B98" s="7"/>
      <c r="C98" s="207"/>
      <c r="D98" s="207"/>
      <c r="E98" s="207"/>
      <c r="F98" s="7"/>
      <c r="G98" s="7"/>
    </row>
    <row r="99" spans="2:7" ht="12.75">
      <c r="B99" s="7"/>
      <c r="C99" s="207"/>
      <c r="D99" s="207"/>
      <c r="E99" s="207"/>
      <c r="F99" s="7"/>
      <c r="G99" s="7"/>
    </row>
    <row r="100" spans="2:7" ht="12.75">
      <c r="B100" s="7"/>
      <c r="C100" s="207"/>
      <c r="D100" s="207"/>
      <c r="E100" s="207"/>
      <c r="F100" s="7"/>
      <c r="G100" s="7"/>
    </row>
    <row r="101" spans="2:7" ht="12.75">
      <c r="B101" s="7"/>
      <c r="C101" s="207"/>
      <c r="D101" s="207"/>
      <c r="E101" s="207"/>
      <c r="F101" s="7"/>
      <c r="G101" s="7"/>
    </row>
    <row r="102" spans="2:7" ht="12.75">
      <c r="B102" s="7"/>
      <c r="C102" s="207"/>
      <c r="D102" s="207"/>
      <c r="E102" s="207"/>
      <c r="F102" s="7"/>
      <c r="G102" s="7"/>
    </row>
    <row r="103" spans="2:7" ht="12.75">
      <c r="B103" s="7"/>
      <c r="C103" s="207"/>
      <c r="D103" s="207"/>
      <c r="E103" s="207"/>
      <c r="F103" s="7"/>
      <c r="G103" s="7"/>
    </row>
    <row r="104" spans="2:7" ht="12.75">
      <c r="B104" s="7"/>
      <c r="C104" s="207"/>
      <c r="D104" s="207"/>
      <c r="E104" s="207"/>
      <c r="F104" s="7"/>
      <c r="G104" s="7"/>
    </row>
    <row r="105" spans="2:7" ht="12.75">
      <c r="B105" s="7"/>
      <c r="C105" s="207"/>
      <c r="D105" s="207"/>
      <c r="E105" s="207"/>
      <c r="F105" s="7"/>
      <c r="G105" s="7"/>
    </row>
    <row r="106" spans="2:7" ht="12.75">
      <c r="B106" s="7"/>
      <c r="C106" s="207"/>
      <c r="D106" s="207"/>
      <c r="E106" s="207"/>
      <c r="F106" s="7"/>
      <c r="G106" s="7"/>
    </row>
    <row r="107" spans="2:7" ht="12.75">
      <c r="B107" s="7"/>
      <c r="C107" s="207"/>
      <c r="D107" s="207"/>
      <c r="E107" s="207"/>
      <c r="F107" s="7"/>
      <c r="G107" s="7"/>
    </row>
    <row r="108" spans="2:7" ht="12.75">
      <c r="B108" s="7"/>
      <c r="C108" s="207"/>
      <c r="D108" s="207"/>
      <c r="E108" s="207"/>
      <c r="F108" s="7"/>
      <c r="G108" s="7"/>
    </row>
    <row r="109" spans="2:7" ht="12.75">
      <c r="B109" s="7"/>
      <c r="C109" s="207"/>
      <c r="D109" s="207"/>
      <c r="E109" s="207"/>
      <c r="F109" s="7"/>
      <c r="G109" s="7"/>
    </row>
    <row r="110" spans="2:7" ht="12.75">
      <c r="B110" s="7"/>
      <c r="C110" s="207"/>
      <c r="D110" s="207"/>
      <c r="E110" s="207"/>
      <c r="F110" s="7"/>
      <c r="G110" s="7"/>
    </row>
    <row r="111" spans="2:7" ht="12.75">
      <c r="B111" s="7"/>
      <c r="C111" s="207"/>
      <c r="D111" s="207"/>
      <c r="E111" s="207"/>
      <c r="F111" s="7"/>
      <c r="G111" s="7"/>
    </row>
    <row r="112" spans="2:7" ht="12.75">
      <c r="B112" s="7"/>
      <c r="C112" s="207"/>
      <c r="D112" s="207"/>
      <c r="E112" s="207"/>
      <c r="F112" s="7"/>
      <c r="G112" s="7"/>
    </row>
    <row r="113" spans="2:7" ht="12.75">
      <c r="B113" s="7"/>
      <c r="C113" s="207"/>
      <c r="D113" s="207"/>
      <c r="E113" s="207"/>
      <c r="F113" s="7"/>
      <c r="G113" s="7"/>
    </row>
    <row r="114" spans="2:7" ht="12.75">
      <c r="B114" s="7"/>
      <c r="C114" s="207"/>
      <c r="D114" s="207"/>
      <c r="E114" s="207"/>
      <c r="F114" s="7"/>
      <c r="G114" s="7"/>
    </row>
    <row r="115" spans="2:7" ht="12.75">
      <c r="B115" s="7"/>
      <c r="C115" s="207"/>
      <c r="D115" s="207"/>
      <c r="E115" s="207"/>
      <c r="F115" s="7"/>
      <c r="G115" s="7"/>
    </row>
    <row r="116" spans="2:7" ht="12.75">
      <c r="B116" s="7"/>
      <c r="C116" s="207"/>
      <c r="D116" s="207"/>
      <c r="E116" s="207"/>
      <c r="F116" s="7"/>
      <c r="G116" s="7"/>
    </row>
    <row r="117" spans="2:7" ht="12.75">
      <c r="B117" s="7"/>
      <c r="C117" s="207"/>
      <c r="D117" s="207"/>
      <c r="E117" s="207"/>
      <c r="F117" s="7"/>
      <c r="G117" s="7"/>
    </row>
  </sheetData>
  <sheetProtection/>
  <mergeCells count="10">
    <mergeCell ref="K3:K6"/>
    <mergeCell ref="K30:K33"/>
    <mergeCell ref="B30:F31"/>
    <mergeCell ref="B3:F4"/>
    <mergeCell ref="G3:G6"/>
    <mergeCell ref="G30:G33"/>
    <mergeCell ref="H3:H6"/>
    <mergeCell ref="I3:I6"/>
    <mergeCell ref="H30:H33"/>
    <mergeCell ref="I30:I33"/>
  </mergeCells>
  <printOptions/>
  <pageMargins left="0.53" right="0.42" top="0.93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8515625" style="6" customWidth="1"/>
    <col min="3" max="3" width="2.7109375" style="5" customWidth="1"/>
    <col min="4" max="4" width="2.00390625" style="0" customWidth="1"/>
    <col min="5" max="5" width="47.7109375" style="0" customWidth="1"/>
    <col min="6" max="6" width="10.00390625" style="0" customWidth="1"/>
    <col min="7" max="7" width="8.421875" style="0" customWidth="1"/>
    <col min="8" max="8" width="10.421875" style="0" customWidth="1"/>
    <col min="9" max="9" width="9.421875" style="0" customWidth="1"/>
    <col min="10" max="10" width="11.57421875" style="0" customWidth="1"/>
    <col min="11" max="11" width="7.28125" style="0" customWidth="1"/>
    <col min="12" max="12" width="0.71875" style="156" customWidth="1"/>
    <col min="13" max="13" width="8.140625" style="156" customWidth="1"/>
    <col min="14" max="14" width="7.28125" style="156" customWidth="1"/>
    <col min="15" max="15" width="10.140625" style="156" customWidth="1"/>
    <col min="16" max="16" width="8.8515625" style="156" customWidth="1"/>
    <col min="17" max="17" width="10.140625" style="156" customWidth="1"/>
    <col min="18" max="18" width="6.7109375" style="858" customWidth="1"/>
    <col min="19" max="19" width="1.28515625" style="156" customWidth="1"/>
    <col min="20" max="20" width="10.140625" style="156" customWidth="1"/>
    <col min="21" max="21" width="8.7109375" style="0" customWidth="1"/>
    <col min="22" max="22" width="10.00390625" style="0" customWidth="1"/>
  </cols>
  <sheetData>
    <row r="1" spans="8:11" ht="15.75" customHeight="1">
      <c r="H1" s="51"/>
      <c r="I1" s="51"/>
      <c r="J1" s="51"/>
      <c r="K1" s="51"/>
    </row>
    <row r="2" spans="2:11" ht="27">
      <c r="B2" s="124"/>
      <c r="C2" s="308" t="s">
        <v>217</v>
      </c>
      <c r="D2" s="35"/>
      <c r="E2" s="35"/>
      <c r="F2" s="35"/>
      <c r="G2" s="35"/>
      <c r="H2" s="35"/>
      <c r="I2" s="35"/>
      <c r="J2" s="35"/>
      <c r="K2" s="35"/>
    </row>
    <row r="3" spans="2:11" ht="13.5" customHeight="1" thickBot="1">
      <c r="B3" s="124"/>
      <c r="C3" s="123"/>
      <c r="D3" s="35"/>
      <c r="E3" s="35"/>
      <c r="F3" s="35"/>
      <c r="G3" s="35"/>
      <c r="H3" s="35"/>
      <c r="I3" s="35"/>
      <c r="J3" s="35"/>
      <c r="K3" s="35"/>
    </row>
    <row r="4" spans="2:22" ht="12.75" customHeight="1" thickBot="1">
      <c r="B4" s="1159" t="s">
        <v>313</v>
      </c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0"/>
      <c r="O4" s="1160"/>
      <c r="P4" s="1160"/>
      <c r="Q4" s="1160"/>
      <c r="R4" s="1161"/>
      <c r="S4" s="395"/>
      <c r="T4" s="1189" t="s">
        <v>410</v>
      </c>
      <c r="U4" s="1162" t="s">
        <v>417</v>
      </c>
      <c r="V4" s="1186" t="s">
        <v>415</v>
      </c>
    </row>
    <row r="5" spans="2:22" ht="18.75" customHeight="1" thickTop="1">
      <c r="B5" s="1153" t="s">
        <v>12</v>
      </c>
      <c r="C5" s="1154"/>
      <c r="D5" s="1154"/>
      <c r="E5" s="1154"/>
      <c r="F5" s="1154"/>
      <c r="G5" s="1154"/>
      <c r="H5" s="1154"/>
      <c r="I5" s="1154"/>
      <c r="J5" s="1155"/>
      <c r="K5" s="974"/>
      <c r="M5" s="1169" t="s">
        <v>331</v>
      </c>
      <c r="N5" s="1170"/>
      <c r="O5" s="1170"/>
      <c r="P5" s="1170"/>
      <c r="Q5" s="1171"/>
      <c r="R5" s="981"/>
      <c r="T5" s="1190"/>
      <c r="U5" s="1163"/>
      <c r="V5" s="1187"/>
    </row>
    <row r="6" spans="2:22" ht="12.75" customHeight="1">
      <c r="B6" s="41"/>
      <c r="C6" s="1175" t="s">
        <v>148</v>
      </c>
      <c r="D6" s="1175" t="s">
        <v>149</v>
      </c>
      <c r="E6" s="1174" t="s">
        <v>11</v>
      </c>
      <c r="F6" s="1157"/>
      <c r="G6" s="1157"/>
      <c r="H6" s="1157"/>
      <c r="I6" s="1157"/>
      <c r="J6" s="1157"/>
      <c r="K6" s="689"/>
      <c r="M6" s="1156" t="s">
        <v>11</v>
      </c>
      <c r="N6" s="1157"/>
      <c r="O6" s="1157"/>
      <c r="P6" s="1157"/>
      <c r="Q6" s="1158"/>
      <c r="R6" s="975"/>
      <c r="T6" s="1190"/>
      <c r="U6" s="1163"/>
      <c r="V6" s="1187"/>
    </row>
    <row r="7" spans="2:22" ht="48" customHeight="1">
      <c r="B7" s="41"/>
      <c r="C7" s="1176"/>
      <c r="D7" s="1176"/>
      <c r="E7" s="52" t="s">
        <v>5</v>
      </c>
      <c r="F7" s="1184">
        <v>630</v>
      </c>
      <c r="G7" s="1184">
        <v>640</v>
      </c>
      <c r="H7" s="1165" t="s">
        <v>410</v>
      </c>
      <c r="I7" s="1180" t="s">
        <v>417</v>
      </c>
      <c r="J7" s="1167" t="s">
        <v>415</v>
      </c>
      <c r="K7" s="1178" t="s">
        <v>453</v>
      </c>
      <c r="M7" s="1192">
        <v>711</v>
      </c>
      <c r="N7" s="1194">
        <v>716</v>
      </c>
      <c r="O7" s="1165" t="s">
        <v>410</v>
      </c>
      <c r="P7" s="1180" t="s">
        <v>417</v>
      </c>
      <c r="Q7" s="1172" t="s">
        <v>415</v>
      </c>
      <c r="R7" s="1182" t="s">
        <v>453</v>
      </c>
      <c r="T7" s="1190"/>
      <c r="U7" s="1163"/>
      <c r="V7" s="1187"/>
    </row>
    <row r="8" spans="2:22" ht="41.25" customHeight="1" thickBot="1">
      <c r="B8" s="46"/>
      <c r="C8" s="1177"/>
      <c r="D8" s="1177"/>
      <c r="E8" s="53"/>
      <c r="F8" s="1185"/>
      <c r="G8" s="1185"/>
      <c r="H8" s="1166"/>
      <c r="I8" s="1181"/>
      <c r="J8" s="1168"/>
      <c r="K8" s="1179"/>
      <c r="M8" s="1193"/>
      <c r="N8" s="1185"/>
      <c r="O8" s="1166"/>
      <c r="P8" s="1181"/>
      <c r="Q8" s="1173"/>
      <c r="R8" s="1183"/>
      <c r="T8" s="1191"/>
      <c r="U8" s="1164"/>
      <c r="V8" s="1188"/>
    </row>
    <row r="9" spans="2:22" ht="26.25" customHeight="1" thickBot="1" thickTop="1">
      <c r="B9" s="32">
        <v>1</v>
      </c>
      <c r="C9" s="415" t="s">
        <v>218</v>
      </c>
      <c r="D9" s="241"/>
      <c r="E9" s="242"/>
      <c r="F9" s="417">
        <f>F10+F20+F24+F27+F28+F29+F30+F33+F34</f>
        <v>180500</v>
      </c>
      <c r="G9" s="417">
        <f>G10+G20+G24+G27+G28+G29+G30+G33+G34</f>
        <v>10000</v>
      </c>
      <c r="H9" s="485">
        <f>SUM(F9:G9)</f>
        <v>190500</v>
      </c>
      <c r="I9" s="488">
        <f>I10+I20+I24+I27+I28+I29+I30+I33+I34</f>
        <v>38700</v>
      </c>
      <c r="J9" s="964">
        <f>I9+H9</f>
        <v>229200</v>
      </c>
      <c r="K9" s="970">
        <v>136837</v>
      </c>
      <c r="L9" s="259"/>
      <c r="M9" s="418">
        <f>M10+M20+M24+M27+M28+M29+M30+M33+M34</f>
        <v>27100</v>
      </c>
      <c r="N9" s="417">
        <f>N10+N20+N24+N27+N28+N29+N30+N33+N34</f>
        <v>8298</v>
      </c>
      <c r="O9" s="485">
        <f aca="true" t="shared" si="0" ref="O9:O25">SUM(M9:N9)</f>
        <v>35398</v>
      </c>
      <c r="P9" s="488">
        <f>P10+P20+P24+P27+P28+P29+P30+P33+P34</f>
        <v>0</v>
      </c>
      <c r="Q9" s="481">
        <f>P9+O9</f>
        <v>35398</v>
      </c>
      <c r="R9" s="1052">
        <v>35398</v>
      </c>
      <c r="S9" s="259"/>
      <c r="T9" s="482">
        <f aca="true" t="shared" si="1" ref="T9:T30">H9+O9</f>
        <v>225898</v>
      </c>
      <c r="U9" s="493">
        <f>U10+U20+U24+U27+U28+U29+U30+U33+U34</f>
        <v>38700</v>
      </c>
      <c r="V9" s="643">
        <f>U9+T9</f>
        <v>264598</v>
      </c>
    </row>
    <row r="10" spans="2:22" ht="13.5" thickTop="1">
      <c r="B10" s="32">
        <f>B9+1</f>
        <v>2</v>
      </c>
      <c r="C10" s="42">
        <v>1</v>
      </c>
      <c r="D10" s="43" t="s">
        <v>150</v>
      </c>
      <c r="E10" s="44"/>
      <c r="F10" s="317">
        <f>F11+F13+F14+F16+F17+F18+F19</f>
        <v>108860</v>
      </c>
      <c r="G10" s="316"/>
      <c r="H10" s="543">
        <f aca="true" t="shared" si="2" ref="H10:H22">SUM(F10:F10)</f>
        <v>108860</v>
      </c>
      <c r="I10" s="544">
        <f>I11+I13+I14+I16+I17+I18+I19</f>
        <v>14700</v>
      </c>
      <c r="J10" s="965">
        <f aca="true" t="shared" si="3" ref="J10:J34">I10+H10</f>
        <v>123560</v>
      </c>
      <c r="K10" s="1051">
        <v>65057</v>
      </c>
      <c r="L10" s="179"/>
      <c r="M10" s="557"/>
      <c r="N10" s="317"/>
      <c r="O10" s="558">
        <f t="shared" si="0"/>
        <v>0</v>
      </c>
      <c r="P10" s="559"/>
      <c r="Q10" s="545">
        <f aca="true" t="shared" si="4" ref="Q10:Q34">P10+O10</f>
        <v>0</v>
      </c>
      <c r="R10" s="1053">
        <v>0</v>
      </c>
      <c r="S10" s="560"/>
      <c r="T10" s="561">
        <f t="shared" si="1"/>
        <v>108860</v>
      </c>
      <c r="U10" s="559">
        <f>I10+P10</f>
        <v>14700</v>
      </c>
      <c r="V10" s="957">
        <f aca="true" t="shared" si="5" ref="V10:V34">U10+T10</f>
        <v>123560</v>
      </c>
    </row>
    <row r="11" spans="2:22" ht="12.75">
      <c r="B11" s="32">
        <f aca="true" t="shared" si="6" ref="B11:B33">B10+1</f>
        <v>3</v>
      </c>
      <c r="C11" s="143"/>
      <c r="D11" s="59" t="s">
        <v>6</v>
      </c>
      <c r="E11" s="285" t="s">
        <v>107</v>
      </c>
      <c r="F11" s="428">
        <v>17000</v>
      </c>
      <c r="G11" s="546"/>
      <c r="H11" s="426">
        <f t="shared" si="2"/>
        <v>17000</v>
      </c>
      <c r="I11" s="426"/>
      <c r="J11" s="966">
        <f t="shared" si="3"/>
        <v>17000</v>
      </c>
      <c r="K11" s="972">
        <v>4890</v>
      </c>
      <c r="L11" s="36"/>
      <c r="M11" s="562"/>
      <c r="N11" s="563"/>
      <c r="O11" s="563">
        <f t="shared" si="0"/>
        <v>0</v>
      </c>
      <c r="P11" s="563"/>
      <c r="Q11" s="547">
        <f t="shared" si="4"/>
        <v>0</v>
      </c>
      <c r="R11" s="978">
        <v>0</v>
      </c>
      <c r="S11" s="564"/>
      <c r="T11" s="565">
        <f t="shared" si="1"/>
        <v>17000</v>
      </c>
      <c r="U11" s="566">
        <f aca="true" t="shared" si="7" ref="U11:U34">I11+P11</f>
        <v>0</v>
      </c>
      <c r="V11" s="958">
        <f t="shared" si="5"/>
        <v>17000</v>
      </c>
    </row>
    <row r="12" spans="2:22" ht="12.75">
      <c r="B12" s="32">
        <f t="shared" si="6"/>
        <v>4</v>
      </c>
      <c r="C12" s="143"/>
      <c r="D12" s="143"/>
      <c r="E12" s="526" t="s">
        <v>360</v>
      </c>
      <c r="F12" s="539">
        <v>2031</v>
      </c>
      <c r="G12" s="548"/>
      <c r="H12" s="549">
        <f t="shared" si="2"/>
        <v>2031</v>
      </c>
      <c r="I12" s="549"/>
      <c r="J12" s="967">
        <f t="shared" si="3"/>
        <v>2031</v>
      </c>
      <c r="K12" s="972">
        <v>1328</v>
      </c>
      <c r="L12" s="36"/>
      <c r="M12" s="567"/>
      <c r="N12" s="568"/>
      <c r="O12" s="568">
        <f t="shared" si="0"/>
        <v>0</v>
      </c>
      <c r="P12" s="568"/>
      <c r="Q12" s="550">
        <f t="shared" si="4"/>
        <v>0</v>
      </c>
      <c r="R12" s="978">
        <v>0</v>
      </c>
      <c r="S12" s="564"/>
      <c r="T12" s="569">
        <f t="shared" si="1"/>
        <v>2031</v>
      </c>
      <c r="U12" s="570">
        <f t="shared" si="7"/>
        <v>0</v>
      </c>
      <c r="V12" s="959">
        <f t="shared" si="5"/>
        <v>2031</v>
      </c>
    </row>
    <row r="13" spans="2:22" ht="12.75">
      <c r="B13" s="32">
        <f t="shared" si="6"/>
        <v>5</v>
      </c>
      <c r="C13" s="143"/>
      <c r="D13" s="59" t="s">
        <v>7</v>
      </c>
      <c r="E13" s="285" t="s">
        <v>327</v>
      </c>
      <c r="F13" s="429">
        <v>0</v>
      </c>
      <c r="G13" s="546"/>
      <c r="H13" s="426">
        <f t="shared" si="2"/>
        <v>0</v>
      </c>
      <c r="I13" s="426"/>
      <c r="J13" s="966">
        <f t="shared" si="3"/>
        <v>0</v>
      </c>
      <c r="K13" s="972">
        <v>0</v>
      </c>
      <c r="L13" s="36"/>
      <c r="M13" s="562"/>
      <c r="N13" s="563"/>
      <c r="O13" s="563">
        <f t="shared" si="0"/>
        <v>0</v>
      </c>
      <c r="P13" s="563"/>
      <c r="Q13" s="547">
        <f t="shared" si="4"/>
        <v>0</v>
      </c>
      <c r="R13" s="978">
        <v>0</v>
      </c>
      <c r="S13" s="564"/>
      <c r="T13" s="565">
        <f t="shared" si="1"/>
        <v>0</v>
      </c>
      <c r="U13" s="566">
        <f>I13+P13</f>
        <v>0</v>
      </c>
      <c r="V13" s="958">
        <f t="shared" si="5"/>
        <v>0</v>
      </c>
    </row>
    <row r="14" spans="2:22" ht="12.75">
      <c r="B14" s="32">
        <f t="shared" si="6"/>
        <v>6</v>
      </c>
      <c r="C14" s="144"/>
      <c r="D14" s="59" t="s">
        <v>8</v>
      </c>
      <c r="E14" s="285" t="s">
        <v>136</v>
      </c>
      <c r="F14" s="429">
        <f>F15</f>
        <v>260</v>
      </c>
      <c r="G14" s="546"/>
      <c r="H14" s="426">
        <f t="shared" si="2"/>
        <v>260</v>
      </c>
      <c r="I14" s="426"/>
      <c r="J14" s="966">
        <f t="shared" si="3"/>
        <v>260</v>
      </c>
      <c r="K14" s="972">
        <v>0</v>
      </c>
      <c r="L14" s="36"/>
      <c r="M14" s="562"/>
      <c r="N14" s="563"/>
      <c r="O14" s="563">
        <f t="shared" si="0"/>
        <v>0</v>
      </c>
      <c r="P14" s="563"/>
      <c r="Q14" s="547">
        <f t="shared" si="4"/>
        <v>0</v>
      </c>
      <c r="R14" s="978">
        <v>0</v>
      </c>
      <c r="S14" s="564"/>
      <c r="T14" s="565">
        <f t="shared" si="1"/>
        <v>260</v>
      </c>
      <c r="U14" s="566">
        <f t="shared" si="7"/>
        <v>0</v>
      </c>
      <c r="V14" s="958">
        <f t="shared" si="5"/>
        <v>260</v>
      </c>
    </row>
    <row r="15" spans="2:22" ht="12.75">
      <c r="B15" s="32">
        <f t="shared" si="6"/>
        <v>7</v>
      </c>
      <c r="C15" s="143"/>
      <c r="D15" s="143"/>
      <c r="E15" s="526" t="s">
        <v>360</v>
      </c>
      <c r="F15" s="539">
        <v>260</v>
      </c>
      <c r="G15" s="548"/>
      <c r="H15" s="549">
        <f t="shared" si="2"/>
        <v>260</v>
      </c>
      <c r="I15" s="549"/>
      <c r="J15" s="967">
        <f t="shared" si="3"/>
        <v>260</v>
      </c>
      <c r="K15" s="972">
        <v>0</v>
      </c>
      <c r="L15" s="36"/>
      <c r="M15" s="567"/>
      <c r="N15" s="568"/>
      <c r="O15" s="568">
        <f t="shared" si="0"/>
        <v>0</v>
      </c>
      <c r="P15" s="568"/>
      <c r="Q15" s="550">
        <f t="shared" si="4"/>
        <v>0</v>
      </c>
      <c r="R15" s="978">
        <v>0</v>
      </c>
      <c r="S15" s="564"/>
      <c r="T15" s="569">
        <f t="shared" si="1"/>
        <v>260</v>
      </c>
      <c r="U15" s="570">
        <f t="shared" si="7"/>
        <v>0</v>
      </c>
      <c r="V15" s="959">
        <f t="shared" si="5"/>
        <v>260</v>
      </c>
    </row>
    <row r="16" spans="2:22" ht="12.75">
      <c r="B16" s="32">
        <f t="shared" si="6"/>
        <v>8</v>
      </c>
      <c r="C16" s="144"/>
      <c r="D16" s="59" t="s">
        <v>9</v>
      </c>
      <c r="E16" s="285" t="s">
        <v>267</v>
      </c>
      <c r="F16" s="429">
        <v>10600</v>
      </c>
      <c r="G16" s="546"/>
      <c r="H16" s="426">
        <f t="shared" si="2"/>
        <v>10600</v>
      </c>
      <c r="I16" s="426"/>
      <c r="J16" s="966">
        <f t="shared" si="3"/>
        <v>10600</v>
      </c>
      <c r="K16" s="972">
        <v>10589</v>
      </c>
      <c r="L16" s="36"/>
      <c r="M16" s="562"/>
      <c r="N16" s="563"/>
      <c r="O16" s="563">
        <f t="shared" si="0"/>
        <v>0</v>
      </c>
      <c r="P16" s="563"/>
      <c r="Q16" s="547">
        <f t="shared" si="4"/>
        <v>0</v>
      </c>
      <c r="R16" s="978">
        <v>0</v>
      </c>
      <c r="S16" s="564"/>
      <c r="T16" s="565">
        <f t="shared" si="1"/>
        <v>10600</v>
      </c>
      <c r="U16" s="566">
        <f t="shared" si="7"/>
        <v>0</v>
      </c>
      <c r="V16" s="958">
        <f t="shared" si="5"/>
        <v>10600</v>
      </c>
    </row>
    <row r="17" spans="2:22" ht="12.75">
      <c r="B17" s="32">
        <f t="shared" si="6"/>
        <v>9</v>
      </c>
      <c r="C17" s="144"/>
      <c r="D17" s="59" t="s">
        <v>10</v>
      </c>
      <c r="E17" s="285" t="s">
        <v>265</v>
      </c>
      <c r="F17" s="429">
        <v>1000</v>
      </c>
      <c r="G17" s="546"/>
      <c r="H17" s="426">
        <f t="shared" si="2"/>
        <v>1000</v>
      </c>
      <c r="I17" s="426">
        <v>5000</v>
      </c>
      <c r="J17" s="966">
        <f t="shared" si="3"/>
        <v>6000</v>
      </c>
      <c r="K17" s="972">
        <v>4997</v>
      </c>
      <c r="L17" s="36"/>
      <c r="M17" s="562"/>
      <c r="N17" s="563"/>
      <c r="O17" s="563">
        <f t="shared" si="0"/>
        <v>0</v>
      </c>
      <c r="P17" s="563"/>
      <c r="Q17" s="547">
        <f t="shared" si="4"/>
        <v>0</v>
      </c>
      <c r="R17" s="978">
        <v>0</v>
      </c>
      <c r="S17" s="564"/>
      <c r="T17" s="565">
        <f t="shared" si="1"/>
        <v>1000</v>
      </c>
      <c r="U17" s="566">
        <f t="shared" si="7"/>
        <v>5000</v>
      </c>
      <c r="V17" s="958">
        <f t="shared" si="5"/>
        <v>6000</v>
      </c>
    </row>
    <row r="18" spans="2:22" ht="13.5" customHeight="1">
      <c r="B18" s="32">
        <f t="shared" si="6"/>
        <v>10</v>
      </c>
      <c r="C18" s="144"/>
      <c r="D18" s="59" t="s">
        <v>272</v>
      </c>
      <c r="E18" s="285" t="s">
        <v>108</v>
      </c>
      <c r="F18" s="429">
        <v>80000</v>
      </c>
      <c r="G18" s="546"/>
      <c r="H18" s="426">
        <f t="shared" si="2"/>
        <v>80000</v>
      </c>
      <c r="I18" s="426">
        <v>9700</v>
      </c>
      <c r="J18" s="966">
        <f t="shared" si="3"/>
        <v>89700</v>
      </c>
      <c r="K18" s="972">
        <v>44581</v>
      </c>
      <c r="L18" s="36"/>
      <c r="M18" s="571"/>
      <c r="N18" s="426"/>
      <c r="O18" s="563">
        <f t="shared" si="0"/>
        <v>0</v>
      </c>
      <c r="P18" s="563"/>
      <c r="Q18" s="547">
        <f t="shared" si="4"/>
        <v>0</v>
      </c>
      <c r="R18" s="978">
        <v>0</v>
      </c>
      <c r="S18" s="564"/>
      <c r="T18" s="565">
        <f t="shared" si="1"/>
        <v>80000</v>
      </c>
      <c r="U18" s="566">
        <f t="shared" si="7"/>
        <v>9700</v>
      </c>
      <c r="V18" s="958">
        <f t="shared" si="5"/>
        <v>89700</v>
      </c>
    </row>
    <row r="19" spans="2:22" ht="13.5" customHeight="1">
      <c r="B19" s="32">
        <f t="shared" si="6"/>
        <v>11</v>
      </c>
      <c r="C19" s="143"/>
      <c r="D19" s="59" t="s">
        <v>276</v>
      </c>
      <c r="E19" s="285" t="s">
        <v>318</v>
      </c>
      <c r="F19" s="429">
        <v>0</v>
      </c>
      <c r="G19" s="546"/>
      <c r="H19" s="426">
        <f t="shared" si="2"/>
        <v>0</v>
      </c>
      <c r="I19" s="426"/>
      <c r="J19" s="966">
        <f t="shared" si="3"/>
        <v>0</v>
      </c>
      <c r="K19" s="972">
        <v>0</v>
      </c>
      <c r="L19" s="36"/>
      <c r="M19" s="572"/>
      <c r="N19" s="428"/>
      <c r="O19" s="563">
        <f t="shared" si="0"/>
        <v>0</v>
      </c>
      <c r="P19" s="563"/>
      <c r="Q19" s="547">
        <f t="shared" si="4"/>
        <v>0</v>
      </c>
      <c r="R19" s="978">
        <v>0</v>
      </c>
      <c r="S19" s="564"/>
      <c r="T19" s="565">
        <f t="shared" si="1"/>
        <v>0</v>
      </c>
      <c r="U19" s="566">
        <f t="shared" si="7"/>
        <v>0</v>
      </c>
      <c r="V19" s="958">
        <f t="shared" si="5"/>
        <v>0</v>
      </c>
    </row>
    <row r="20" spans="2:22" ht="12.75">
      <c r="B20" s="32">
        <f t="shared" si="6"/>
        <v>12</v>
      </c>
      <c r="C20" s="42">
        <v>2</v>
      </c>
      <c r="D20" s="43" t="s">
        <v>277</v>
      </c>
      <c r="E20" s="44"/>
      <c r="F20" s="317">
        <v>5000</v>
      </c>
      <c r="G20" s="316"/>
      <c r="H20" s="551">
        <f t="shared" si="2"/>
        <v>5000</v>
      </c>
      <c r="I20" s="552"/>
      <c r="J20" s="968">
        <f t="shared" si="3"/>
        <v>5000</v>
      </c>
      <c r="K20" s="1051">
        <v>1427</v>
      </c>
      <c r="L20" s="179"/>
      <c r="M20" s="557">
        <f>SUM(M21:M23)</f>
        <v>27100</v>
      </c>
      <c r="N20" s="317">
        <f>N21+N23</f>
        <v>8298</v>
      </c>
      <c r="O20" s="551">
        <f aca="true" t="shared" si="8" ref="O20:O34">SUM(M20:N20)</f>
        <v>35398</v>
      </c>
      <c r="P20" s="552"/>
      <c r="Q20" s="553">
        <f t="shared" si="4"/>
        <v>35398</v>
      </c>
      <c r="R20" s="1053">
        <v>17380</v>
      </c>
      <c r="S20" s="560"/>
      <c r="T20" s="561">
        <f t="shared" si="1"/>
        <v>40398</v>
      </c>
      <c r="U20" s="559">
        <f t="shared" si="7"/>
        <v>0</v>
      </c>
      <c r="V20" s="957">
        <f t="shared" si="5"/>
        <v>40398</v>
      </c>
    </row>
    <row r="21" spans="2:22" ht="12.75">
      <c r="B21" s="32">
        <f t="shared" si="6"/>
        <v>13</v>
      </c>
      <c r="C21" s="143"/>
      <c r="D21" s="143"/>
      <c r="E21" s="526" t="s">
        <v>360</v>
      </c>
      <c r="F21" s="539">
        <v>702</v>
      </c>
      <c r="G21" s="548"/>
      <c r="H21" s="549">
        <f t="shared" si="2"/>
        <v>702</v>
      </c>
      <c r="I21" s="549"/>
      <c r="J21" s="967">
        <f t="shared" si="3"/>
        <v>702</v>
      </c>
      <c r="K21" s="972">
        <v>702</v>
      </c>
      <c r="L21" s="532"/>
      <c r="M21" s="573"/>
      <c r="N21" s="549">
        <v>8298</v>
      </c>
      <c r="O21" s="549">
        <f t="shared" si="0"/>
        <v>8298</v>
      </c>
      <c r="P21" s="549"/>
      <c r="Q21" s="550">
        <f t="shared" si="4"/>
        <v>8298</v>
      </c>
      <c r="R21" s="978"/>
      <c r="S21" s="574"/>
      <c r="T21" s="569">
        <f t="shared" si="1"/>
        <v>9000</v>
      </c>
      <c r="U21" s="570">
        <f t="shared" si="7"/>
        <v>0</v>
      </c>
      <c r="V21" s="959">
        <f t="shared" si="5"/>
        <v>9000</v>
      </c>
    </row>
    <row r="22" spans="2:22" ht="12.75">
      <c r="B22" s="32">
        <f t="shared" si="6"/>
        <v>14</v>
      </c>
      <c r="C22" s="143"/>
      <c r="D22" s="143"/>
      <c r="E22" s="526" t="s">
        <v>390</v>
      </c>
      <c r="F22" s="539">
        <f>F20-F21</f>
        <v>4298</v>
      </c>
      <c r="G22" s="548"/>
      <c r="H22" s="549">
        <f t="shared" si="2"/>
        <v>4298</v>
      </c>
      <c r="I22" s="549"/>
      <c r="J22" s="967">
        <f t="shared" si="3"/>
        <v>4298</v>
      </c>
      <c r="K22" s="972">
        <v>394</v>
      </c>
      <c r="L22" s="532"/>
      <c r="M22" s="573"/>
      <c r="N22" s="549"/>
      <c r="O22" s="549">
        <f t="shared" si="0"/>
        <v>0</v>
      </c>
      <c r="P22" s="549"/>
      <c r="Q22" s="550">
        <f t="shared" si="4"/>
        <v>0</v>
      </c>
      <c r="R22" s="978"/>
      <c r="S22" s="574"/>
      <c r="T22" s="575">
        <f t="shared" si="1"/>
        <v>4298</v>
      </c>
      <c r="U22" s="576">
        <f t="shared" si="7"/>
        <v>0</v>
      </c>
      <c r="V22" s="960">
        <f t="shared" si="5"/>
        <v>4298</v>
      </c>
    </row>
    <row r="23" spans="2:22" ht="12.75">
      <c r="B23" s="32">
        <f t="shared" si="6"/>
        <v>15</v>
      </c>
      <c r="C23" s="143"/>
      <c r="D23" s="143"/>
      <c r="E23" s="526" t="s">
        <v>378</v>
      </c>
      <c r="F23" s="539"/>
      <c r="G23" s="548"/>
      <c r="H23" s="549">
        <v>0</v>
      </c>
      <c r="I23" s="549"/>
      <c r="J23" s="967">
        <f t="shared" si="3"/>
        <v>0</v>
      </c>
      <c r="K23" s="972">
        <v>0</v>
      </c>
      <c r="L23" s="532"/>
      <c r="M23" s="577">
        <v>27100</v>
      </c>
      <c r="N23" s="539"/>
      <c r="O23" s="539">
        <f t="shared" si="0"/>
        <v>27100</v>
      </c>
      <c r="P23" s="539"/>
      <c r="Q23" s="550">
        <f t="shared" si="4"/>
        <v>27100</v>
      </c>
      <c r="R23" s="978"/>
      <c r="S23" s="574"/>
      <c r="T23" s="569">
        <f t="shared" si="1"/>
        <v>27100</v>
      </c>
      <c r="U23" s="570">
        <f t="shared" si="7"/>
        <v>0</v>
      </c>
      <c r="V23" s="959">
        <f t="shared" si="5"/>
        <v>27100</v>
      </c>
    </row>
    <row r="24" spans="2:22" ht="12.75">
      <c r="B24" s="32">
        <f t="shared" si="6"/>
        <v>16</v>
      </c>
      <c r="C24" s="37">
        <v>3</v>
      </c>
      <c r="D24" s="38" t="s">
        <v>219</v>
      </c>
      <c r="E24" s="39"/>
      <c r="F24" s="337">
        <f>15000+F25-45</f>
        <v>16640</v>
      </c>
      <c r="G24" s="336"/>
      <c r="H24" s="551">
        <f aca="true" t="shared" si="9" ref="H24:H32">SUM(F24:F24)</f>
        <v>16640</v>
      </c>
      <c r="I24" s="552"/>
      <c r="J24" s="968">
        <f t="shared" si="3"/>
        <v>16640</v>
      </c>
      <c r="K24" s="1051">
        <v>1427</v>
      </c>
      <c r="L24" s="179"/>
      <c r="M24" s="557"/>
      <c r="N24" s="317"/>
      <c r="O24" s="558">
        <f t="shared" si="8"/>
        <v>0</v>
      </c>
      <c r="P24" s="559"/>
      <c r="Q24" s="553">
        <f t="shared" si="4"/>
        <v>0</v>
      </c>
      <c r="R24" s="1053">
        <v>0</v>
      </c>
      <c r="S24" s="560"/>
      <c r="T24" s="561">
        <f t="shared" si="1"/>
        <v>16640</v>
      </c>
      <c r="U24" s="559">
        <f t="shared" si="7"/>
        <v>0</v>
      </c>
      <c r="V24" s="957">
        <f t="shared" si="5"/>
        <v>16640</v>
      </c>
    </row>
    <row r="25" spans="2:22" ht="12.75">
      <c r="B25" s="32">
        <f t="shared" si="6"/>
        <v>17</v>
      </c>
      <c r="C25" s="143"/>
      <c r="D25" s="143"/>
      <c r="E25" s="526" t="s">
        <v>360</v>
      </c>
      <c r="F25" s="539">
        <v>1685</v>
      </c>
      <c r="G25" s="548"/>
      <c r="H25" s="549">
        <f t="shared" si="9"/>
        <v>1685</v>
      </c>
      <c r="I25" s="549"/>
      <c r="J25" s="967">
        <f t="shared" si="3"/>
        <v>1685</v>
      </c>
      <c r="K25" s="972">
        <v>1410</v>
      </c>
      <c r="L25" s="532"/>
      <c r="M25" s="567"/>
      <c r="N25" s="568"/>
      <c r="O25" s="549">
        <f t="shared" si="0"/>
        <v>0</v>
      </c>
      <c r="P25" s="549"/>
      <c r="Q25" s="550">
        <f t="shared" si="4"/>
        <v>0</v>
      </c>
      <c r="R25" s="978">
        <v>0</v>
      </c>
      <c r="S25" s="574"/>
      <c r="T25" s="575">
        <f t="shared" si="1"/>
        <v>1685</v>
      </c>
      <c r="U25" s="576">
        <f t="shared" si="7"/>
        <v>0</v>
      </c>
      <c r="V25" s="960">
        <f t="shared" si="5"/>
        <v>1685</v>
      </c>
    </row>
    <row r="26" spans="2:22" ht="12.75">
      <c r="B26" s="32">
        <f t="shared" si="6"/>
        <v>18</v>
      </c>
      <c r="C26" s="143"/>
      <c r="D26" s="143"/>
      <c r="E26" s="526" t="s">
        <v>390</v>
      </c>
      <c r="F26" s="539">
        <f>F24-F25</f>
        <v>14955</v>
      </c>
      <c r="G26" s="548"/>
      <c r="H26" s="549">
        <f t="shared" si="9"/>
        <v>14955</v>
      </c>
      <c r="I26" s="549"/>
      <c r="J26" s="967">
        <f t="shared" si="3"/>
        <v>14955</v>
      </c>
      <c r="K26" s="972">
        <v>17</v>
      </c>
      <c r="L26" s="532"/>
      <c r="M26" s="567"/>
      <c r="N26" s="568"/>
      <c r="O26" s="549">
        <f>SUM(M26:N26)</f>
        <v>0</v>
      </c>
      <c r="P26" s="549"/>
      <c r="Q26" s="550">
        <f t="shared" si="4"/>
        <v>0</v>
      </c>
      <c r="R26" s="978">
        <v>0</v>
      </c>
      <c r="S26" s="574"/>
      <c r="T26" s="575">
        <f t="shared" si="1"/>
        <v>14955</v>
      </c>
      <c r="U26" s="576">
        <f t="shared" si="7"/>
        <v>0</v>
      </c>
      <c r="V26" s="960">
        <f t="shared" si="5"/>
        <v>14955</v>
      </c>
    </row>
    <row r="27" spans="2:22" ht="12" customHeight="1">
      <c r="B27" s="32">
        <f t="shared" si="6"/>
        <v>19</v>
      </c>
      <c r="C27" s="37">
        <v>4</v>
      </c>
      <c r="D27" s="38" t="s">
        <v>151</v>
      </c>
      <c r="E27" s="39"/>
      <c r="F27" s="337"/>
      <c r="G27" s="336"/>
      <c r="H27" s="551">
        <f t="shared" si="9"/>
        <v>0</v>
      </c>
      <c r="I27" s="552"/>
      <c r="J27" s="968">
        <f t="shared" si="3"/>
        <v>0</v>
      </c>
      <c r="K27" s="1051">
        <v>0</v>
      </c>
      <c r="L27" s="179"/>
      <c r="M27" s="578"/>
      <c r="N27" s="337"/>
      <c r="O27" s="558">
        <f t="shared" si="8"/>
        <v>0</v>
      </c>
      <c r="P27" s="559"/>
      <c r="Q27" s="553">
        <f t="shared" si="4"/>
        <v>0</v>
      </c>
      <c r="R27" s="1053">
        <v>0</v>
      </c>
      <c r="S27" s="560"/>
      <c r="T27" s="561">
        <f t="shared" si="1"/>
        <v>0</v>
      </c>
      <c r="U27" s="559">
        <f t="shared" si="7"/>
        <v>0</v>
      </c>
      <c r="V27" s="957">
        <f t="shared" si="5"/>
        <v>0</v>
      </c>
    </row>
    <row r="28" spans="2:22" ht="12.75">
      <c r="B28" s="32">
        <f t="shared" si="6"/>
        <v>20</v>
      </c>
      <c r="C28" s="37">
        <v>5</v>
      </c>
      <c r="D28" s="38" t="s">
        <v>192</v>
      </c>
      <c r="E28" s="39"/>
      <c r="F28" s="337"/>
      <c r="G28" s="336"/>
      <c r="H28" s="551">
        <f t="shared" si="9"/>
        <v>0</v>
      </c>
      <c r="I28" s="552"/>
      <c r="J28" s="968">
        <f t="shared" si="3"/>
        <v>0</v>
      </c>
      <c r="K28" s="1051">
        <v>0</v>
      </c>
      <c r="L28" s="179"/>
      <c r="M28" s="578"/>
      <c r="N28" s="337"/>
      <c r="O28" s="558">
        <f t="shared" si="8"/>
        <v>0</v>
      </c>
      <c r="P28" s="559"/>
      <c r="Q28" s="553">
        <f t="shared" si="4"/>
        <v>0</v>
      </c>
      <c r="R28" s="1053">
        <v>0</v>
      </c>
      <c r="S28" s="560"/>
      <c r="T28" s="579">
        <f t="shared" si="1"/>
        <v>0</v>
      </c>
      <c r="U28" s="552">
        <f t="shared" si="7"/>
        <v>0</v>
      </c>
      <c r="V28" s="961">
        <f t="shared" si="5"/>
        <v>0</v>
      </c>
    </row>
    <row r="29" spans="2:22" ht="12.75">
      <c r="B29" s="32">
        <f t="shared" si="6"/>
        <v>21</v>
      </c>
      <c r="C29" s="37">
        <v>6</v>
      </c>
      <c r="D29" s="38" t="s">
        <v>152</v>
      </c>
      <c r="E29" s="39"/>
      <c r="F29" s="337"/>
      <c r="G29" s="336"/>
      <c r="H29" s="551">
        <f t="shared" si="9"/>
        <v>0</v>
      </c>
      <c r="I29" s="552"/>
      <c r="J29" s="968">
        <f t="shared" si="3"/>
        <v>0</v>
      </c>
      <c r="K29" s="1051">
        <v>0</v>
      </c>
      <c r="L29" s="179"/>
      <c r="M29" s="578"/>
      <c r="N29" s="337"/>
      <c r="O29" s="558">
        <f t="shared" si="8"/>
        <v>0</v>
      </c>
      <c r="P29" s="559"/>
      <c r="Q29" s="553">
        <f t="shared" si="4"/>
        <v>0</v>
      </c>
      <c r="R29" s="1053">
        <v>0</v>
      </c>
      <c r="S29" s="560"/>
      <c r="T29" s="579">
        <f t="shared" si="1"/>
        <v>0</v>
      </c>
      <c r="U29" s="552">
        <f t="shared" si="7"/>
        <v>0</v>
      </c>
      <c r="V29" s="961">
        <f t="shared" si="5"/>
        <v>0</v>
      </c>
    </row>
    <row r="30" spans="2:22" ht="12.75" customHeight="1">
      <c r="B30" s="32">
        <f t="shared" si="6"/>
        <v>22</v>
      </c>
      <c r="C30" s="37">
        <v>7</v>
      </c>
      <c r="D30" s="38" t="s">
        <v>264</v>
      </c>
      <c r="E30" s="39"/>
      <c r="F30" s="337">
        <f>F31+F32</f>
        <v>50000</v>
      </c>
      <c r="G30" s="336"/>
      <c r="H30" s="551">
        <f t="shared" si="9"/>
        <v>50000</v>
      </c>
      <c r="I30" s="552">
        <f>SUM(I31:I32)</f>
        <v>24000</v>
      </c>
      <c r="J30" s="968">
        <f t="shared" si="3"/>
        <v>74000</v>
      </c>
      <c r="K30" s="1051">
        <v>62655</v>
      </c>
      <c r="L30" s="179"/>
      <c r="M30" s="578"/>
      <c r="N30" s="337"/>
      <c r="O30" s="558">
        <f t="shared" si="8"/>
        <v>0</v>
      </c>
      <c r="P30" s="559"/>
      <c r="Q30" s="553">
        <f t="shared" si="4"/>
        <v>0</v>
      </c>
      <c r="R30" s="1053">
        <v>0</v>
      </c>
      <c r="S30" s="560"/>
      <c r="T30" s="579">
        <f t="shared" si="1"/>
        <v>50000</v>
      </c>
      <c r="U30" s="552">
        <f t="shared" si="7"/>
        <v>24000</v>
      </c>
      <c r="V30" s="961">
        <f t="shared" si="5"/>
        <v>74000</v>
      </c>
    </row>
    <row r="31" spans="2:22" ht="12.75">
      <c r="B31" s="32">
        <f t="shared" si="6"/>
        <v>23</v>
      </c>
      <c r="C31" s="143"/>
      <c r="D31" s="518"/>
      <c r="E31" s="526" t="s">
        <v>360</v>
      </c>
      <c r="F31" s="539">
        <v>3101</v>
      </c>
      <c r="G31" s="548"/>
      <c r="H31" s="549">
        <f t="shared" si="9"/>
        <v>3101</v>
      </c>
      <c r="I31" s="549"/>
      <c r="J31" s="967">
        <f t="shared" si="3"/>
        <v>3101</v>
      </c>
      <c r="K31" s="972">
        <v>754</v>
      </c>
      <c r="L31" s="532"/>
      <c r="M31" s="567"/>
      <c r="N31" s="568"/>
      <c r="O31" s="568">
        <f>SUM(M31:N31)</f>
        <v>0</v>
      </c>
      <c r="P31" s="568"/>
      <c r="Q31" s="550">
        <f t="shared" si="4"/>
        <v>0</v>
      </c>
      <c r="R31" s="978">
        <v>0</v>
      </c>
      <c r="S31" s="574"/>
      <c r="T31" s="575">
        <f>H31</f>
        <v>3101</v>
      </c>
      <c r="U31" s="576">
        <f t="shared" si="7"/>
        <v>0</v>
      </c>
      <c r="V31" s="960">
        <f t="shared" si="5"/>
        <v>3101</v>
      </c>
    </row>
    <row r="32" spans="2:22" ht="12.75">
      <c r="B32" s="32">
        <f t="shared" si="6"/>
        <v>24</v>
      </c>
      <c r="C32" s="143"/>
      <c r="D32" s="518"/>
      <c r="E32" s="526" t="s">
        <v>390</v>
      </c>
      <c r="F32" s="539">
        <f>66899-20000</f>
        <v>46899</v>
      </c>
      <c r="G32" s="548"/>
      <c r="H32" s="549">
        <f t="shared" si="9"/>
        <v>46899</v>
      </c>
      <c r="I32" s="549">
        <v>24000</v>
      </c>
      <c r="J32" s="967">
        <f t="shared" si="3"/>
        <v>70899</v>
      </c>
      <c r="K32" s="972">
        <v>61901</v>
      </c>
      <c r="L32" s="532"/>
      <c r="M32" s="567"/>
      <c r="N32" s="568"/>
      <c r="O32" s="549">
        <f>SUM(M32:N32)</f>
        <v>0</v>
      </c>
      <c r="P32" s="549"/>
      <c r="Q32" s="550">
        <f t="shared" si="4"/>
        <v>0</v>
      </c>
      <c r="R32" s="978">
        <v>0</v>
      </c>
      <c r="S32" s="574"/>
      <c r="T32" s="575">
        <f>H32+O32</f>
        <v>46899</v>
      </c>
      <c r="U32" s="576">
        <f t="shared" si="7"/>
        <v>24000</v>
      </c>
      <c r="V32" s="960">
        <f t="shared" si="5"/>
        <v>70899</v>
      </c>
    </row>
    <row r="33" spans="2:22" ht="13.5" customHeight="1">
      <c r="B33" s="32">
        <f t="shared" si="6"/>
        <v>25</v>
      </c>
      <c r="C33" s="37">
        <v>8</v>
      </c>
      <c r="D33" s="38" t="s">
        <v>416</v>
      </c>
      <c r="E33" s="39"/>
      <c r="F33" s="337"/>
      <c r="G33" s="336">
        <v>10000</v>
      </c>
      <c r="H33" s="551">
        <f>SUM(F33:G33)</f>
        <v>10000</v>
      </c>
      <c r="I33" s="552"/>
      <c r="J33" s="968">
        <f t="shared" si="3"/>
        <v>10000</v>
      </c>
      <c r="K33" s="1051">
        <v>6479</v>
      </c>
      <c r="L33" s="179"/>
      <c r="M33" s="578"/>
      <c r="N33" s="337"/>
      <c r="O33" s="551">
        <f t="shared" si="8"/>
        <v>0</v>
      </c>
      <c r="P33" s="552"/>
      <c r="Q33" s="553">
        <f t="shared" si="4"/>
        <v>0</v>
      </c>
      <c r="R33" s="1053">
        <v>0</v>
      </c>
      <c r="S33" s="560"/>
      <c r="T33" s="579">
        <f>H33+O33</f>
        <v>10000</v>
      </c>
      <c r="U33" s="552">
        <f t="shared" si="7"/>
        <v>0</v>
      </c>
      <c r="V33" s="961">
        <f t="shared" si="5"/>
        <v>10000</v>
      </c>
    </row>
    <row r="34" spans="2:22" ht="13.5" thickBot="1">
      <c r="B34" s="33">
        <f>B33+1</f>
        <v>26</v>
      </c>
      <c r="C34" s="56">
        <v>9</v>
      </c>
      <c r="D34" s="57" t="s">
        <v>153</v>
      </c>
      <c r="E34" s="58"/>
      <c r="F34" s="319"/>
      <c r="G34" s="318"/>
      <c r="H34" s="554">
        <v>0</v>
      </c>
      <c r="I34" s="555"/>
      <c r="J34" s="963">
        <f t="shared" si="3"/>
        <v>0</v>
      </c>
      <c r="K34" s="1054">
        <v>0</v>
      </c>
      <c r="L34" s="396"/>
      <c r="M34" s="580"/>
      <c r="N34" s="581"/>
      <c r="O34" s="554">
        <f t="shared" si="8"/>
        <v>0</v>
      </c>
      <c r="P34" s="555"/>
      <c r="Q34" s="556">
        <f t="shared" si="4"/>
        <v>0</v>
      </c>
      <c r="R34" s="1055">
        <v>0</v>
      </c>
      <c r="S34" s="582"/>
      <c r="T34" s="583">
        <f>H34+O34</f>
        <v>0</v>
      </c>
      <c r="U34" s="584">
        <f t="shared" si="7"/>
        <v>0</v>
      </c>
      <c r="V34" s="962">
        <f t="shared" si="5"/>
        <v>0</v>
      </c>
    </row>
    <row r="36" spans="2:20" ht="12.75">
      <c r="B36" s="156"/>
      <c r="C36" s="156"/>
      <c r="D36" s="156"/>
      <c r="E36" s="156"/>
      <c r="H36" s="19"/>
      <c r="I36" s="19"/>
      <c r="J36" s="19"/>
      <c r="K36" s="19"/>
      <c r="L36"/>
      <c r="M36"/>
      <c r="N36"/>
      <c r="O36"/>
      <c r="P36"/>
      <c r="Q36"/>
      <c r="R36" s="594"/>
      <c r="S36"/>
      <c r="T36"/>
    </row>
    <row r="37" spans="2:20" ht="12.75">
      <c r="B37" s="156"/>
      <c r="C37" s="156"/>
      <c r="D37" s="156"/>
      <c r="E37" s="156"/>
      <c r="L37"/>
      <c r="M37"/>
      <c r="N37"/>
      <c r="O37"/>
      <c r="P37"/>
      <c r="Q37"/>
      <c r="R37" s="594"/>
      <c r="S37"/>
      <c r="T37"/>
    </row>
    <row r="38" spans="2:20" ht="12.75">
      <c r="B38" s="156"/>
      <c r="C38" s="156"/>
      <c r="D38" s="156"/>
      <c r="E38" s="156"/>
      <c r="I38" s="19">
        <f>'P4'!K11+'P6'!Q20+'P8'!K45+'P8'!R48+'P8'!R36+'P10'!R14+'P10'!R22+'P11'!K20+'P11'!K19+'P11'!K31+'P11'!K12+'P12'!S23</f>
        <v>-237595</v>
      </c>
      <c r="L38"/>
      <c r="M38"/>
      <c r="N38"/>
      <c r="O38"/>
      <c r="P38"/>
      <c r="Q38"/>
      <c r="R38" s="594"/>
      <c r="S38"/>
      <c r="T38" s="19"/>
    </row>
    <row r="41" ht="13.5" thickBot="1"/>
    <row r="42" spans="6:11" ht="23.25" thickBot="1">
      <c r="F42" s="983"/>
      <c r="G42" s="984"/>
      <c r="H42" s="985" t="s">
        <v>454</v>
      </c>
      <c r="I42" s="986" t="s">
        <v>455</v>
      </c>
      <c r="J42" s="1012">
        <v>50000</v>
      </c>
      <c r="K42" s="987"/>
    </row>
    <row r="43" spans="6:11" ht="13.5" thickBot="1">
      <c r="F43" s="988" t="s">
        <v>457</v>
      </c>
      <c r="G43" s="989" t="s">
        <v>458</v>
      </c>
      <c r="H43" s="990" t="s">
        <v>459</v>
      </c>
      <c r="I43" s="991" t="s">
        <v>460</v>
      </c>
      <c r="J43" s="992" t="s">
        <v>461</v>
      </c>
      <c r="K43" s="993" t="s">
        <v>456</v>
      </c>
    </row>
    <row r="44" spans="6:11" ht="12.75">
      <c r="F44" s="995" t="s">
        <v>462</v>
      </c>
      <c r="G44" s="996"/>
      <c r="H44" s="997" t="s">
        <v>463</v>
      </c>
      <c r="I44" s="994" t="s">
        <v>464</v>
      </c>
      <c r="J44" s="998">
        <v>359.98</v>
      </c>
      <c r="K44" s="999" t="s">
        <v>465</v>
      </c>
    </row>
    <row r="45" spans="6:11" ht="12.75">
      <c r="F45" s="1000" t="s">
        <v>466</v>
      </c>
      <c r="G45" s="1001"/>
      <c r="H45" s="1002" t="s">
        <v>467</v>
      </c>
      <c r="I45" s="1003" t="s">
        <v>468</v>
      </c>
      <c r="J45" s="996">
        <v>3101.77</v>
      </c>
      <c r="K45" s="999" t="s">
        <v>469</v>
      </c>
    </row>
    <row r="46" spans="6:11" ht="12.75">
      <c r="F46" s="995" t="s">
        <v>470</v>
      </c>
      <c r="G46" s="996"/>
      <c r="H46" s="997" t="s">
        <v>471</v>
      </c>
      <c r="I46" s="994" t="s">
        <v>472</v>
      </c>
      <c r="J46" s="996">
        <v>392.5</v>
      </c>
      <c r="K46" s="999" t="s">
        <v>473</v>
      </c>
    </row>
    <row r="47" spans="6:11" ht="12.75">
      <c r="F47" s="995" t="s">
        <v>474</v>
      </c>
      <c r="G47" s="996"/>
      <c r="H47" s="997" t="s">
        <v>475</v>
      </c>
      <c r="I47" s="994" t="s">
        <v>476</v>
      </c>
      <c r="J47" s="998">
        <v>340.68</v>
      </c>
      <c r="K47" s="999" t="s">
        <v>477</v>
      </c>
    </row>
    <row r="48" spans="6:11" ht="12.75">
      <c r="F48" s="1000" t="s">
        <v>478</v>
      </c>
      <c r="G48" s="1001"/>
      <c r="H48" s="1005" t="s">
        <v>479</v>
      </c>
      <c r="I48" s="1003" t="s">
        <v>480</v>
      </c>
      <c r="J48" s="1006">
        <v>601.51</v>
      </c>
      <c r="K48" s="1007" t="s">
        <v>481</v>
      </c>
    </row>
    <row r="49" spans="6:11" ht="12.75">
      <c r="F49" s="1000" t="s">
        <v>474</v>
      </c>
      <c r="G49" s="1001"/>
      <c r="H49" s="1005" t="s">
        <v>482</v>
      </c>
      <c r="I49" s="1003" t="s">
        <v>483</v>
      </c>
      <c r="J49" s="1006">
        <v>5509.73</v>
      </c>
      <c r="K49" s="1007" t="s">
        <v>481</v>
      </c>
    </row>
    <row r="50" spans="6:11" ht="12.75">
      <c r="F50" s="1008" t="s">
        <v>484</v>
      </c>
      <c r="G50" s="1009"/>
      <c r="H50" s="1010" t="s">
        <v>485</v>
      </c>
      <c r="I50" s="1004" t="s">
        <v>486</v>
      </c>
      <c r="J50" s="1006">
        <v>10330.56</v>
      </c>
      <c r="K50" s="1007" t="s">
        <v>487</v>
      </c>
    </row>
    <row r="51" spans="6:11" ht="12.75">
      <c r="F51" s="995" t="s">
        <v>488</v>
      </c>
      <c r="G51" s="996"/>
      <c r="H51" s="997" t="s">
        <v>489</v>
      </c>
      <c r="I51" s="994" t="s">
        <v>490</v>
      </c>
      <c r="J51" s="998">
        <v>9600</v>
      </c>
      <c r="K51" s="999" t="s">
        <v>491</v>
      </c>
    </row>
    <row r="52" spans="6:11" ht="12.75">
      <c r="F52" s="995" t="s">
        <v>492</v>
      </c>
      <c r="G52" s="996"/>
      <c r="H52" s="997" t="s">
        <v>493</v>
      </c>
      <c r="I52" s="994"/>
      <c r="J52" s="996">
        <v>35804.16</v>
      </c>
      <c r="K52" s="999" t="s">
        <v>494</v>
      </c>
    </row>
    <row r="53" spans="6:11" ht="12.75">
      <c r="F53" s="995" t="s">
        <v>495</v>
      </c>
      <c r="G53" s="996">
        <f>6600*1.2</f>
        <v>7920</v>
      </c>
      <c r="H53" s="997"/>
      <c r="I53" s="994"/>
      <c r="J53" s="996"/>
      <c r="K53" s="999"/>
    </row>
    <row r="54" spans="6:11" ht="12.75">
      <c r="F54" s="995"/>
      <c r="G54" s="996"/>
      <c r="H54" s="997"/>
      <c r="I54" s="994"/>
      <c r="J54" s="996"/>
      <c r="K54" s="999"/>
    </row>
    <row r="55" spans="6:12" ht="15.75" thickBot="1">
      <c r="F55" s="1011" t="s">
        <v>432</v>
      </c>
      <c r="G55" s="1013">
        <f>SUM(G46:G54)</f>
        <v>7920</v>
      </c>
      <c r="H55" s="1014"/>
      <c r="I55" s="1015"/>
      <c r="J55" s="1013">
        <f>SUM(J44:J54)</f>
        <v>66040.89</v>
      </c>
      <c r="K55" s="1017">
        <f>J42-J55-G55</f>
        <v>-23960.89</v>
      </c>
      <c r="L55" s="1016"/>
    </row>
  </sheetData>
  <sheetProtection/>
  <mergeCells count="22">
    <mergeCell ref="V4:V8"/>
    <mergeCell ref="T4:T8"/>
    <mergeCell ref="M7:M8"/>
    <mergeCell ref="O7:O8"/>
    <mergeCell ref="N7:N8"/>
    <mergeCell ref="P7:P8"/>
    <mergeCell ref="K7:K8"/>
    <mergeCell ref="I7:I8"/>
    <mergeCell ref="R7:R8"/>
    <mergeCell ref="C6:C8"/>
    <mergeCell ref="G7:G8"/>
    <mergeCell ref="F7:F8"/>
    <mergeCell ref="B5:J5"/>
    <mergeCell ref="M6:Q6"/>
    <mergeCell ref="B4:R4"/>
    <mergeCell ref="U4:U8"/>
    <mergeCell ref="H7:H8"/>
    <mergeCell ref="J7:J8"/>
    <mergeCell ref="M5:Q5"/>
    <mergeCell ref="Q7:Q8"/>
    <mergeCell ref="E6:J6"/>
    <mergeCell ref="D6:D8"/>
  </mergeCells>
  <printOptions/>
  <pageMargins left="0.16" right="0.1968503937007874" top="0.73" bottom="0.708661417322834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.57421875" style="6" customWidth="1"/>
    <col min="3" max="3" width="3.00390625" style="5" customWidth="1"/>
    <col min="4" max="4" width="2.28125" style="0" customWidth="1"/>
    <col min="5" max="5" width="51.57421875" style="0" customWidth="1"/>
    <col min="6" max="7" width="4.28125" style="0" customWidth="1"/>
    <col min="8" max="8" width="9.28125" style="0" customWidth="1"/>
    <col min="9" max="9" width="11.00390625" style="0" customWidth="1"/>
    <col min="10" max="10" width="10.140625" style="0" customWidth="1"/>
    <col min="11" max="11" width="11.421875" style="0" customWidth="1"/>
    <col min="12" max="12" width="6.7109375" style="0" customWidth="1"/>
    <col min="13" max="13" width="0.71875" style="0" customWidth="1"/>
    <col min="14" max="14" width="4.00390625" style="0" customWidth="1"/>
    <col min="15" max="15" width="4.57421875" style="0" customWidth="1"/>
    <col min="16" max="16" width="10.7109375" style="0" customWidth="1"/>
    <col min="17" max="17" width="0.9921875" style="0" customWidth="1"/>
    <col min="18" max="18" width="10.421875" style="0" bestFit="1" customWidth="1"/>
    <col min="19" max="19" width="10.57421875" style="0" customWidth="1"/>
    <col min="20" max="20" width="10.7109375" style="0" customWidth="1"/>
  </cols>
  <sheetData>
    <row r="1" spans="9:13" ht="15.75" customHeight="1">
      <c r="I1" s="51"/>
      <c r="J1" s="51"/>
      <c r="K1" s="51"/>
      <c r="L1" s="51"/>
      <c r="M1" s="51"/>
    </row>
    <row r="2" ht="27">
      <c r="C2" s="249" t="s">
        <v>235</v>
      </c>
    </row>
    <row r="3" ht="13.5" customHeight="1" thickBot="1"/>
    <row r="4" spans="2:20" ht="12.75" customHeight="1" thickBot="1">
      <c r="B4" s="1206" t="s">
        <v>313</v>
      </c>
      <c r="C4" s="1207"/>
      <c r="D4" s="1207"/>
      <c r="E4" s="1207"/>
      <c r="F4" s="1207"/>
      <c r="G4" s="1207"/>
      <c r="H4" s="1207"/>
      <c r="I4" s="1207"/>
      <c r="J4" s="1207"/>
      <c r="K4" s="1207"/>
      <c r="L4" s="1207"/>
      <c r="M4" s="1207"/>
      <c r="N4" s="1207"/>
      <c r="O4" s="1207"/>
      <c r="P4" s="1208"/>
      <c r="R4" s="1189" t="s">
        <v>410</v>
      </c>
      <c r="S4" s="1162" t="s">
        <v>417</v>
      </c>
      <c r="T4" s="1203" t="s">
        <v>415</v>
      </c>
    </row>
    <row r="5" spans="2:20" ht="18.75" customHeight="1" thickBot="1">
      <c r="B5" s="1219" t="s">
        <v>12</v>
      </c>
      <c r="C5" s="1220"/>
      <c r="D5" s="1220"/>
      <c r="E5" s="1220"/>
      <c r="F5" s="1220"/>
      <c r="G5" s="1220"/>
      <c r="H5" s="1220"/>
      <c r="I5" s="1220"/>
      <c r="J5" s="1220"/>
      <c r="K5" s="1221"/>
      <c r="L5" s="969"/>
      <c r="M5" s="343"/>
      <c r="N5" s="1209" t="s">
        <v>331</v>
      </c>
      <c r="O5" s="1210"/>
      <c r="P5" s="1211"/>
      <c r="R5" s="1190"/>
      <c r="S5" s="1163"/>
      <c r="T5" s="1204"/>
    </row>
    <row r="6" spans="2:20" ht="12.75" customHeight="1">
      <c r="B6" s="41"/>
      <c r="C6" s="341" t="s">
        <v>148</v>
      </c>
      <c r="D6" s="1175" t="s">
        <v>149</v>
      </c>
      <c r="E6" s="1195" t="s">
        <v>11</v>
      </c>
      <c r="F6" s="1196"/>
      <c r="G6" s="1196"/>
      <c r="H6" s="1196"/>
      <c r="I6" s="1196"/>
      <c r="J6" s="1196"/>
      <c r="K6" s="1197"/>
      <c r="L6" s="689"/>
      <c r="M6" s="270"/>
      <c r="N6" s="1212" t="s">
        <v>11</v>
      </c>
      <c r="O6" s="1213"/>
      <c r="P6" s="1214"/>
      <c r="R6" s="1190"/>
      <c r="S6" s="1163"/>
      <c r="T6" s="1204"/>
    </row>
    <row r="7" spans="2:20" ht="36.75" customHeight="1">
      <c r="B7" s="41"/>
      <c r="C7" s="341"/>
      <c r="D7" s="1175"/>
      <c r="E7" s="338" t="s">
        <v>5</v>
      </c>
      <c r="F7" s="1194">
        <v>610</v>
      </c>
      <c r="G7" s="1215">
        <v>620</v>
      </c>
      <c r="H7" s="1194">
        <v>630</v>
      </c>
      <c r="I7" s="1201" t="s">
        <v>410</v>
      </c>
      <c r="J7" s="1180" t="s">
        <v>417</v>
      </c>
      <c r="K7" s="1217" t="s">
        <v>415</v>
      </c>
      <c r="L7" s="1178" t="s">
        <v>453</v>
      </c>
      <c r="M7" s="153"/>
      <c r="N7" s="1192">
        <v>716</v>
      </c>
      <c r="O7" s="1194">
        <v>717</v>
      </c>
      <c r="P7" s="1198" t="s">
        <v>410</v>
      </c>
      <c r="R7" s="1190"/>
      <c r="S7" s="1163"/>
      <c r="T7" s="1204"/>
    </row>
    <row r="8" spans="2:20" ht="39.75" customHeight="1" thickBot="1">
      <c r="B8" s="46"/>
      <c r="C8" s="342"/>
      <c r="D8" s="1200"/>
      <c r="E8" s="129"/>
      <c r="F8" s="1185"/>
      <c r="G8" s="1216"/>
      <c r="H8" s="1185"/>
      <c r="I8" s="1202"/>
      <c r="J8" s="1181"/>
      <c r="K8" s="1218"/>
      <c r="L8" s="1179"/>
      <c r="M8" s="153"/>
      <c r="N8" s="1193"/>
      <c r="O8" s="1185"/>
      <c r="P8" s="1199"/>
      <c r="R8" s="1191"/>
      <c r="S8" s="1164"/>
      <c r="T8" s="1205"/>
    </row>
    <row r="9" spans="2:20" ht="26.25" customHeight="1" thickBot="1" thickTop="1">
      <c r="B9" s="32">
        <v>1</v>
      </c>
      <c r="C9" s="415" t="s">
        <v>298</v>
      </c>
      <c r="D9" s="261"/>
      <c r="E9" s="274"/>
      <c r="F9" s="417">
        <f>SUM(F10:F14)</f>
        <v>0</v>
      </c>
      <c r="G9" s="416">
        <f>SUM(G10:G14)</f>
        <v>0</v>
      </c>
      <c r="H9" s="417">
        <f>H10+H11+H14</f>
        <v>80000</v>
      </c>
      <c r="I9" s="500">
        <f>SUM(F9:H9)</f>
        <v>80000</v>
      </c>
      <c r="J9" s="488">
        <f>J10+J11+J14</f>
        <v>-17500</v>
      </c>
      <c r="K9" s="502">
        <f>J9+I9</f>
        <v>62500</v>
      </c>
      <c r="L9" s="970">
        <v>20639</v>
      </c>
      <c r="M9" s="323"/>
      <c r="N9" s="418">
        <f>SUM(N10:N14)</f>
        <v>0</v>
      </c>
      <c r="O9" s="417">
        <f>SUM(O10:O14)</f>
        <v>0</v>
      </c>
      <c r="P9" s="497">
        <f aca="true" t="shared" si="0" ref="P9:P16">SUM(N9:O9)</f>
        <v>0</v>
      </c>
      <c r="R9" s="482">
        <f aca="true" t="shared" si="1" ref="R9:R16">I9+P9</f>
        <v>80000</v>
      </c>
      <c r="S9" s="493">
        <f>S10+S11+S14</f>
        <v>-17500</v>
      </c>
      <c r="T9" s="492">
        <f>S9+R9</f>
        <v>62500</v>
      </c>
    </row>
    <row r="10" spans="2:20" ht="15.75" thickTop="1">
      <c r="B10" s="172">
        <f aca="true" t="shared" si="2" ref="B10:B16">B9+1</f>
        <v>2</v>
      </c>
      <c r="C10" s="42">
        <v>1</v>
      </c>
      <c r="D10" s="43" t="s">
        <v>273</v>
      </c>
      <c r="E10" s="139"/>
      <c r="F10" s="148"/>
      <c r="G10" s="147"/>
      <c r="H10" s="316">
        <v>10000</v>
      </c>
      <c r="I10" s="501">
        <f>SUM(F10:H10)</f>
        <v>10000</v>
      </c>
      <c r="J10" s="490"/>
      <c r="K10" s="503">
        <f aca="true" t="shared" si="3" ref="K10:K16">J10+I10</f>
        <v>10000</v>
      </c>
      <c r="L10" s="971">
        <v>1733</v>
      </c>
      <c r="M10" s="171"/>
      <c r="N10" s="243"/>
      <c r="O10" s="148"/>
      <c r="P10" s="498">
        <f t="shared" si="0"/>
        <v>0</v>
      </c>
      <c r="R10" s="506">
        <f t="shared" si="1"/>
        <v>10000</v>
      </c>
      <c r="S10" s="510">
        <f>J10</f>
        <v>0</v>
      </c>
      <c r="T10" s="509">
        <f aca="true" t="shared" si="4" ref="T10:T16">S10+R10</f>
        <v>10000</v>
      </c>
    </row>
    <row r="11" spans="2:20" ht="15">
      <c r="B11" s="172">
        <f t="shared" si="2"/>
        <v>3</v>
      </c>
      <c r="C11" s="42">
        <v>2</v>
      </c>
      <c r="D11" s="43" t="s">
        <v>274</v>
      </c>
      <c r="E11" s="139"/>
      <c r="F11" s="148"/>
      <c r="G11" s="147"/>
      <c r="H11" s="316">
        <f>SUM(H12:H13)</f>
        <v>20000</v>
      </c>
      <c r="I11" s="501">
        <f>SUM(F11:H11)</f>
        <v>20000</v>
      </c>
      <c r="J11" s="490"/>
      <c r="K11" s="503">
        <f t="shared" si="3"/>
        <v>20000</v>
      </c>
      <c r="L11" s="972">
        <v>906</v>
      </c>
      <c r="M11" s="171"/>
      <c r="N11" s="243"/>
      <c r="O11" s="148"/>
      <c r="P11" s="498">
        <f t="shared" si="0"/>
        <v>0</v>
      </c>
      <c r="R11" s="506">
        <f t="shared" si="1"/>
        <v>20000</v>
      </c>
      <c r="S11" s="510">
        <f aca="true" t="shared" si="5" ref="S11:S16">J11</f>
        <v>0</v>
      </c>
      <c r="T11" s="509">
        <f t="shared" si="4"/>
        <v>20000</v>
      </c>
    </row>
    <row r="12" spans="2:20" ht="15">
      <c r="B12" s="513">
        <f t="shared" si="2"/>
        <v>4</v>
      </c>
      <c r="C12" s="514"/>
      <c r="D12" s="514"/>
      <c r="E12" s="537" t="s">
        <v>353</v>
      </c>
      <c r="F12" s="538"/>
      <c r="G12" s="538"/>
      <c r="H12" s="538">
        <v>15000</v>
      </c>
      <c r="I12" s="539">
        <f>H12</f>
        <v>15000</v>
      </c>
      <c r="J12" s="539"/>
      <c r="K12" s="540">
        <f t="shared" si="3"/>
        <v>15000</v>
      </c>
      <c r="L12" s="972">
        <v>0</v>
      </c>
      <c r="M12" s="171"/>
      <c r="N12" s="520"/>
      <c r="O12" s="521"/>
      <c r="P12" s="522">
        <f t="shared" si="0"/>
        <v>0</v>
      </c>
      <c r="R12" s="523">
        <f t="shared" si="1"/>
        <v>15000</v>
      </c>
      <c r="S12" s="524">
        <f t="shared" si="5"/>
        <v>0</v>
      </c>
      <c r="T12" s="525">
        <f t="shared" si="4"/>
        <v>15000</v>
      </c>
    </row>
    <row r="13" spans="2:20" ht="15">
      <c r="B13" s="513">
        <f t="shared" si="2"/>
        <v>5</v>
      </c>
      <c r="C13" s="518"/>
      <c r="D13" s="514"/>
      <c r="E13" s="541" t="s">
        <v>387</v>
      </c>
      <c r="F13" s="538"/>
      <c r="G13" s="538"/>
      <c r="H13" s="538">
        <v>5000</v>
      </c>
      <c r="I13" s="539">
        <f>H13</f>
        <v>5000</v>
      </c>
      <c r="J13" s="539"/>
      <c r="K13" s="540">
        <f t="shared" si="3"/>
        <v>5000</v>
      </c>
      <c r="L13" s="972">
        <v>906</v>
      </c>
      <c r="M13" s="171"/>
      <c r="N13" s="520"/>
      <c r="O13" s="521"/>
      <c r="P13" s="522">
        <f t="shared" si="0"/>
        <v>0</v>
      </c>
      <c r="R13" s="523">
        <f t="shared" si="1"/>
        <v>5000</v>
      </c>
      <c r="S13" s="524">
        <f t="shared" si="5"/>
        <v>0</v>
      </c>
      <c r="T13" s="525">
        <f t="shared" si="4"/>
        <v>5000</v>
      </c>
    </row>
    <row r="14" spans="2:20" ht="15">
      <c r="B14" s="172">
        <f t="shared" si="2"/>
        <v>6</v>
      </c>
      <c r="C14" s="42">
        <v>3</v>
      </c>
      <c r="D14" s="43" t="s">
        <v>220</v>
      </c>
      <c r="E14" s="139"/>
      <c r="F14" s="148"/>
      <c r="G14" s="147"/>
      <c r="H14" s="317">
        <f>H16</f>
        <v>50000</v>
      </c>
      <c r="I14" s="487">
        <f>SUM(F14:H14)</f>
        <v>50000</v>
      </c>
      <c r="J14" s="490">
        <f>J15+J16</f>
        <v>-17500</v>
      </c>
      <c r="K14" s="503">
        <f t="shared" si="3"/>
        <v>32500</v>
      </c>
      <c r="L14" s="972">
        <v>18000</v>
      </c>
      <c r="M14" s="171"/>
      <c r="N14" s="243"/>
      <c r="O14" s="148"/>
      <c r="P14" s="498">
        <f t="shared" si="0"/>
        <v>0</v>
      </c>
      <c r="R14" s="506">
        <f t="shared" si="1"/>
        <v>50000</v>
      </c>
      <c r="S14" s="510">
        <f t="shared" si="5"/>
        <v>-17500</v>
      </c>
      <c r="T14" s="509">
        <f t="shared" si="4"/>
        <v>32500</v>
      </c>
    </row>
    <row r="15" spans="2:20" ht="12.75">
      <c r="B15" s="172">
        <f t="shared" si="2"/>
        <v>7</v>
      </c>
      <c r="C15" s="40"/>
      <c r="D15" s="132" t="s">
        <v>6</v>
      </c>
      <c r="E15" s="377" t="s">
        <v>216</v>
      </c>
      <c r="F15" s="292"/>
      <c r="G15" s="291"/>
      <c r="H15" s="427">
        <v>0</v>
      </c>
      <c r="I15" s="292">
        <f>SUM(F15:H15)</f>
        <v>0</v>
      </c>
      <c r="J15" s="292"/>
      <c r="K15" s="439">
        <f t="shared" si="3"/>
        <v>0</v>
      </c>
      <c r="L15" s="972">
        <v>0</v>
      </c>
      <c r="M15" s="154"/>
      <c r="N15" s="297"/>
      <c r="O15" s="298"/>
      <c r="P15" s="443">
        <f t="shared" si="0"/>
        <v>0</v>
      </c>
      <c r="R15" s="507">
        <f t="shared" si="1"/>
        <v>0</v>
      </c>
      <c r="S15" s="511">
        <f t="shared" si="5"/>
        <v>0</v>
      </c>
      <c r="T15" s="504">
        <f t="shared" si="4"/>
        <v>0</v>
      </c>
    </row>
    <row r="16" spans="2:20" ht="13.5" thickBot="1">
      <c r="B16" s="172">
        <f t="shared" si="2"/>
        <v>8</v>
      </c>
      <c r="C16" s="50"/>
      <c r="D16" s="140" t="s">
        <v>7</v>
      </c>
      <c r="E16" s="378" t="s">
        <v>221</v>
      </c>
      <c r="F16" s="300"/>
      <c r="G16" s="299"/>
      <c r="H16" s="542">
        <v>50000</v>
      </c>
      <c r="I16" s="300">
        <f>SUM(F16:H16)</f>
        <v>50000</v>
      </c>
      <c r="J16" s="300">
        <v>-17500</v>
      </c>
      <c r="K16" s="499">
        <f t="shared" si="3"/>
        <v>32500</v>
      </c>
      <c r="L16" s="972">
        <v>18000</v>
      </c>
      <c r="M16" s="154"/>
      <c r="N16" s="387"/>
      <c r="O16" s="300"/>
      <c r="P16" s="444">
        <f t="shared" si="0"/>
        <v>0</v>
      </c>
      <c r="R16" s="508">
        <f t="shared" si="1"/>
        <v>50000</v>
      </c>
      <c r="S16" s="512">
        <f t="shared" si="5"/>
        <v>-17500</v>
      </c>
      <c r="T16" s="505">
        <f t="shared" si="4"/>
        <v>32500</v>
      </c>
    </row>
  </sheetData>
  <sheetProtection/>
  <mergeCells count="19">
    <mergeCell ref="S4:S8"/>
    <mergeCell ref="T4:T8"/>
    <mergeCell ref="R4:R8"/>
    <mergeCell ref="B4:P4"/>
    <mergeCell ref="N5:P5"/>
    <mergeCell ref="N6:P6"/>
    <mergeCell ref="G7:G8"/>
    <mergeCell ref="J7:J8"/>
    <mergeCell ref="K7:K8"/>
    <mergeCell ref="B5:K5"/>
    <mergeCell ref="E6:K6"/>
    <mergeCell ref="P7:P8"/>
    <mergeCell ref="O7:O8"/>
    <mergeCell ref="H7:H8"/>
    <mergeCell ref="N7:N8"/>
    <mergeCell ref="D6:D8"/>
    <mergeCell ref="I7:I8"/>
    <mergeCell ref="F7:F8"/>
    <mergeCell ref="L7:L8"/>
  </mergeCells>
  <printOptions/>
  <pageMargins left="0.3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7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140625" style="6" customWidth="1"/>
    <col min="3" max="3" width="2.8515625" style="5" customWidth="1"/>
    <col min="4" max="4" width="2.140625" style="0" customWidth="1"/>
    <col min="5" max="5" width="27.00390625" style="0" customWidth="1"/>
    <col min="6" max="6" width="11.57421875" style="0" customWidth="1"/>
    <col min="7" max="7" width="10.421875" style="0" customWidth="1"/>
    <col min="8" max="9" width="9.7109375" style="0" customWidth="1"/>
    <col min="10" max="10" width="11.28125" style="0" customWidth="1"/>
    <col min="11" max="11" width="9.28125" style="0" customWidth="1"/>
    <col min="12" max="12" width="11.28125" style="0" customWidth="1"/>
    <col min="13" max="13" width="8.421875" style="0" customWidth="1"/>
    <col min="14" max="14" width="0.85546875" style="156" customWidth="1"/>
    <col min="15" max="15" width="8.28125" style="156" customWidth="1"/>
    <col min="16" max="16" width="4.140625" style="156" customWidth="1"/>
    <col min="17" max="17" width="10.00390625" style="156" customWidth="1"/>
    <col min="18" max="18" width="9.421875" style="156" customWidth="1"/>
    <col min="19" max="19" width="8.8515625" style="156" customWidth="1"/>
    <col min="20" max="20" width="6.57421875" style="156" customWidth="1"/>
    <col min="21" max="21" width="1.57421875" style="0" customWidth="1"/>
    <col min="22" max="22" width="10.140625" style="0" customWidth="1"/>
    <col min="23" max="23" width="9.421875" style="0" customWidth="1"/>
    <col min="24" max="24" width="10.8515625" style="0" customWidth="1"/>
    <col min="27" max="27" width="9.8515625" style="0" bestFit="1" customWidth="1"/>
  </cols>
  <sheetData>
    <row r="1" spans="10:14" ht="15.75" customHeight="1">
      <c r="J1" s="173"/>
      <c r="K1" s="173"/>
      <c r="L1" s="173"/>
      <c r="M1" s="173"/>
      <c r="N1" s="324"/>
    </row>
    <row r="2" spans="3:14" ht="27">
      <c r="C2" s="249" t="s">
        <v>164</v>
      </c>
      <c r="I2" s="182"/>
      <c r="J2" s="183"/>
      <c r="K2" s="183"/>
      <c r="L2" s="183"/>
      <c r="M2" s="183"/>
      <c r="N2" s="183"/>
    </row>
    <row r="3" ht="13.5" thickBot="1"/>
    <row r="4" spans="2:24" ht="12.75" customHeight="1">
      <c r="B4" s="1228" t="s">
        <v>313</v>
      </c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29"/>
      <c r="N4" s="1229"/>
      <c r="O4" s="1229"/>
      <c r="P4" s="1229"/>
      <c r="Q4" s="1229"/>
      <c r="R4" s="1229"/>
      <c r="S4" s="1229"/>
      <c r="T4" s="1230"/>
      <c r="V4" s="1189" t="s">
        <v>410</v>
      </c>
      <c r="W4" s="1162" t="s">
        <v>417</v>
      </c>
      <c r="X4" s="1203" t="s">
        <v>415</v>
      </c>
    </row>
    <row r="5" spans="2:24" ht="18.75" customHeight="1">
      <c r="B5" s="1225" t="s">
        <v>12</v>
      </c>
      <c r="C5" s="1226"/>
      <c r="D5" s="1226"/>
      <c r="E5" s="1226"/>
      <c r="F5" s="1226"/>
      <c r="G5" s="1226"/>
      <c r="H5" s="1226"/>
      <c r="I5" s="1226"/>
      <c r="J5" s="1226"/>
      <c r="K5" s="1226"/>
      <c r="L5" s="1227"/>
      <c r="M5" s="974"/>
      <c r="N5" s="322"/>
      <c r="O5" s="1231" t="s">
        <v>297</v>
      </c>
      <c r="P5" s="1232"/>
      <c r="Q5" s="1232"/>
      <c r="R5" s="1232"/>
      <c r="S5" s="1232"/>
      <c r="T5" s="1233"/>
      <c r="V5" s="1190"/>
      <c r="W5" s="1163"/>
      <c r="X5" s="1204"/>
    </row>
    <row r="6" spans="2:24" ht="12.75" customHeight="1">
      <c r="B6" s="41"/>
      <c r="C6" s="1175" t="s">
        <v>148</v>
      </c>
      <c r="D6" s="1175" t="s">
        <v>149</v>
      </c>
      <c r="E6" s="1174" t="s">
        <v>11</v>
      </c>
      <c r="F6" s="1157"/>
      <c r="G6" s="1157"/>
      <c r="H6" s="1157"/>
      <c r="I6" s="1157"/>
      <c r="J6" s="1157"/>
      <c r="K6" s="1157"/>
      <c r="L6" s="1158"/>
      <c r="M6" s="689"/>
      <c r="N6" s="311"/>
      <c r="O6" s="1212" t="s">
        <v>11</v>
      </c>
      <c r="P6" s="1213"/>
      <c r="Q6" s="1213"/>
      <c r="R6" s="1213"/>
      <c r="S6" s="1214"/>
      <c r="T6" s="975"/>
      <c r="V6" s="1190"/>
      <c r="W6" s="1163"/>
      <c r="X6" s="1204"/>
    </row>
    <row r="7" spans="2:24" ht="25.5" customHeight="1">
      <c r="B7" s="41"/>
      <c r="C7" s="1176"/>
      <c r="D7" s="1176"/>
      <c r="E7" s="52" t="s">
        <v>5</v>
      </c>
      <c r="F7" s="1224">
        <v>610</v>
      </c>
      <c r="G7" s="1184">
        <v>620</v>
      </c>
      <c r="H7" s="1184">
        <v>630</v>
      </c>
      <c r="I7" s="1223">
        <v>650</v>
      </c>
      <c r="J7" s="1201" t="s">
        <v>410</v>
      </c>
      <c r="K7" s="1180" t="s">
        <v>417</v>
      </c>
      <c r="L7" s="1217" t="s">
        <v>415</v>
      </c>
      <c r="M7" s="1178" t="s">
        <v>453</v>
      </c>
      <c r="N7" s="153"/>
      <c r="O7" s="1222">
        <v>711</v>
      </c>
      <c r="P7" s="1194">
        <v>717</v>
      </c>
      <c r="Q7" s="1201" t="s">
        <v>410</v>
      </c>
      <c r="R7" s="1180" t="s">
        <v>417</v>
      </c>
      <c r="S7" s="1234" t="s">
        <v>415</v>
      </c>
      <c r="T7" s="1182" t="s">
        <v>453</v>
      </c>
      <c r="V7" s="1190"/>
      <c r="W7" s="1163"/>
      <c r="X7" s="1204"/>
    </row>
    <row r="8" spans="2:24" ht="36" customHeight="1" thickBot="1">
      <c r="B8" s="46"/>
      <c r="C8" s="1177"/>
      <c r="D8" s="1177"/>
      <c r="E8" s="53"/>
      <c r="F8" s="1216"/>
      <c r="G8" s="1185"/>
      <c r="H8" s="1185"/>
      <c r="I8" s="1185"/>
      <c r="J8" s="1202"/>
      <c r="K8" s="1181"/>
      <c r="L8" s="1218"/>
      <c r="M8" s="1179"/>
      <c r="N8" s="325"/>
      <c r="O8" s="1193"/>
      <c r="P8" s="1185"/>
      <c r="Q8" s="1202"/>
      <c r="R8" s="1181"/>
      <c r="S8" s="1235"/>
      <c r="T8" s="1183"/>
      <c r="V8" s="1191"/>
      <c r="W8" s="1164"/>
      <c r="X8" s="1205"/>
    </row>
    <row r="9" spans="2:28" ht="25.5" customHeight="1" thickBot="1" thickTop="1">
      <c r="B9" s="32">
        <v>1</v>
      </c>
      <c r="C9" s="184" t="s">
        <v>165</v>
      </c>
      <c r="D9" s="264"/>
      <c r="E9" s="265"/>
      <c r="F9" s="419">
        <f>F10+F13+F18+F19+F23+F29+F30+F34+F37</f>
        <v>1520330</v>
      </c>
      <c r="G9" s="420">
        <f>G10+G13+G18+G19+G23+G29+G30+G34+G37</f>
        <v>474967</v>
      </c>
      <c r="H9" s="420">
        <f>H10+H13+H18+H19+H23+H29+H30+H34+H37</f>
        <v>810388</v>
      </c>
      <c r="I9" s="420">
        <f>I10+I13+I18+I19+I23+I29+I30+I34+I37</f>
        <v>400000</v>
      </c>
      <c r="J9" s="639">
        <f aca="true" t="shared" si="0" ref="J9:J19">SUM(F9:I9)</f>
        <v>3205685</v>
      </c>
      <c r="K9" s="493">
        <f>K10+K13+K18+K19+K23+K29+K30+K34+K37</f>
        <v>81525</v>
      </c>
      <c r="L9" s="643">
        <f>J9+K9</f>
        <v>3287210</v>
      </c>
      <c r="M9" s="973">
        <v>1399732</v>
      </c>
      <c r="N9" s="326"/>
      <c r="O9" s="421">
        <f>O10+O13+O18+O19+O29+O30+O34+O37</f>
        <v>19015</v>
      </c>
      <c r="P9" s="420">
        <f>P10+P13+P18+P19+P23+P29+P30+P34+P37</f>
        <v>0</v>
      </c>
      <c r="Q9" s="500">
        <f aca="true" t="shared" si="1" ref="Q9:Q28">SUM(O9:P9)</f>
        <v>19015</v>
      </c>
      <c r="R9" s="493">
        <f>R10+R13+R18+R19+R23+R29+R30+R34+R37</f>
        <v>0</v>
      </c>
      <c r="S9" s="502">
        <f>Q9+R9</f>
        <v>19015</v>
      </c>
      <c r="T9" s="976">
        <v>0</v>
      </c>
      <c r="V9" s="669">
        <f>J9+Q9</f>
        <v>3224700</v>
      </c>
      <c r="W9" s="663">
        <f>W10+W13+W18+W19+W23+W29+W30+W34+W37</f>
        <v>81525</v>
      </c>
      <c r="X9" s="655">
        <f>V9+W9</f>
        <v>3306225</v>
      </c>
      <c r="Y9" s="19"/>
      <c r="Z9" s="19"/>
      <c r="AA9" s="19"/>
      <c r="AB9" s="19"/>
    </row>
    <row r="10" spans="2:28" ht="16.5" thickTop="1">
      <c r="B10" s="32">
        <f aca="true" t="shared" si="2" ref="B10:B38">B9+1</f>
        <v>2</v>
      </c>
      <c r="C10" s="42">
        <v>1</v>
      </c>
      <c r="D10" s="424" t="s">
        <v>110</v>
      </c>
      <c r="E10" s="44"/>
      <c r="F10" s="603"/>
      <c r="G10" s="604"/>
      <c r="H10" s="604">
        <f>H11+H12</f>
        <v>40000</v>
      </c>
      <c r="I10" s="604"/>
      <c r="J10" s="640">
        <f t="shared" si="0"/>
        <v>40000</v>
      </c>
      <c r="K10" s="646">
        <f>SUM(K11:K12)</f>
        <v>43000</v>
      </c>
      <c r="L10" s="644">
        <f aca="true" t="shared" si="3" ref="L10:L39">J10+K10</f>
        <v>83000</v>
      </c>
      <c r="M10" s="971">
        <v>28912</v>
      </c>
      <c r="N10" s="605"/>
      <c r="O10" s="606"/>
      <c r="P10" s="604"/>
      <c r="Q10" s="650">
        <f t="shared" si="1"/>
        <v>0</v>
      </c>
      <c r="R10" s="654"/>
      <c r="S10" s="652">
        <f aca="true" t="shared" si="4" ref="S10:S39">Q10+R10</f>
        <v>0</v>
      </c>
      <c r="T10" s="977"/>
      <c r="U10" s="607"/>
      <c r="V10" s="670">
        <f aca="true" t="shared" si="5" ref="V10:V39">J10+Q10</f>
        <v>40000</v>
      </c>
      <c r="W10" s="664">
        <f>K10+R10</f>
        <v>43000</v>
      </c>
      <c r="X10" s="656">
        <f aca="true" t="shared" si="6" ref="X10:X39">V10+W10</f>
        <v>83000</v>
      </c>
      <c r="Y10" s="19"/>
      <c r="Z10" s="19"/>
      <c r="AA10" s="19"/>
      <c r="AB10" s="19"/>
    </row>
    <row r="11" spans="2:28" ht="15">
      <c r="B11" s="32">
        <f t="shared" si="2"/>
        <v>3</v>
      </c>
      <c r="C11" s="514"/>
      <c r="D11" s="586"/>
      <c r="E11" s="587" t="s">
        <v>360</v>
      </c>
      <c r="F11" s="608"/>
      <c r="G11" s="609"/>
      <c r="H11" s="610">
        <v>6030</v>
      </c>
      <c r="I11" s="609"/>
      <c r="J11" s="641">
        <f>H11</f>
        <v>6030</v>
      </c>
      <c r="K11" s="641"/>
      <c r="L11" s="635">
        <f t="shared" si="3"/>
        <v>6030</v>
      </c>
      <c r="M11" s="972"/>
      <c r="N11" s="611"/>
      <c r="O11" s="612"/>
      <c r="P11" s="613"/>
      <c r="Q11" s="615"/>
      <c r="R11" s="615"/>
      <c r="S11" s="637">
        <f t="shared" si="4"/>
        <v>0</v>
      </c>
      <c r="T11" s="978"/>
      <c r="U11" s="611"/>
      <c r="V11" s="660">
        <f t="shared" si="5"/>
        <v>6030</v>
      </c>
      <c r="W11" s="665">
        <f>K11+R11</f>
        <v>0</v>
      </c>
      <c r="X11" s="657">
        <f t="shared" si="6"/>
        <v>6030</v>
      </c>
      <c r="Y11" s="19"/>
      <c r="Z11" s="19"/>
      <c r="AA11" s="19"/>
      <c r="AB11" s="19"/>
    </row>
    <row r="12" spans="2:28" ht="15">
      <c r="B12" s="32">
        <f t="shared" si="2"/>
        <v>4</v>
      </c>
      <c r="C12" s="518"/>
      <c r="D12" s="586"/>
      <c r="E12" s="587" t="s">
        <v>390</v>
      </c>
      <c r="F12" s="608"/>
      <c r="G12" s="609"/>
      <c r="H12" s="610">
        <f>60000-26030</f>
        <v>33970</v>
      </c>
      <c r="I12" s="609"/>
      <c r="J12" s="641">
        <f>H12</f>
        <v>33970</v>
      </c>
      <c r="K12" s="641">
        <v>43000</v>
      </c>
      <c r="L12" s="635">
        <f t="shared" si="3"/>
        <v>76970</v>
      </c>
      <c r="M12" s="972"/>
      <c r="N12" s="611"/>
      <c r="O12" s="614"/>
      <c r="P12" s="615"/>
      <c r="Q12" s="615"/>
      <c r="R12" s="615"/>
      <c r="S12" s="637">
        <f t="shared" si="4"/>
        <v>0</v>
      </c>
      <c r="T12" s="978"/>
      <c r="U12" s="611"/>
      <c r="V12" s="660">
        <f t="shared" si="5"/>
        <v>33970</v>
      </c>
      <c r="W12" s="665">
        <f aca="true" t="shared" si="7" ref="W12:W39">K12+R12</f>
        <v>43000</v>
      </c>
      <c r="X12" s="657">
        <f t="shared" si="6"/>
        <v>76970</v>
      </c>
      <c r="Y12" s="19"/>
      <c r="Z12" s="19"/>
      <c r="AA12" s="19"/>
      <c r="AB12" s="19"/>
    </row>
    <row r="13" spans="2:28" ht="15.75">
      <c r="B13" s="32">
        <f t="shared" si="2"/>
        <v>5</v>
      </c>
      <c r="C13" s="42">
        <v>2</v>
      </c>
      <c r="D13" s="424" t="s">
        <v>499</v>
      </c>
      <c r="E13" s="44"/>
      <c r="F13" s="603"/>
      <c r="G13" s="604"/>
      <c r="H13" s="604">
        <f>H14+H15+H16+H17</f>
        <v>127900</v>
      </c>
      <c r="I13" s="604"/>
      <c r="J13" s="642">
        <f t="shared" si="0"/>
        <v>127900</v>
      </c>
      <c r="K13" s="647">
        <f>K14+K15+K16</f>
        <v>2600</v>
      </c>
      <c r="L13" s="645">
        <f t="shared" si="3"/>
        <v>130500</v>
      </c>
      <c r="M13" s="972">
        <v>45431</v>
      </c>
      <c r="N13" s="605"/>
      <c r="O13" s="606"/>
      <c r="P13" s="604"/>
      <c r="Q13" s="650">
        <f t="shared" si="1"/>
        <v>0</v>
      </c>
      <c r="R13" s="654"/>
      <c r="S13" s="652">
        <f t="shared" si="4"/>
        <v>0</v>
      </c>
      <c r="T13" s="978"/>
      <c r="U13" s="616"/>
      <c r="V13" s="671">
        <f t="shared" si="5"/>
        <v>127900</v>
      </c>
      <c r="W13" s="666">
        <f t="shared" si="7"/>
        <v>2600</v>
      </c>
      <c r="X13" s="645">
        <f t="shared" si="6"/>
        <v>130500</v>
      </c>
      <c r="Y13" s="19"/>
      <c r="Z13" s="19"/>
      <c r="AA13" s="19"/>
      <c r="AB13" s="19"/>
    </row>
    <row r="14" spans="2:28" ht="15">
      <c r="B14" s="32">
        <f t="shared" si="2"/>
        <v>6</v>
      </c>
      <c r="C14" s="144"/>
      <c r="D14" s="61" t="s">
        <v>6</v>
      </c>
      <c r="E14" s="425" t="s">
        <v>154</v>
      </c>
      <c r="F14" s="617"/>
      <c r="G14" s="618"/>
      <c r="H14" s="619">
        <v>4490</v>
      </c>
      <c r="I14" s="618"/>
      <c r="J14" s="618">
        <f>SUM(F14:I14)</f>
        <v>4490</v>
      </c>
      <c r="K14" s="618"/>
      <c r="L14" s="636">
        <f t="shared" si="3"/>
        <v>4490</v>
      </c>
      <c r="M14" s="972"/>
      <c r="N14" s="611"/>
      <c r="O14" s="620"/>
      <c r="P14" s="618"/>
      <c r="Q14" s="651">
        <f t="shared" si="1"/>
        <v>0</v>
      </c>
      <c r="R14" s="651"/>
      <c r="S14" s="648">
        <f t="shared" si="4"/>
        <v>0</v>
      </c>
      <c r="T14" s="978"/>
      <c r="U14" s="611"/>
      <c r="V14" s="661">
        <f t="shared" si="5"/>
        <v>4490</v>
      </c>
      <c r="W14" s="667">
        <f t="shared" si="7"/>
        <v>0</v>
      </c>
      <c r="X14" s="658">
        <f t="shared" si="6"/>
        <v>4490</v>
      </c>
      <c r="Y14" s="19"/>
      <c r="Z14" s="19"/>
      <c r="AA14" s="19"/>
      <c r="AB14" s="19"/>
    </row>
    <row r="15" spans="2:28" ht="15">
      <c r="B15" s="32">
        <f t="shared" si="2"/>
        <v>7</v>
      </c>
      <c r="C15" s="144"/>
      <c r="D15" s="62" t="s">
        <v>7</v>
      </c>
      <c r="E15" s="422" t="s">
        <v>155</v>
      </c>
      <c r="F15" s="621"/>
      <c r="G15" s="622"/>
      <c r="H15" s="623">
        <v>37500</v>
      </c>
      <c r="I15" s="622"/>
      <c r="J15" s="618">
        <f>SUM(F15:I15)</f>
        <v>37500</v>
      </c>
      <c r="K15" s="618">
        <v>2600</v>
      </c>
      <c r="L15" s="636">
        <f t="shared" si="3"/>
        <v>40100</v>
      </c>
      <c r="M15" s="972"/>
      <c r="N15" s="611"/>
      <c r="O15" s="620"/>
      <c r="P15" s="618"/>
      <c r="Q15" s="618">
        <f t="shared" si="1"/>
        <v>0</v>
      </c>
      <c r="R15" s="618"/>
      <c r="S15" s="636">
        <f t="shared" si="4"/>
        <v>0</v>
      </c>
      <c r="T15" s="978"/>
      <c r="U15" s="611"/>
      <c r="V15" s="661">
        <f t="shared" si="5"/>
        <v>37500</v>
      </c>
      <c r="W15" s="667">
        <f t="shared" si="7"/>
        <v>2600</v>
      </c>
      <c r="X15" s="658">
        <f t="shared" si="6"/>
        <v>40100</v>
      </c>
      <c r="Y15" s="19"/>
      <c r="Z15" s="19"/>
      <c r="AA15" s="19"/>
      <c r="AB15" s="19"/>
    </row>
    <row r="16" spans="2:28" ht="15">
      <c r="B16" s="32">
        <f t="shared" si="2"/>
        <v>8</v>
      </c>
      <c r="C16" s="144"/>
      <c r="D16" s="62" t="s">
        <v>8</v>
      </c>
      <c r="E16" s="422" t="s">
        <v>156</v>
      </c>
      <c r="F16" s="621"/>
      <c r="G16" s="622"/>
      <c r="H16" s="623">
        <v>71010</v>
      </c>
      <c r="I16" s="622"/>
      <c r="J16" s="618">
        <f>SUM(F16:I16)</f>
        <v>71010</v>
      </c>
      <c r="K16" s="618"/>
      <c r="L16" s="636">
        <f t="shared" si="3"/>
        <v>71010</v>
      </c>
      <c r="M16" s="972"/>
      <c r="N16" s="611"/>
      <c r="O16" s="620"/>
      <c r="P16" s="618"/>
      <c r="Q16" s="618">
        <f t="shared" si="1"/>
        <v>0</v>
      </c>
      <c r="R16" s="618"/>
      <c r="S16" s="636">
        <f t="shared" si="4"/>
        <v>0</v>
      </c>
      <c r="T16" s="978"/>
      <c r="U16" s="611"/>
      <c r="V16" s="661">
        <f t="shared" si="5"/>
        <v>71010</v>
      </c>
      <c r="W16" s="667">
        <f t="shared" si="7"/>
        <v>0</v>
      </c>
      <c r="X16" s="658">
        <f t="shared" si="6"/>
        <v>71010</v>
      </c>
      <c r="Y16" s="19"/>
      <c r="Z16" s="19"/>
      <c r="AA16" s="19"/>
      <c r="AB16" s="19"/>
    </row>
    <row r="17" spans="2:28" ht="15">
      <c r="B17" s="32">
        <f t="shared" si="2"/>
        <v>9</v>
      </c>
      <c r="C17" s="144"/>
      <c r="D17" s="586"/>
      <c r="E17" s="587" t="s">
        <v>360</v>
      </c>
      <c r="F17" s="608"/>
      <c r="G17" s="609"/>
      <c r="H17" s="610">
        <v>14900</v>
      </c>
      <c r="I17" s="609"/>
      <c r="J17" s="641">
        <f>H17</f>
        <v>14900</v>
      </c>
      <c r="K17" s="641"/>
      <c r="L17" s="635">
        <f t="shared" si="3"/>
        <v>14900</v>
      </c>
      <c r="M17" s="972"/>
      <c r="N17" s="611"/>
      <c r="O17" s="612"/>
      <c r="P17" s="613"/>
      <c r="Q17" s="615"/>
      <c r="R17" s="615"/>
      <c r="S17" s="637">
        <f t="shared" si="4"/>
        <v>0</v>
      </c>
      <c r="T17" s="978"/>
      <c r="U17" s="611"/>
      <c r="V17" s="660">
        <f t="shared" si="5"/>
        <v>14900</v>
      </c>
      <c r="W17" s="665">
        <f t="shared" si="7"/>
        <v>0</v>
      </c>
      <c r="X17" s="657">
        <f t="shared" si="6"/>
        <v>14900</v>
      </c>
      <c r="Y17" s="19"/>
      <c r="Z17" s="19"/>
      <c r="AA17" s="19"/>
      <c r="AB17" s="19"/>
    </row>
    <row r="18" spans="2:28" ht="15.75">
      <c r="B18" s="32">
        <f t="shared" si="2"/>
        <v>10</v>
      </c>
      <c r="C18" s="42">
        <v>3</v>
      </c>
      <c r="D18" s="424" t="s">
        <v>157</v>
      </c>
      <c r="E18" s="44"/>
      <c r="F18" s="624"/>
      <c r="G18" s="625"/>
      <c r="H18" s="625">
        <v>2000</v>
      </c>
      <c r="I18" s="604"/>
      <c r="J18" s="642">
        <f t="shared" si="0"/>
        <v>2000</v>
      </c>
      <c r="K18" s="647"/>
      <c r="L18" s="645">
        <f t="shared" si="3"/>
        <v>2000</v>
      </c>
      <c r="M18" s="972">
        <v>0</v>
      </c>
      <c r="N18" s="605"/>
      <c r="O18" s="606"/>
      <c r="P18" s="604"/>
      <c r="Q18" s="650">
        <f t="shared" si="1"/>
        <v>0</v>
      </c>
      <c r="R18" s="654"/>
      <c r="S18" s="652">
        <f t="shared" si="4"/>
        <v>0</v>
      </c>
      <c r="T18" s="978"/>
      <c r="U18" s="611"/>
      <c r="V18" s="671">
        <f t="shared" si="5"/>
        <v>2000</v>
      </c>
      <c r="W18" s="666">
        <f t="shared" si="7"/>
        <v>0</v>
      </c>
      <c r="X18" s="645">
        <f t="shared" si="6"/>
        <v>2000</v>
      </c>
      <c r="Y18" s="19"/>
      <c r="Z18" s="19"/>
      <c r="AA18" s="19"/>
      <c r="AB18" s="19"/>
    </row>
    <row r="19" spans="2:28" ht="15.75">
      <c r="B19" s="32">
        <f t="shared" si="2"/>
        <v>11</v>
      </c>
      <c r="C19" s="37">
        <v>4</v>
      </c>
      <c r="D19" s="423" t="s">
        <v>158</v>
      </c>
      <c r="E19" s="39"/>
      <c r="F19" s="624">
        <f>F20</f>
        <v>70330</v>
      </c>
      <c r="G19" s="625">
        <f>G20</f>
        <v>24967</v>
      </c>
      <c r="H19" s="625">
        <f>SUM(H20:H22)</f>
        <v>174003</v>
      </c>
      <c r="I19" s="625"/>
      <c r="J19" s="642">
        <f t="shared" si="0"/>
        <v>269300</v>
      </c>
      <c r="K19" s="647">
        <f>SUM(K20:K22)</f>
        <v>125000</v>
      </c>
      <c r="L19" s="645">
        <f t="shared" si="3"/>
        <v>394300</v>
      </c>
      <c r="M19" s="972">
        <v>146507</v>
      </c>
      <c r="N19" s="605"/>
      <c r="O19" s="626"/>
      <c r="P19" s="625"/>
      <c r="Q19" s="650">
        <f t="shared" si="1"/>
        <v>0</v>
      </c>
      <c r="R19" s="654">
        <f>SUM(R20:R22)</f>
        <v>0</v>
      </c>
      <c r="S19" s="652">
        <f t="shared" si="4"/>
        <v>0</v>
      </c>
      <c r="T19" s="978"/>
      <c r="U19" s="611"/>
      <c r="V19" s="671">
        <f t="shared" si="5"/>
        <v>269300</v>
      </c>
      <c r="W19" s="666">
        <f t="shared" si="7"/>
        <v>125000</v>
      </c>
      <c r="X19" s="645">
        <f t="shared" si="6"/>
        <v>394300</v>
      </c>
      <c r="Y19" s="19"/>
      <c r="Z19" s="19"/>
      <c r="AA19" s="19"/>
      <c r="AB19" s="19"/>
    </row>
    <row r="20" spans="2:28" s="45" customFormat="1" ht="15">
      <c r="B20" s="32">
        <f t="shared" si="2"/>
        <v>12</v>
      </c>
      <c r="C20" s="34"/>
      <c r="D20" s="586"/>
      <c r="E20" s="593" t="s">
        <v>323</v>
      </c>
      <c r="F20" s="608">
        <v>70330</v>
      </c>
      <c r="G20" s="608">
        <v>24967</v>
      </c>
      <c r="H20" s="608">
        <f>110003+44700</f>
        <v>154703</v>
      </c>
      <c r="I20" s="608"/>
      <c r="J20" s="641">
        <f>SUM(F20:I20)</f>
        <v>250000</v>
      </c>
      <c r="K20" s="641">
        <v>125000</v>
      </c>
      <c r="L20" s="635">
        <f t="shared" si="3"/>
        <v>375000</v>
      </c>
      <c r="M20" s="972">
        <v>142638</v>
      </c>
      <c r="N20" s="611"/>
      <c r="O20" s="627"/>
      <c r="P20" s="628"/>
      <c r="Q20" s="641">
        <f t="shared" si="1"/>
        <v>0</v>
      </c>
      <c r="R20" s="641"/>
      <c r="S20" s="635">
        <f t="shared" si="4"/>
        <v>0</v>
      </c>
      <c r="T20" s="978"/>
      <c r="U20" s="611"/>
      <c r="V20" s="660">
        <f t="shared" si="5"/>
        <v>250000</v>
      </c>
      <c r="W20" s="665">
        <f t="shared" si="7"/>
        <v>125000</v>
      </c>
      <c r="X20" s="657">
        <f t="shared" si="6"/>
        <v>375000</v>
      </c>
      <c r="Y20" s="19"/>
      <c r="Z20" s="19"/>
      <c r="AA20" s="19"/>
      <c r="AB20" s="19"/>
    </row>
    <row r="21" spans="2:28" s="45" customFormat="1" ht="14.25">
      <c r="B21" s="32">
        <f t="shared" si="2"/>
        <v>13</v>
      </c>
      <c r="C21" s="34"/>
      <c r="D21" s="586"/>
      <c r="E21" s="593" t="s">
        <v>330</v>
      </c>
      <c r="F21" s="608"/>
      <c r="G21" s="608"/>
      <c r="H21" s="608">
        <v>10000</v>
      </c>
      <c r="I21" s="608"/>
      <c r="J21" s="641">
        <f>SUM(F21:I21)</f>
        <v>10000</v>
      </c>
      <c r="K21" s="641"/>
      <c r="L21" s="635">
        <f t="shared" si="3"/>
        <v>10000</v>
      </c>
      <c r="M21" s="972">
        <v>3869</v>
      </c>
      <c r="N21" s="611"/>
      <c r="O21" s="612"/>
      <c r="P21" s="613"/>
      <c r="Q21" s="641">
        <f t="shared" si="1"/>
        <v>0</v>
      </c>
      <c r="R21" s="613"/>
      <c r="S21" s="635">
        <f t="shared" si="4"/>
        <v>0</v>
      </c>
      <c r="T21" s="978"/>
      <c r="U21" s="611"/>
      <c r="V21" s="660">
        <f t="shared" si="5"/>
        <v>10000</v>
      </c>
      <c r="W21" s="665">
        <f t="shared" si="7"/>
        <v>0</v>
      </c>
      <c r="X21" s="657">
        <f t="shared" si="6"/>
        <v>10000</v>
      </c>
      <c r="Y21" s="19"/>
      <c r="Z21" s="19"/>
      <c r="AA21" s="19"/>
      <c r="AB21" s="19"/>
    </row>
    <row r="22" spans="2:28" ht="15">
      <c r="B22" s="32">
        <f t="shared" si="2"/>
        <v>14</v>
      </c>
      <c r="C22" s="144"/>
      <c r="D22" s="586"/>
      <c r="E22" s="587" t="s">
        <v>347</v>
      </c>
      <c r="F22" s="608"/>
      <c r="G22" s="609"/>
      <c r="H22" s="610">
        <v>9300</v>
      </c>
      <c r="I22" s="609"/>
      <c r="J22" s="641">
        <f>SUM(F22:I22)</f>
        <v>9300</v>
      </c>
      <c r="K22" s="641"/>
      <c r="L22" s="635">
        <f t="shared" si="3"/>
        <v>9300</v>
      </c>
      <c r="M22" s="972"/>
      <c r="N22" s="611"/>
      <c r="O22" s="612"/>
      <c r="P22" s="613"/>
      <c r="Q22" s="641">
        <f t="shared" si="1"/>
        <v>0</v>
      </c>
      <c r="R22" s="615"/>
      <c r="S22" s="635">
        <f t="shared" si="4"/>
        <v>0</v>
      </c>
      <c r="T22" s="978"/>
      <c r="U22" s="611"/>
      <c r="V22" s="660">
        <f t="shared" si="5"/>
        <v>9300</v>
      </c>
      <c r="W22" s="665">
        <f t="shared" si="7"/>
        <v>0</v>
      </c>
      <c r="X22" s="657">
        <f t="shared" si="6"/>
        <v>9300</v>
      </c>
      <c r="Y22" s="19"/>
      <c r="Z22" s="19"/>
      <c r="AA22" s="19"/>
      <c r="AB22" s="19"/>
    </row>
    <row r="23" spans="2:28" ht="15.75">
      <c r="B23" s="32">
        <f t="shared" si="2"/>
        <v>15</v>
      </c>
      <c r="C23" s="37">
        <v>5</v>
      </c>
      <c r="D23" s="423" t="s">
        <v>498</v>
      </c>
      <c r="E23" s="39"/>
      <c r="F23" s="624">
        <v>1450000</v>
      </c>
      <c r="G23" s="624">
        <v>450000</v>
      </c>
      <c r="H23" s="624">
        <f>H28+H27</f>
        <v>355200</v>
      </c>
      <c r="I23" s="624">
        <v>400000</v>
      </c>
      <c r="J23" s="642">
        <f aca="true" t="shared" si="8" ref="J23:J30">SUM(F23:I23)</f>
        <v>2655200</v>
      </c>
      <c r="K23" s="647">
        <f>SUM(K24:K28)</f>
        <v>-119075</v>
      </c>
      <c r="L23" s="645">
        <f t="shared" si="3"/>
        <v>2536125</v>
      </c>
      <c r="M23" s="972">
        <v>1118162</v>
      </c>
      <c r="N23" s="605"/>
      <c r="O23" s="626"/>
      <c r="P23" s="625"/>
      <c r="Q23" s="650">
        <f>SUM(O23:P23)</f>
        <v>0</v>
      </c>
      <c r="R23" s="654"/>
      <c r="S23" s="652">
        <f t="shared" si="4"/>
        <v>0</v>
      </c>
      <c r="T23" s="978"/>
      <c r="U23" s="611"/>
      <c r="V23" s="671">
        <f t="shared" si="5"/>
        <v>2655200</v>
      </c>
      <c r="W23" s="666">
        <f t="shared" si="7"/>
        <v>-119075</v>
      </c>
      <c r="X23" s="645">
        <f t="shared" si="6"/>
        <v>2536125</v>
      </c>
      <c r="Y23" s="19"/>
      <c r="Z23" s="19"/>
      <c r="AA23" s="19"/>
      <c r="AB23" s="19"/>
    </row>
    <row r="24" spans="2:28" ht="15">
      <c r="B24" s="32">
        <f t="shared" si="2"/>
        <v>16</v>
      </c>
      <c r="C24" s="514"/>
      <c r="D24" s="586"/>
      <c r="E24" s="587" t="s">
        <v>345</v>
      </c>
      <c r="F24" s="608">
        <v>1450000</v>
      </c>
      <c r="G24" s="609"/>
      <c r="H24" s="610"/>
      <c r="I24" s="609"/>
      <c r="J24" s="641">
        <f t="shared" si="8"/>
        <v>1450000</v>
      </c>
      <c r="K24" s="641">
        <f>-66600+32000-100000-15400-49075</f>
        <v>-199075</v>
      </c>
      <c r="L24" s="635">
        <f t="shared" si="3"/>
        <v>1250925</v>
      </c>
      <c r="M24" s="972">
        <v>573772</v>
      </c>
      <c r="N24" s="611"/>
      <c r="O24" s="612"/>
      <c r="P24" s="613"/>
      <c r="Q24" s="641">
        <f t="shared" si="1"/>
        <v>0</v>
      </c>
      <c r="R24" s="613"/>
      <c r="S24" s="635">
        <f t="shared" si="4"/>
        <v>0</v>
      </c>
      <c r="T24" s="978"/>
      <c r="U24" s="611"/>
      <c r="V24" s="660">
        <f t="shared" si="5"/>
        <v>1450000</v>
      </c>
      <c r="W24" s="665">
        <f t="shared" si="7"/>
        <v>-199075</v>
      </c>
      <c r="X24" s="657">
        <f t="shared" si="6"/>
        <v>1250925</v>
      </c>
      <c r="Y24" s="19"/>
      <c r="Z24" s="19"/>
      <c r="AA24" s="19"/>
      <c r="AB24" s="19"/>
    </row>
    <row r="25" spans="2:28" ht="15">
      <c r="B25" s="32">
        <f t="shared" si="2"/>
        <v>17</v>
      </c>
      <c r="C25" s="514"/>
      <c r="D25" s="586"/>
      <c r="E25" s="587" t="s">
        <v>346</v>
      </c>
      <c r="F25" s="608"/>
      <c r="G25" s="609">
        <v>450000</v>
      </c>
      <c r="H25" s="610"/>
      <c r="I25" s="609"/>
      <c r="J25" s="641">
        <f t="shared" si="8"/>
        <v>450000</v>
      </c>
      <c r="K25" s="641">
        <f>-65000+30000</f>
        <v>-35000</v>
      </c>
      <c r="L25" s="635">
        <f t="shared" si="3"/>
        <v>415000</v>
      </c>
      <c r="M25" s="972">
        <v>197068</v>
      </c>
      <c r="N25" s="611"/>
      <c r="O25" s="612"/>
      <c r="P25" s="613"/>
      <c r="Q25" s="641">
        <f t="shared" si="1"/>
        <v>0</v>
      </c>
      <c r="R25" s="613"/>
      <c r="S25" s="635">
        <f t="shared" si="4"/>
        <v>0</v>
      </c>
      <c r="T25" s="978"/>
      <c r="U25" s="611"/>
      <c r="V25" s="660">
        <f t="shared" si="5"/>
        <v>450000</v>
      </c>
      <c r="W25" s="665">
        <f t="shared" si="7"/>
        <v>-35000</v>
      </c>
      <c r="X25" s="657">
        <f t="shared" si="6"/>
        <v>415000</v>
      </c>
      <c r="Y25" s="19"/>
      <c r="Z25" s="19"/>
      <c r="AA25" s="19"/>
      <c r="AB25" s="19"/>
    </row>
    <row r="26" spans="2:28" ht="15">
      <c r="B26" s="32">
        <f t="shared" si="2"/>
        <v>18</v>
      </c>
      <c r="C26" s="514"/>
      <c r="D26" s="586"/>
      <c r="E26" s="587" t="s">
        <v>332</v>
      </c>
      <c r="F26" s="608"/>
      <c r="G26" s="609"/>
      <c r="H26" s="610"/>
      <c r="I26" s="609">
        <f>79000+82000+18000+70000+25000+36000+17000+50000+23000</f>
        <v>400000</v>
      </c>
      <c r="J26" s="641">
        <f t="shared" si="8"/>
        <v>400000</v>
      </c>
      <c r="K26" s="641">
        <v>40000</v>
      </c>
      <c r="L26" s="635">
        <f t="shared" si="3"/>
        <v>440000</v>
      </c>
      <c r="M26" s="972">
        <v>170359</v>
      </c>
      <c r="N26" s="611"/>
      <c r="O26" s="612"/>
      <c r="P26" s="613"/>
      <c r="Q26" s="641">
        <f t="shared" si="1"/>
        <v>0</v>
      </c>
      <c r="R26" s="613"/>
      <c r="S26" s="635">
        <f t="shared" si="4"/>
        <v>0</v>
      </c>
      <c r="T26" s="978"/>
      <c r="U26" s="611"/>
      <c r="V26" s="660">
        <f t="shared" si="5"/>
        <v>400000</v>
      </c>
      <c r="W26" s="665">
        <f t="shared" si="7"/>
        <v>40000</v>
      </c>
      <c r="X26" s="657">
        <f t="shared" si="6"/>
        <v>440000</v>
      </c>
      <c r="Y26" s="19"/>
      <c r="Z26" s="19"/>
      <c r="AA26" s="19"/>
      <c r="AB26" s="19"/>
    </row>
    <row r="27" spans="2:28" ht="15">
      <c r="B27" s="32">
        <f t="shared" si="2"/>
        <v>19</v>
      </c>
      <c r="C27" s="514"/>
      <c r="D27" s="586"/>
      <c r="E27" s="587" t="s">
        <v>399</v>
      </c>
      <c r="F27" s="608"/>
      <c r="G27" s="609"/>
      <c r="H27" s="610">
        <v>318200</v>
      </c>
      <c r="I27" s="609"/>
      <c r="J27" s="641">
        <f t="shared" si="8"/>
        <v>318200</v>
      </c>
      <c r="K27" s="641">
        <v>75000</v>
      </c>
      <c r="L27" s="635">
        <f t="shared" si="3"/>
        <v>393200</v>
      </c>
      <c r="M27" s="972">
        <v>176963</v>
      </c>
      <c r="N27" s="611"/>
      <c r="O27" s="612"/>
      <c r="P27" s="613"/>
      <c r="Q27" s="641">
        <f t="shared" si="1"/>
        <v>0</v>
      </c>
      <c r="R27" s="613"/>
      <c r="S27" s="635">
        <f t="shared" si="4"/>
        <v>0</v>
      </c>
      <c r="T27" s="978"/>
      <c r="U27" s="611"/>
      <c r="V27" s="660">
        <f t="shared" si="5"/>
        <v>318200</v>
      </c>
      <c r="W27" s="665">
        <f t="shared" si="7"/>
        <v>75000</v>
      </c>
      <c r="X27" s="657">
        <f t="shared" si="6"/>
        <v>393200</v>
      </c>
      <c r="Y27" s="19"/>
      <c r="Z27" s="19"/>
      <c r="AA27" s="19"/>
      <c r="AB27" s="19"/>
    </row>
    <row r="28" spans="2:28" ht="15">
      <c r="B28" s="32">
        <f t="shared" si="2"/>
        <v>20</v>
      </c>
      <c r="C28" s="514"/>
      <c r="D28" s="586"/>
      <c r="E28" s="587" t="s">
        <v>360</v>
      </c>
      <c r="F28" s="608"/>
      <c r="G28" s="609"/>
      <c r="H28" s="610">
        <f>170265+235-30-133470</f>
        <v>37000</v>
      </c>
      <c r="I28" s="609"/>
      <c r="J28" s="641">
        <f t="shared" si="8"/>
        <v>37000</v>
      </c>
      <c r="K28" s="641"/>
      <c r="L28" s="635">
        <f t="shared" si="3"/>
        <v>37000</v>
      </c>
      <c r="M28" s="972"/>
      <c r="N28" s="611"/>
      <c r="O28" s="612"/>
      <c r="P28" s="613"/>
      <c r="Q28" s="641">
        <f t="shared" si="1"/>
        <v>0</v>
      </c>
      <c r="R28" s="615"/>
      <c r="S28" s="637">
        <f t="shared" si="4"/>
        <v>0</v>
      </c>
      <c r="T28" s="978"/>
      <c r="U28" s="611"/>
      <c r="V28" s="660">
        <f t="shared" si="5"/>
        <v>37000</v>
      </c>
      <c r="W28" s="665">
        <f t="shared" si="7"/>
        <v>0</v>
      </c>
      <c r="X28" s="657">
        <f t="shared" si="6"/>
        <v>37000</v>
      </c>
      <c r="Y28" s="19"/>
      <c r="Z28" s="19"/>
      <c r="AA28" s="19"/>
      <c r="AB28" s="19"/>
    </row>
    <row r="29" spans="2:28" ht="15.75">
      <c r="B29" s="32">
        <f t="shared" si="2"/>
        <v>21</v>
      </c>
      <c r="C29" s="37">
        <v>6</v>
      </c>
      <c r="D29" s="423" t="s">
        <v>159</v>
      </c>
      <c r="E29" s="39"/>
      <c r="F29" s="624"/>
      <c r="G29" s="625"/>
      <c r="H29" s="625">
        <v>5000</v>
      </c>
      <c r="I29" s="625"/>
      <c r="J29" s="642">
        <f t="shared" si="8"/>
        <v>5000</v>
      </c>
      <c r="K29" s="647"/>
      <c r="L29" s="645">
        <f t="shared" si="3"/>
        <v>5000</v>
      </c>
      <c r="M29" s="972">
        <v>998</v>
      </c>
      <c r="N29" s="605"/>
      <c r="O29" s="626"/>
      <c r="P29" s="625"/>
      <c r="Q29" s="650">
        <f aca="true" t="shared" si="9" ref="Q29:Q34">SUM(O29:P29)</f>
        <v>0</v>
      </c>
      <c r="R29" s="654"/>
      <c r="S29" s="652">
        <f t="shared" si="4"/>
        <v>0</v>
      </c>
      <c r="T29" s="978"/>
      <c r="U29" s="616"/>
      <c r="V29" s="671">
        <f t="shared" si="5"/>
        <v>5000</v>
      </c>
      <c r="W29" s="666">
        <f t="shared" si="7"/>
        <v>0</v>
      </c>
      <c r="X29" s="645">
        <f t="shared" si="6"/>
        <v>5000</v>
      </c>
      <c r="Y29" s="19"/>
      <c r="Z29" s="19"/>
      <c r="AA29" s="19"/>
      <c r="AB29" s="19"/>
    </row>
    <row r="30" spans="2:28" ht="15.75">
      <c r="B30" s="32">
        <f t="shared" si="2"/>
        <v>22</v>
      </c>
      <c r="C30" s="37">
        <v>7</v>
      </c>
      <c r="D30" s="423" t="s">
        <v>160</v>
      </c>
      <c r="E30" s="39"/>
      <c r="F30" s="624"/>
      <c r="G30" s="625"/>
      <c r="H30" s="625">
        <f>SUM(H31:H33)</f>
        <v>76285</v>
      </c>
      <c r="I30" s="625"/>
      <c r="J30" s="642">
        <f t="shared" si="8"/>
        <v>76285</v>
      </c>
      <c r="K30" s="647">
        <v>27000</v>
      </c>
      <c r="L30" s="645">
        <f t="shared" si="3"/>
        <v>103285</v>
      </c>
      <c r="M30" s="972">
        <v>29844</v>
      </c>
      <c r="N30" s="605"/>
      <c r="O30" s="626">
        <f>O31+O32+O33</f>
        <v>19015</v>
      </c>
      <c r="P30" s="625"/>
      <c r="Q30" s="650">
        <f t="shared" si="9"/>
        <v>19015</v>
      </c>
      <c r="R30" s="654"/>
      <c r="S30" s="652">
        <f t="shared" si="4"/>
        <v>19015</v>
      </c>
      <c r="T30" s="978"/>
      <c r="U30" s="616"/>
      <c r="V30" s="671">
        <f t="shared" si="5"/>
        <v>95300</v>
      </c>
      <c r="W30" s="666">
        <f t="shared" si="7"/>
        <v>27000</v>
      </c>
      <c r="X30" s="645">
        <f t="shared" si="6"/>
        <v>122300</v>
      </c>
      <c r="Y30" s="19"/>
      <c r="Z30" s="19"/>
      <c r="AA30" s="19"/>
      <c r="AB30" s="19"/>
    </row>
    <row r="31" spans="2:28" ht="15">
      <c r="B31" s="32">
        <f t="shared" si="2"/>
        <v>23</v>
      </c>
      <c r="C31" s="518"/>
      <c r="D31" s="586"/>
      <c r="E31" s="587" t="s">
        <v>360</v>
      </c>
      <c r="F31" s="608"/>
      <c r="G31" s="609"/>
      <c r="H31" s="610">
        <v>6787</v>
      </c>
      <c r="I31" s="609"/>
      <c r="J31" s="609">
        <f>H31</f>
        <v>6787</v>
      </c>
      <c r="K31" s="609"/>
      <c r="L31" s="637">
        <f t="shared" si="3"/>
        <v>6787</v>
      </c>
      <c r="M31" s="972"/>
      <c r="N31" s="611"/>
      <c r="O31" s="614"/>
      <c r="P31" s="615"/>
      <c r="Q31" s="610">
        <f t="shared" si="9"/>
        <v>0</v>
      </c>
      <c r="R31" s="615"/>
      <c r="S31" s="637">
        <f t="shared" si="4"/>
        <v>0</v>
      </c>
      <c r="T31" s="978"/>
      <c r="U31" s="611"/>
      <c r="V31" s="660">
        <f t="shared" si="5"/>
        <v>6787</v>
      </c>
      <c r="W31" s="665">
        <f t="shared" si="7"/>
        <v>0</v>
      </c>
      <c r="X31" s="657">
        <f t="shared" si="6"/>
        <v>6787</v>
      </c>
      <c r="Y31" s="19"/>
      <c r="Z31" s="19"/>
      <c r="AA31" s="19"/>
      <c r="AB31" s="19"/>
    </row>
    <row r="32" spans="2:28" ht="15">
      <c r="B32" s="32">
        <f t="shared" si="2"/>
        <v>24</v>
      </c>
      <c r="C32" s="518"/>
      <c r="D32" s="586"/>
      <c r="E32" s="587" t="s">
        <v>390</v>
      </c>
      <c r="F32" s="608"/>
      <c r="G32" s="609"/>
      <c r="H32" s="610">
        <f>69502-4</f>
        <v>69498</v>
      </c>
      <c r="I32" s="609"/>
      <c r="J32" s="609">
        <f>H32</f>
        <v>69498</v>
      </c>
      <c r="K32" s="609">
        <v>27000</v>
      </c>
      <c r="L32" s="637">
        <f t="shared" si="3"/>
        <v>96498</v>
      </c>
      <c r="M32" s="972"/>
      <c r="N32" s="611"/>
      <c r="O32" s="610">
        <v>2015</v>
      </c>
      <c r="P32" s="615"/>
      <c r="Q32" s="610">
        <f t="shared" si="9"/>
        <v>2015</v>
      </c>
      <c r="R32" s="610"/>
      <c r="S32" s="637">
        <f t="shared" si="4"/>
        <v>2015</v>
      </c>
      <c r="T32" s="978"/>
      <c r="U32" s="611"/>
      <c r="V32" s="660">
        <f t="shared" si="5"/>
        <v>71513</v>
      </c>
      <c r="W32" s="665">
        <f t="shared" si="7"/>
        <v>27000</v>
      </c>
      <c r="X32" s="657">
        <f t="shared" si="6"/>
        <v>98513</v>
      </c>
      <c r="Y32" s="19"/>
      <c r="Z32" s="19"/>
      <c r="AA32" s="19"/>
      <c r="AB32" s="19"/>
    </row>
    <row r="33" spans="2:28" ht="14.25">
      <c r="B33" s="32">
        <f t="shared" si="2"/>
        <v>25</v>
      </c>
      <c r="C33" s="514"/>
      <c r="D33" s="586"/>
      <c r="E33" s="1056" t="s">
        <v>359</v>
      </c>
      <c r="F33" s="608"/>
      <c r="G33" s="609"/>
      <c r="H33" s="610"/>
      <c r="I33" s="609"/>
      <c r="J33" s="609">
        <f>H33</f>
        <v>0</v>
      </c>
      <c r="K33" s="641"/>
      <c r="L33" s="635">
        <f t="shared" si="3"/>
        <v>0</v>
      </c>
      <c r="M33" s="972"/>
      <c r="N33" s="611"/>
      <c r="O33" s="629">
        <v>17000</v>
      </c>
      <c r="P33" s="613"/>
      <c r="Q33" s="641">
        <f t="shared" si="9"/>
        <v>17000</v>
      </c>
      <c r="R33" s="613"/>
      <c r="S33" s="635">
        <f t="shared" si="4"/>
        <v>17000</v>
      </c>
      <c r="T33" s="978"/>
      <c r="U33" s="611"/>
      <c r="V33" s="660">
        <f t="shared" si="5"/>
        <v>17000</v>
      </c>
      <c r="W33" s="665">
        <f t="shared" si="7"/>
        <v>0</v>
      </c>
      <c r="X33" s="657">
        <f t="shared" si="6"/>
        <v>17000</v>
      </c>
      <c r="Y33" s="19"/>
      <c r="Z33" s="19"/>
      <c r="AA33" s="19"/>
      <c r="AB33" s="19"/>
    </row>
    <row r="34" spans="2:28" ht="15.75">
      <c r="B34" s="32">
        <f t="shared" si="2"/>
        <v>26</v>
      </c>
      <c r="C34" s="37">
        <v>8</v>
      </c>
      <c r="D34" s="423" t="s">
        <v>161</v>
      </c>
      <c r="E34" s="39"/>
      <c r="F34" s="624"/>
      <c r="G34" s="625"/>
      <c r="H34" s="625">
        <v>25000</v>
      </c>
      <c r="I34" s="625"/>
      <c r="J34" s="642">
        <f>SUM(F34:I34)</f>
        <v>25000</v>
      </c>
      <c r="K34" s="647"/>
      <c r="L34" s="645">
        <f t="shared" si="3"/>
        <v>25000</v>
      </c>
      <c r="M34" s="972">
        <v>12506</v>
      </c>
      <c r="N34" s="605"/>
      <c r="O34" s="626"/>
      <c r="P34" s="625"/>
      <c r="Q34" s="650">
        <f t="shared" si="9"/>
        <v>0</v>
      </c>
      <c r="R34" s="654"/>
      <c r="S34" s="652">
        <f t="shared" si="4"/>
        <v>0</v>
      </c>
      <c r="T34" s="978"/>
      <c r="U34" s="616"/>
      <c r="V34" s="671">
        <f t="shared" si="5"/>
        <v>25000</v>
      </c>
      <c r="W34" s="666">
        <f t="shared" si="7"/>
        <v>0</v>
      </c>
      <c r="X34" s="645">
        <f t="shared" si="6"/>
        <v>25000</v>
      </c>
      <c r="Y34" s="19"/>
      <c r="Z34" s="19"/>
      <c r="AA34" s="19"/>
      <c r="AB34" s="19"/>
    </row>
    <row r="35" spans="2:28" ht="15">
      <c r="B35" s="32">
        <f t="shared" si="2"/>
        <v>27</v>
      </c>
      <c r="C35" s="518"/>
      <c r="D35" s="586"/>
      <c r="E35" s="587" t="s">
        <v>360</v>
      </c>
      <c r="F35" s="608"/>
      <c r="G35" s="609"/>
      <c r="H35" s="610">
        <v>1743</v>
      </c>
      <c r="I35" s="609"/>
      <c r="J35" s="609">
        <f>H35</f>
        <v>1743</v>
      </c>
      <c r="K35" s="609"/>
      <c r="L35" s="637">
        <f t="shared" si="3"/>
        <v>1743</v>
      </c>
      <c r="M35" s="972"/>
      <c r="N35" s="611"/>
      <c r="O35" s="614"/>
      <c r="P35" s="615"/>
      <c r="Q35" s="615"/>
      <c r="R35" s="615"/>
      <c r="S35" s="637">
        <f t="shared" si="4"/>
        <v>0</v>
      </c>
      <c r="T35" s="978"/>
      <c r="U35" s="611"/>
      <c r="V35" s="660">
        <f t="shared" si="5"/>
        <v>1743</v>
      </c>
      <c r="W35" s="665">
        <f>K35+R35</f>
        <v>0</v>
      </c>
      <c r="X35" s="657">
        <f t="shared" si="6"/>
        <v>1743</v>
      </c>
      <c r="Y35" s="19"/>
      <c r="Z35" s="19"/>
      <c r="AA35" s="19"/>
      <c r="AB35" s="19"/>
    </row>
    <row r="36" spans="2:28" ht="15">
      <c r="B36" s="32">
        <f t="shared" si="2"/>
        <v>28</v>
      </c>
      <c r="C36" s="518"/>
      <c r="D36" s="586"/>
      <c r="E36" s="587" t="s">
        <v>390</v>
      </c>
      <c r="F36" s="608"/>
      <c r="G36" s="609"/>
      <c r="H36" s="610">
        <f>H34-H35</f>
        <v>23257</v>
      </c>
      <c r="I36" s="609"/>
      <c r="J36" s="609">
        <f>H36</f>
        <v>23257</v>
      </c>
      <c r="K36" s="609"/>
      <c r="L36" s="637">
        <f t="shared" si="3"/>
        <v>23257</v>
      </c>
      <c r="M36" s="972"/>
      <c r="N36" s="611"/>
      <c r="O36" s="614"/>
      <c r="P36" s="615"/>
      <c r="Q36" s="615"/>
      <c r="R36" s="615"/>
      <c r="S36" s="637">
        <f t="shared" si="4"/>
        <v>0</v>
      </c>
      <c r="T36" s="978"/>
      <c r="U36" s="611"/>
      <c r="V36" s="660">
        <f t="shared" si="5"/>
        <v>23257</v>
      </c>
      <c r="W36" s="665">
        <f t="shared" si="7"/>
        <v>0</v>
      </c>
      <c r="X36" s="657">
        <f t="shared" si="6"/>
        <v>23257</v>
      </c>
      <c r="Y36" s="19"/>
      <c r="Z36" s="19"/>
      <c r="AA36" s="19"/>
      <c r="AB36" s="19"/>
    </row>
    <row r="37" spans="2:28" ht="15.75">
      <c r="B37" s="32">
        <f t="shared" si="2"/>
        <v>29</v>
      </c>
      <c r="C37" s="37">
        <v>9</v>
      </c>
      <c r="D37" s="423" t="s">
        <v>162</v>
      </c>
      <c r="E37" s="39"/>
      <c r="F37" s="624"/>
      <c r="G37" s="625"/>
      <c r="H37" s="625">
        <v>5000</v>
      </c>
      <c r="I37" s="625"/>
      <c r="J37" s="642">
        <f>SUM(F37:I37)</f>
        <v>5000</v>
      </c>
      <c r="K37" s="647">
        <f>SUM(K38:K39)</f>
        <v>3000</v>
      </c>
      <c r="L37" s="645">
        <f t="shared" si="3"/>
        <v>8000</v>
      </c>
      <c r="M37" s="972">
        <v>4240</v>
      </c>
      <c r="N37" s="605"/>
      <c r="O37" s="626"/>
      <c r="P37" s="625"/>
      <c r="Q37" s="642">
        <f>SUM(O37:P37)</f>
        <v>0</v>
      </c>
      <c r="R37" s="647"/>
      <c r="S37" s="653">
        <f t="shared" si="4"/>
        <v>0</v>
      </c>
      <c r="T37" s="978"/>
      <c r="U37" s="616"/>
      <c r="V37" s="671">
        <f t="shared" si="5"/>
        <v>5000</v>
      </c>
      <c r="W37" s="666">
        <f t="shared" si="7"/>
        <v>3000</v>
      </c>
      <c r="X37" s="645">
        <f t="shared" si="6"/>
        <v>8000</v>
      </c>
      <c r="Y37" s="19"/>
      <c r="Z37" s="19"/>
      <c r="AA37" s="19"/>
      <c r="AB37" s="19"/>
    </row>
    <row r="38" spans="2:28" ht="15">
      <c r="B38" s="32">
        <f t="shared" si="2"/>
        <v>30</v>
      </c>
      <c r="C38" s="518"/>
      <c r="D38" s="586"/>
      <c r="E38" s="587" t="s">
        <v>390</v>
      </c>
      <c r="F38" s="608"/>
      <c r="G38" s="609"/>
      <c r="H38" s="610">
        <f>H37-H39</f>
        <v>3100</v>
      </c>
      <c r="I38" s="609"/>
      <c r="J38" s="609">
        <f>H38</f>
        <v>3100</v>
      </c>
      <c r="K38" s="609">
        <v>3005</v>
      </c>
      <c r="L38" s="637">
        <f t="shared" si="3"/>
        <v>6105</v>
      </c>
      <c r="M38" s="972"/>
      <c r="N38" s="611"/>
      <c r="O38" s="614"/>
      <c r="P38" s="615"/>
      <c r="Q38" s="615"/>
      <c r="R38" s="615"/>
      <c r="S38" s="637">
        <f t="shared" si="4"/>
        <v>0</v>
      </c>
      <c r="T38" s="978"/>
      <c r="U38" s="611"/>
      <c r="V38" s="660">
        <f t="shared" si="5"/>
        <v>3100</v>
      </c>
      <c r="W38" s="665">
        <f t="shared" si="7"/>
        <v>3005</v>
      </c>
      <c r="X38" s="657">
        <f t="shared" si="6"/>
        <v>6105</v>
      </c>
      <c r="Y38" s="19"/>
      <c r="Z38" s="19"/>
      <c r="AA38" s="19"/>
      <c r="AB38" s="19"/>
    </row>
    <row r="39" spans="2:28" ht="15.75" thickBot="1">
      <c r="B39" s="33">
        <f>B37+1</f>
        <v>30</v>
      </c>
      <c r="C39" s="597"/>
      <c r="D39" s="598"/>
      <c r="E39" s="599" t="s">
        <v>360</v>
      </c>
      <c r="F39" s="630"/>
      <c r="G39" s="631"/>
      <c r="H39" s="632">
        <v>1900</v>
      </c>
      <c r="I39" s="631"/>
      <c r="J39" s="631">
        <f>H39</f>
        <v>1900</v>
      </c>
      <c r="K39" s="631">
        <v>-5</v>
      </c>
      <c r="L39" s="638">
        <f t="shared" si="3"/>
        <v>1895</v>
      </c>
      <c r="M39" s="979"/>
      <c r="N39" s="783"/>
      <c r="O39" s="633"/>
      <c r="P39" s="634"/>
      <c r="Q39" s="634"/>
      <c r="R39" s="634"/>
      <c r="S39" s="638">
        <f t="shared" si="4"/>
        <v>0</v>
      </c>
      <c r="T39" s="980"/>
      <c r="U39" s="611"/>
      <c r="V39" s="662">
        <f t="shared" si="5"/>
        <v>1900</v>
      </c>
      <c r="W39" s="668">
        <f t="shared" si="7"/>
        <v>-5</v>
      </c>
      <c r="X39" s="659">
        <f t="shared" si="6"/>
        <v>1895</v>
      </c>
      <c r="Y39" s="19"/>
      <c r="Z39" s="19"/>
      <c r="AA39" s="19"/>
      <c r="AB39" s="19"/>
    </row>
    <row r="40" spans="8:23" ht="12.75">
      <c r="H40" s="19"/>
      <c r="I40" s="146"/>
      <c r="J40" s="19"/>
      <c r="K40" s="19"/>
      <c r="L40" s="19"/>
      <c r="M40" s="19"/>
      <c r="V40" s="388"/>
      <c r="W40" s="156"/>
    </row>
    <row r="41" spans="5:13" ht="12.75">
      <c r="E41" s="156"/>
      <c r="F41" s="156"/>
      <c r="G41" s="156"/>
      <c r="H41" s="156"/>
      <c r="I41" s="156"/>
      <c r="J41" s="156"/>
      <c r="K41" s="156"/>
      <c r="L41" s="156"/>
      <c r="M41" s="156"/>
    </row>
    <row r="42" spans="5:13" ht="12.75">
      <c r="E42" s="156"/>
      <c r="F42" s="156"/>
      <c r="G42" s="156"/>
      <c r="H42" s="156"/>
      <c r="I42" s="156"/>
      <c r="J42" s="156"/>
      <c r="K42" s="156"/>
      <c r="L42" s="156"/>
      <c r="M42" s="156"/>
    </row>
    <row r="43" spans="5:13" ht="12.75">
      <c r="E43" s="156"/>
      <c r="F43" s="156"/>
      <c r="G43" s="156"/>
      <c r="H43" s="156"/>
      <c r="I43" s="156"/>
      <c r="J43" s="156"/>
      <c r="K43" s="156"/>
      <c r="L43" s="156"/>
      <c r="M43" s="156"/>
    </row>
    <row r="44" spans="5:13" ht="12.75">
      <c r="E44" s="156"/>
      <c r="F44" s="156"/>
      <c r="G44" s="156"/>
      <c r="H44" s="156"/>
      <c r="I44" s="156"/>
      <c r="J44" s="156"/>
      <c r="K44" s="156"/>
      <c r="L44" s="156"/>
      <c r="M44" s="156"/>
    </row>
    <row r="45" spans="5:13" ht="12.75">
      <c r="E45" s="156"/>
      <c r="F45" s="156"/>
      <c r="G45" s="156"/>
      <c r="H45" s="156"/>
      <c r="I45" s="156"/>
      <c r="J45" s="156"/>
      <c r="K45" s="156"/>
      <c r="L45" s="156"/>
      <c r="M45" s="156"/>
    </row>
    <row r="46" spans="5:13" ht="12.75">
      <c r="E46" s="156"/>
      <c r="F46" s="156"/>
      <c r="G46" s="156"/>
      <c r="H46" s="156"/>
      <c r="I46" s="156"/>
      <c r="J46" s="156"/>
      <c r="K46" s="156"/>
      <c r="L46" s="156"/>
      <c r="M46" s="156"/>
    </row>
    <row r="47" spans="5:13" ht="12.75">
      <c r="E47" s="156"/>
      <c r="F47" s="156"/>
      <c r="G47" s="156"/>
      <c r="H47" s="156"/>
      <c r="I47" s="156"/>
      <c r="J47" s="156"/>
      <c r="K47" s="156"/>
      <c r="L47" s="156"/>
      <c r="M47" s="156"/>
    </row>
    <row r="48" spans="5:13" ht="12.75">
      <c r="E48" s="156"/>
      <c r="F48" s="156"/>
      <c r="G48" s="156"/>
      <c r="H48" s="156"/>
      <c r="I48" s="156"/>
      <c r="J48" s="156"/>
      <c r="K48" s="156"/>
      <c r="L48" s="156"/>
      <c r="M48" s="156"/>
    </row>
    <row r="49" spans="5:13" ht="12.75">
      <c r="E49" s="156"/>
      <c r="F49" s="156"/>
      <c r="G49" s="156"/>
      <c r="H49" s="156"/>
      <c r="I49" s="156"/>
      <c r="J49" s="156"/>
      <c r="K49" s="156"/>
      <c r="L49" s="156"/>
      <c r="M49" s="156"/>
    </row>
    <row r="50" spans="5:13" ht="12.75">
      <c r="E50" s="156"/>
      <c r="F50" s="156"/>
      <c r="G50" s="156"/>
      <c r="H50" s="156"/>
      <c r="I50" s="156"/>
      <c r="J50" s="156"/>
      <c r="K50" s="156"/>
      <c r="L50" s="156"/>
      <c r="M50" s="156"/>
    </row>
    <row r="51" spans="5:13" ht="12.75">
      <c r="E51" s="156"/>
      <c r="F51" s="156"/>
      <c r="G51" s="156"/>
      <c r="H51" s="156"/>
      <c r="I51" s="156"/>
      <c r="J51" s="156"/>
      <c r="K51" s="156"/>
      <c r="L51" s="156"/>
      <c r="M51" s="156"/>
    </row>
    <row r="52" spans="5:13" ht="12.75">
      <c r="E52" s="156"/>
      <c r="F52" s="156"/>
      <c r="G52" s="156"/>
      <c r="H52" s="156"/>
      <c r="I52" s="156"/>
      <c r="J52" s="156"/>
      <c r="K52" s="156"/>
      <c r="L52" s="156"/>
      <c r="M52" s="156"/>
    </row>
    <row r="53" spans="5:13" ht="12.75">
      <c r="E53" s="156"/>
      <c r="F53" s="156"/>
      <c r="G53" s="156"/>
      <c r="H53" s="156"/>
      <c r="I53" s="156"/>
      <c r="J53" s="156"/>
      <c r="K53" s="156"/>
      <c r="L53" s="156"/>
      <c r="M53" s="156"/>
    </row>
    <row r="54" spans="5:13" ht="12.75">
      <c r="E54" s="156"/>
      <c r="F54" s="156"/>
      <c r="G54" s="156"/>
      <c r="H54" s="156"/>
      <c r="I54" s="156"/>
      <c r="J54" s="156"/>
      <c r="K54" s="156"/>
      <c r="L54" s="156"/>
      <c r="M54" s="156"/>
    </row>
    <row r="55" spans="5:13" ht="12.75">
      <c r="E55" s="156"/>
      <c r="F55" s="156"/>
      <c r="G55" s="156"/>
      <c r="H55" s="156"/>
      <c r="I55" s="156"/>
      <c r="J55" s="156"/>
      <c r="K55" s="156"/>
      <c r="L55" s="156"/>
      <c r="M55" s="156"/>
    </row>
    <row r="56" spans="5:13" ht="12.75">
      <c r="E56" s="156"/>
      <c r="F56" s="156"/>
      <c r="G56" s="156"/>
      <c r="H56" s="156"/>
      <c r="I56" s="156"/>
      <c r="J56" s="156"/>
      <c r="K56" s="156"/>
      <c r="L56" s="156"/>
      <c r="M56" s="156"/>
    </row>
    <row r="57" spans="5:13" ht="12.75">
      <c r="E57" s="156"/>
      <c r="F57" s="156"/>
      <c r="G57" s="156"/>
      <c r="H57" s="156"/>
      <c r="I57" s="156"/>
      <c r="J57" s="156"/>
      <c r="K57" s="156"/>
      <c r="L57" s="156"/>
      <c r="M57" s="156"/>
    </row>
    <row r="58" spans="5:13" ht="12.75">
      <c r="E58" s="156"/>
      <c r="F58" s="156"/>
      <c r="G58" s="156"/>
      <c r="H58" s="156"/>
      <c r="I58" s="156"/>
      <c r="J58" s="156"/>
      <c r="K58" s="156"/>
      <c r="L58" s="156"/>
      <c r="M58" s="156"/>
    </row>
    <row r="59" spans="5:13" ht="12.75">
      <c r="E59" s="156"/>
      <c r="F59" s="156"/>
      <c r="G59" s="156"/>
      <c r="H59" s="156"/>
      <c r="I59" s="156"/>
      <c r="J59" s="156"/>
      <c r="K59" s="156"/>
      <c r="L59" s="156"/>
      <c r="M59" s="156"/>
    </row>
    <row r="60" spans="5:13" ht="12.75">
      <c r="E60" s="156"/>
      <c r="F60" s="156"/>
      <c r="G60" s="156"/>
      <c r="H60" s="156"/>
      <c r="I60" s="156"/>
      <c r="J60" s="156"/>
      <c r="K60" s="156"/>
      <c r="L60" s="156"/>
      <c r="M60" s="156"/>
    </row>
    <row r="61" spans="5:13" ht="12.75">
      <c r="E61" s="156"/>
      <c r="F61" s="156"/>
      <c r="G61" s="156"/>
      <c r="H61" s="156"/>
      <c r="I61" s="156"/>
      <c r="J61" s="156"/>
      <c r="K61" s="156"/>
      <c r="L61" s="156"/>
      <c r="M61" s="156"/>
    </row>
    <row r="62" spans="5:13" ht="12.75">
      <c r="E62" s="156"/>
      <c r="F62" s="156"/>
      <c r="G62" s="156"/>
      <c r="H62" s="156"/>
      <c r="I62" s="156"/>
      <c r="J62" s="156"/>
      <c r="K62" s="156"/>
      <c r="L62" s="156"/>
      <c r="M62" s="156"/>
    </row>
    <row r="63" spans="5:13" ht="12.75">
      <c r="E63" s="156"/>
      <c r="F63" s="156"/>
      <c r="G63" s="156"/>
      <c r="H63" s="156"/>
      <c r="I63" s="156"/>
      <c r="J63" s="156"/>
      <c r="K63" s="156"/>
      <c r="L63" s="156"/>
      <c r="M63" s="156"/>
    </row>
    <row r="64" spans="5:13" ht="12.75">
      <c r="E64" s="156"/>
      <c r="F64" s="156"/>
      <c r="G64" s="156"/>
      <c r="H64" s="156"/>
      <c r="I64" s="156"/>
      <c r="J64" s="156"/>
      <c r="K64" s="156"/>
      <c r="L64" s="156"/>
      <c r="M64" s="156"/>
    </row>
    <row r="65" spans="5:13" ht="12.75">
      <c r="E65" s="156"/>
      <c r="F65" s="156"/>
      <c r="G65" s="156"/>
      <c r="H65" s="156"/>
      <c r="I65" s="156"/>
      <c r="J65" s="156"/>
      <c r="K65" s="156"/>
      <c r="L65" s="156"/>
      <c r="M65" s="156"/>
    </row>
    <row r="66" spans="5:13" ht="12.75">
      <c r="E66" s="156"/>
      <c r="F66" s="156"/>
      <c r="G66" s="156"/>
      <c r="H66" s="156"/>
      <c r="I66" s="156"/>
      <c r="J66" s="156"/>
      <c r="K66" s="156"/>
      <c r="L66" s="156"/>
      <c r="M66" s="156"/>
    </row>
    <row r="67" spans="5:13" ht="12.75">
      <c r="E67" s="156"/>
      <c r="F67" s="156"/>
      <c r="G67" s="156"/>
      <c r="H67" s="156"/>
      <c r="I67" s="156"/>
      <c r="J67" s="156"/>
      <c r="K67" s="156"/>
      <c r="L67" s="156"/>
      <c r="M67" s="156"/>
    </row>
    <row r="68" spans="5:13" ht="12.75">
      <c r="E68" s="156"/>
      <c r="F68" s="156"/>
      <c r="G68" s="156"/>
      <c r="H68" s="156"/>
      <c r="I68" s="156"/>
      <c r="J68" s="156"/>
      <c r="K68" s="156"/>
      <c r="L68" s="156"/>
      <c r="M68" s="156"/>
    </row>
    <row r="69" spans="5:13" ht="12.75">
      <c r="E69" s="156"/>
      <c r="F69" s="156"/>
      <c r="G69" s="156"/>
      <c r="H69" s="156"/>
      <c r="I69" s="156"/>
      <c r="J69" s="156"/>
      <c r="K69" s="156"/>
      <c r="L69" s="156"/>
      <c r="M69" s="156"/>
    </row>
    <row r="70" spans="5:13" ht="12.75">
      <c r="E70" s="156"/>
      <c r="F70" s="156"/>
      <c r="G70" s="156"/>
      <c r="H70" s="156"/>
      <c r="I70" s="156"/>
      <c r="J70" s="156"/>
      <c r="K70" s="156"/>
      <c r="L70" s="156"/>
      <c r="M70" s="156"/>
    </row>
    <row r="71" spans="5:13" ht="12.75">
      <c r="E71" s="156"/>
      <c r="F71" s="156"/>
      <c r="G71" s="156"/>
      <c r="H71" s="156"/>
      <c r="I71" s="156"/>
      <c r="J71" s="156"/>
      <c r="K71" s="156"/>
      <c r="L71" s="156"/>
      <c r="M71" s="156"/>
    </row>
    <row r="72" spans="5:13" ht="12.75">
      <c r="E72" s="156"/>
      <c r="F72" s="156"/>
      <c r="G72" s="156"/>
      <c r="H72" s="156"/>
      <c r="I72" s="156"/>
      <c r="J72" s="156"/>
      <c r="K72" s="156"/>
      <c r="L72" s="156"/>
      <c r="M72" s="156"/>
    </row>
  </sheetData>
  <sheetProtection/>
  <mergeCells count="24">
    <mergeCell ref="O5:T5"/>
    <mergeCell ref="W4:W8"/>
    <mergeCell ref="K7:K8"/>
    <mergeCell ref="L7:L8"/>
    <mergeCell ref="S7:S8"/>
    <mergeCell ref="O6:S6"/>
    <mergeCell ref="Q7:Q8"/>
    <mergeCell ref="X4:X8"/>
    <mergeCell ref="V4:V8"/>
    <mergeCell ref="B5:L5"/>
    <mergeCell ref="E6:L6"/>
    <mergeCell ref="T7:T8"/>
    <mergeCell ref="C6:C8"/>
    <mergeCell ref="B4:T4"/>
    <mergeCell ref="P7:P8"/>
    <mergeCell ref="G7:G8"/>
    <mergeCell ref="J7:J8"/>
    <mergeCell ref="O7:O8"/>
    <mergeCell ref="I7:I8"/>
    <mergeCell ref="D6:D8"/>
    <mergeCell ref="F7:F8"/>
    <mergeCell ref="R7:R8"/>
    <mergeCell ref="M7:M8"/>
    <mergeCell ref="H7:H8"/>
  </mergeCells>
  <printOptions/>
  <pageMargins left="0.15748031496062992" right="0.15748031496062992" top="0.5118110236220472" bottom="0.1968503937007874" header="0.1968503937007874" footer="0.196850393700787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00390625" style="6" customWidth="1"/>
    <col min="3" max="3" width="2.140625" style="5" customWidth="1"/>
    <col min="4" max="4" width="2.28125" style="5" customWidth="1"/>
    <col min="5" max="5" width="31.28125" style="0" customWidth="1"/>
    <col min="6" max="6" width="8.140625" style="0" customWidth="1"/>
    <col min="7" max="7" width="8.421875" style="0" customWidth="1"/>
    <col min="8" max="8" width="9.8515625" style="0" customWidth="1"/>
    <col min="9" max="9" width="9.28125" style="0" customWidth="1"/>
    <col min="10" max="10" width="10.140625" style="0" customWidth="1"/>
    <col min="11" max="11" width="9.140625" style="0" customWidth="1"/>
    <col min="12" max="12" width="9.7109375" style="0" customWidth="1"/>
    <col min="13" max="13" width="7.421875" style="0" customWidth="1"/>
    <col min="14" max="14" width="0.71875" style="126" customWidth="1"/>
    <col min="15" max="15" width="7.57421875" style="0" customWidth="1"/>
    <col min="16" max="16" width="3.8515625" style="0" customWidth="1"/>
    <col min="17" max="17" width="10.00390625" style="0" customWidth="1"/>
    <col min="18" max="19" width="9.140625" style="0" customWidth="1"/>
    <col min="20" max="20" width="4.7109375" style="0" customWidth="1"/>
    <col min="21" max="21" width="1.1484375" style="156" customWidth="1"/>
    <col min="22" max="22" width="9.7109375" style="0" customWidth="1"/>
    <col min="23" max="23" width="8.7109375" style="0" customWidth="1"/>
    <col min="24" max="24" width="9.28125" style="0" customWidth="1"/>
  </cols>
  <sheetData>
    <row r="1" spans="10:22" ht="15.75" customHeight="1">
      <c r="J1" s="174"/>
      <c r="K1" s="174"/>
      <c r="L1" s="174"/>
      <c r="M1" s="174"/>
      <c r="N1" s="268"/>
      <c r="O1" s="126"/>
      <c r="P1" s="126"/>
      <c r="Q1" s="174"/>
      <c r="R1" s="174"/>
      <c r="S1" s="174"/>
      <c r="T1" s="174"/>
      <c r="U1" s="170"/>
      <c r="V1" s="176"/>
    </row>
    <row r="2" spans="3:22" ht="27">
      <c r="C2" s="249" t="s">
        <v>166</v>
      </c>
      <c r="D2" s="54"/>
      <c r="J2" s="181"/>
      <c r="K2" s="181"/>
      <c r="L2" s="181"/>
      <c r="M2" s="181"/>
      <c r="N2" s="181"/>
      <c r="O2" s="156"/>
      <c r="Q2" s="237"/>
      <c r="R2" s="237"/>
      <c r="S2" s="237"/>
      <c r="T2" s="237"/>
      <c r="V2" s="237"/>
    </row>
    <row r="3" ht="13.5" thickBot="1"/>
    <row r="4" spans="2:24" ht="12.75" customHeight="1">
      <c r="B4" s="1228" t="s">
        <v>313</v>
      </c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29"/>
      <c r="N4" s="1229"/>
      <c r="O4" s="1229"/>
      <c r="P4" s="1229"/>
      <c r="Q4" s="1229"/>
      <c r="R4" s="1229"/>
      <c r="S4" s="1229"/>
      <c r="T4" s="1230"/>
      <c r="U4" s="250"/>
      <c r="V4" s="1236" t="s">
        <v>410</v>
      </c>
      <c r="W4" s="1162" t="s">
        <v>417</v>
      </c>
      <c r="X4" s="1203" t="s">
        <v>415</v>
      </c>
    </row>
    <row r="5" spans="2:24" ht="18.75" customHeight="1">
      <c r="B5" s="1231" t="s">
        <v>12</v>
      </c>
      <c r="C5" s="1232"/>
      <c r="D5" s="1232"/>
      <c r="E5" s="1232"/>
      <c r="F5" s="1232"/>
      <c r="G5" s="1232"/>
      <c r="H5" s="1232"/>
      <c r="I5" s="1232"/>
      <c r="J5" s="1232"/>
      <c r="K5" s="1232"/>
      <c r="L5" s="1233"/>
      <c r="M5" s="974"/>
      <c r="N5" s="322"/>
      <c r="O5" s="1231" t="s">
        <v>297</v>
      </c>
      <c r="P5" s="1232"/>
      <c r="Q5" s="1232"/>
      <c r="R5" s="1232"/>
      <c r="S5" s="1233"/>
      <c r="T5" s="981"/>
      <c r="U5" s="269"/>
      <c r="V5" s="1190"/>
      <c r="W5" s="1163"/>
      <c r="X5" s="1204"/>
    </row>
    <row r="6" spans="2:24" ht="12.75" customHeight="1">
      <c r="B6" s="41"/>
      <c r="C6" s="1175" t="s">
        <v>148</v>
      </c>
      <c r="D6" s="1175" t="s">
        <v>149</v>
      </c>
      <c r="E6" s="1237" t="s">
        <v>11</v>
      </c>
      <c r="F6" s="1213"/>
      <c r="G6" s="1213"/>
      <c r="H6" s="1213"/>
      <c r="I6" s="1213"/>
      <c r="J6" s="1213"/>
      <c r="K6" s="1213"/>
      <c r="L6" s="1214"/>
      <c r="M6" s="689"/>
      <c r="N6" s="311"/>
      <c r="O6" s="1212" t="s">
        <v>11</v>
      </c>
      <c r="P6" s="1213"/>
      <c r="Q6" s="1213"/>
      <c r="R6" s="1213"/>
      <c r="S6" s="1214"/>
      <c r="T6" s="975"/>
      <c r="U6" s="270"/>
      <c r="V6" s="1190"/>
      <c r="W6" s="1163"/>
      <c r="X6" s="1204"/>
    </row>
    <row r="7" spans="2:24" ht="29.25" customHeight="1">
      <c r="B7" s="41"/>
      <c r="C7" s="1176"/>
      <c r="D7" s="1176"/>
      <c r="E7" s="334" t="s">
        <v>5</v>
      </c>
      <c r="F7" s="1224">
        <v>610</v>
      </c>
      <c r="G7" s="1184">
        <v>620</v>
      </c>
      <c r="H7" s="1184">
        <v>630</v>
      </c>
      <c r="I7" s="1184">
        <v>640</v>
      </c>
      <c r="J7" s="1201" t="s">
        <v>410</v>
      </c>
      <c r="K7" s="1180" t="s">
        <v>417</v>
      </c>
      <c r="L7" s="1217" t="s">
        <v>415</v>
      </c>
      <c r="M7" s="1178" t="s">
        <v>453</v>
      </c>
      <c r="N7" s="153"/>
      <c r="O7" s="1222">
        <v>716</v>
      </c>
      <c r="P7" s="1184">
        <v>717</v>
      </c>
      <c r="Q7" s="1201" t="s">
        <v>410</v>
      </c>
      <c r="R7" s="1180" t="s">
        <v>417</v>
      </c>
      <c r="S7" s="1217" t="s">
        <v>415</v>
      </c>
      <c r="T7" s="1182" t="s">
        <v>453</v>
      </c>
      <c r="U7" s="153"/>
      <c r="V7" s="1190"/>
      <c r="W7" s="1163"/>
      <c r="X7" s="1204"/>
    </row>
    <row r="8" spans="2:24" ht="32.25" customHeight="1" thickBot="1">
      <c r="B8" s="46"/>
      <c r="C8" s="1177"/>
      <c r="D8" s="1177"/>
      <c r="E8" s="335"/>
      <c r="F8" s="1216"/>
      <c r="G8" s="1185"/>
      <c r="H8" s="1185"/>
      <c r="I8" s="1185"/>
      <c r="J8" s="1202"/>
      <c r="K8" s="1181"/>
      <c r="L8" s="1218"/>
      <c r="M8" s="1179"/>
      <c r="N8" s="325"/>
      <c r="O8" s="1193"/>
      <c r="P8" s="1185"/>
      <c r="Q8" s="1202"/>
      <c r="R8" s="1181"/>
      <c r="S8" s="1218"/>
      <c r="T8" s="1183"/>
      <c r="U8" s="252"/>
      <c r="V8" s="1191"/>
      <c r="W8" s="1164"/>
      <c r="X8" s="1205"/>
    </row>
    <row r="9" spans="2:27" ht="24.75" customHeight="1" thickBot="1" thickTop="1">
      <c r="B9" s="32">
        <v>1</v>
      </c>
      <c r="C9" s="185" t="s">
        <v>167</v>
      </c>
      <c r="D9" s="186"/>
      <c r="E9" s="390"/>
      <c r="F9" s="416">
        <f>F10+F13+F16+F17+F19+F21+F27+F32</f>
        <v>65320</v>
      </c>
      <c r="G9" s="416">
        <f>G10+G13+G16+G17+G19+G21+G27+G32</f>
        <v>24099</v>
      </c>
      <c r="H9" s="416">
        <f>H10+H13+H16+H17+H19+H21+H27+H32</f>
        <v>164981</v>
      </c>
      <c r="I9" s="417">
        <f>I10+I13+I16+I17+I19+I21+I27+I32</f>
        <v>174000</v>
      </c>
      <c r="J9" s="639">
        <f>SUM(F9:I9)</f>
        <v>428400</v>
      </c>
      <c r="K9" s="493">
        <f>K10+K13+K16+K17+K19+K21+K27+K32</f>
        <v>86715</v>
      </c>
      <c r="L9" s="643">
        <f>J9+K9</f>
        <v>515115</v>
      </c>
      <c r="M9" s="973">
        <v>174493</v>
      </c>
      <c r="N9" s="323"/>
      <c r="O9" s="418">
        <f>O10+O13+O16+O17+O19+O21+O27+O32</f>
        <v>9891</v>
      </c>
      <c r="P9" s="416">
        <f>P10+P13+P16+P17+P19+P21+P27+P32</f>
        <v>0</v>
      </c>
      <c r="Q9" s="639">
        <f>SUM(O9:P9)</f>
        <v>9891</v>
      </c>
      <c r="R9" s="493">
        <f>R10+R13+R16+R17+R19+R21+R27+R32</f>
        <v>0</v>
      </c>
      <c r="S9" s="643">
        <f>Q9+R9</f>
        <v>9891</v>
      </c>
      <c r="T9" s="976">
        <v>391</v>
      </c>
      <c r="U9" s="263"/>
      <c r="V9" s="741">
        <f>J9+Q9</f>
        <v>438291</v>
      </c>
      <c r="W9" s="731">
        <f>W10+W13+W16+W17+W19+W21+W27+W32</f>
        <v>86715</v>
      </c>
      <c r="X9" s="716">
        <f>V9+W9</f>
        <v>525006</v>
      </c>
      <c r="Y9" s="19"/>
      <c r="Z9" s="19"/>
      <c r="AA9" s="19"/>
    </row>
    <row r="10" spans="2:27" ht="15.75" thickTop="1">
      <c r="B10" s="32">
        <f>B9+1</f>
        <v>2</v>
      </c>
      <c r="C10" s="42">
        <v>1</v>
      </c>
      <c r="D10" s="695" t="s">
        <v>115</v>
      </c>
      <c r="E10" s="130"/>
      <c r="F10" s="603"/>
      <c r="G10" s="604"/>
      <c r="H10" s="604">
        <f>H11+H12</f>
        <v>35000</v>
      </c>
      <c r="I10" s="604"/>
      <c r="J10" s="640">
        <f>SUM(F10:I10)</f>
        <v>35000</v>
      </c>
      <c r="K10" s="646">
        <f>K11</f>
        <v>0</v>
      </c>
      <c r="L10" s="644">
        <f aca="true" t="shared" si="0" ref="L10:L34">J10+K10</f>
        <v>35000</v>
      </c>
      <c r="M10" s="971">
        <v>9321</v>
      </c>
      <c r="N10" s="605"/>
      <c r="O10" s="606"/>
      <c r="P10" s="604"/>
      <c r="Q10" s="640">
        <f aca="true" t="shared" si="1" ref="Q10:Q32">SUM(O10:P10)</f>
        <v>0</v>
      </c>
      <c r="R10" s="646"/>
      <c r="S10" s="644">
        <f aca="true" t="shared" si="2" ref="S10:S34">Q10+R10</f>
        <v>0</v>
      </c>
      <c r="T10" s="977"/>
      <c r="U10" s="605"/>
      <c r="V10" s="696">
        <f aca="true" t="shared" si="3" ref="V10:V34">J10+Q10</f>
        <v>35000</v>
      </c>
      <c r="W10" s="646">
        <f>K10+R10</f>
        <v>0</v>
      </c>
      <c r="X10" s="644">
        <f aca="true" t="shared" si="4" ref="X10:X34">V10+W10</f>
        <v>35000</v>
      </c>
      <c r="Y10" s="19"/>
      <c r="Z10" s="19"/>
      <c r="AA10" s="19"/>
    </row>
    <row r="11" spans="2:27" s="594" customFormat="1" ht="14.25">
      <c r="B11" s="513">
        <f aca="true" t="shared" si="5" ref="B11:B33">B10+1</f>
        <v>3</v>
      </c>
      <c r="C11" s="518"/>
      <c r="D11" s="518"/>
      <c r="E11" s="683" t="s">
        <v>390</v>
      </c>
      <c r="F11" s="608"/>
      <c r="G11" s="609"/>
      <c r="H11" s="610">
        <f>14445+20000</f>
        <v>34445</v>
      </c>
      <c r="I11" s="609"/>
      <c r="J11" s="609">
        <f aca="true" t="shared" si="6" ref="J11:J34">SUM(F11:I11)</f>
        <v>34445</v>
      </c>
      <c r="K11" s="609"/>
      <c r="L11" s="637">
        <f t="shared" si="0"/>
        <v>34445</v>
      </c>
      <c r="M11" s="972">
        <v>9321</v>
      </c>
      <c r="N11" s="611"/>
      <c r="O11" s="614"/>
      <c r="P11" s="615"/>
      <c r="Q11" s="641">
        <f>SUM(O11:P11)</f>
        <v>0</v>
      </c>
      <c r="R11" s="641"/>
      <c r="S11" s="635">
        <f t="shared" si="2"/>
        <v>0</v>
      </c>
      <c r="T11" s="978"/>
      <c r="U11" s="611"/>
      <c r="V11" s="660">
        <f t="shared" si="3"/>
        <v>34445</v>
      </c>
      <c r="W11" s="697">
        <f aca="true" t="shared" si="7" ref="W11:W34">K11+R11</f>
        <v>0</v>
      </c>
      <c r="X11" s="657">
        <f t="shared" si="4"/>
        <v>34445</v>
      </c>
      <c r="Y11" s="19"/>
      <c r="Z11" s="19"/>
      <c r="AA11" s="19"/>
    </row>
    <row r="12" spans="2:27" s="594" customFormat="1" ht="14.25">
      <c r="B12" s="513">
        <f t="shared" si="5"/>
        <v>4</v>
      </c>
      <c r="C12" s="518"/>
      <c r="D12" s="518"/>
      <c r="E12" s="683" t="s">
        <v>360</v>
      </c>
      <c r="F12" s="608"/>
      <c r="G12" s="609"/>
      <c r="H12" s="610">
        <v>555</v>
      </c>
      <c r="I12" s="609"/>
      <c r="J12" s="609">
        <f t="shared" si="6"/>
        <v>555</v>
      </c>
      <c r="K12" s="609"/>
      <c r="L12" s="637">
        <f t="shared" si="0"/>
        <v>555</v>
      </c>
      <c r="M12" s="972"/>
      <c r="N12" s="611"/>
      <c r="O12" s="614"/>
      <c r="P12" s="615"/>
      <c r="Q12" s="641">
        <f t="shared" si="1"/>
        <v>0</v>
      </c>
      <c r="R12" s="641"/>
      <c r="S12" s="635">
        <f t="shared" si="2"/>
        <v>0</v>
      </c>
      <c r="T12" s="978"/>
      <c r="U12" s="611"/>
      <c r="V12" s="660">
        <f t="shared" si="3"/>
        <v>555</v>
      </c>
      <c r="W12" s="697">
        <f t="shared" si="7"/>
        <v>0</v>
      </c>
      <c r="X12" s="657">
        <f t="shared" si="4"/>
        <v>555</v>
      </c>
      <c r="Y12" s="19"/>
      <c r="Z12" s="19"/>
      <c r="AA12" s="19"/>
    </row>
    <row r="13" spans="1:27" ht="15">
      <c r="A13">
        <v>1</v>
      </c>
      <c r="B13" s="32">
        <f t="shared" si="5"/>
        <v>5</v>
      </c>
      <c r="C13" s="42">
        <v>2</v>
      </c>
      <c r="D13" s="695" t="s">
        <v>116</v>
      </c>
      <c r="E13" s="130"/>
      <c r="F13" s="603">
        <v>41000</v>
      </c>
      <c r="G13" s="604">
        <v>15000</v>
      </c>
      <c r="H13" s="604">
        <v>3000</v>
      </c>
      <c r="I13" s="604"/>
      <c r="J13" s="642">
        <f t="shared" si="6"/>
        <v>59000</v>
      </c>
      <c r="K13" s="647">
        <f>SUM(K14:K15)</f>
        <v>7631</v>
      </c>
      <c r="L13" s="645">
        <f t="shared" si="0"/>
        <v>66631</v>
      </c>
      <c r="M13" s="972">
        <v>15677</v>
      </c>
      <c r="N13" s="605"/>
      <c r="O13" s="606"/>
      <c r="P13" s="604"/>
      <c r="Q13" s="642">
        <f t="shared" si="1"/>
        <v>0</v>
      </c>
      <c r="R13" s="647"/>
      <c r="S13" s="645">
        <f t="shared" si="2"/>
        <v>0</v>
      </c>
      <c r="T13" s="978"/>
      <c r="U13" s="605"/>
      <c r="V13" s="671">
        <f t="shared" si="3"/>
        <v>59000</v>
      </c>
      <c r="W13" s="647">
        <f t="shared" si="7"/>
        <v>7631</v>
      </c>
      <c r="X13" s="645">
        <f t="shared" si="4"/>
        <v>66631</v>
      </c>
      <c r="Y13" s="19"/>
      <c r="Z13" s="19"/>
      <c r="AA13" s="19"/>
    </row>
    <row r="14" spans="2:27" s="594" customFormat="1" ht="14.25">
      <c r="B14" s="513">
        <f t="shared" si="5"/>
        <v>6</v>
      </c>
      <c r="C14" s="518"/>
      <c r="D14" s="518"/>
      <c r="E14" s="683" t="s">
        <v>390</v>
      </c>
      <c r="F14" s="608">
        <v>41000</v>
      </c>
      <c r="G14" s="609">
        <v>15000</v>
      </c>
      <c r="H14" s="610">
        <f>H13-H15</f>
        <v>2008</v>
      </c>
      <c r="I14" s="609"/>
      <c r="J14" s="609">
        <f t="shared" si="6"/>
        <v>58008</v>
      </c>
      <c r="K14" s="609">
        <v>7631</v>
      </c>
      <c r="L14" s="637">
        <f t="shared" si="0"/>
        <v>65639</v>
      </c>
      <c r="M14" s="972">
        <v>15677</v>
      </c>
      <c r="N14" s="611"/>
      <c r="O14" s="614"/>
      <c r="P14" s="615"/>
      <c r="Q14" s="641">
        <f>SUM(O14:P14)</f>
        <v>0</v>
      </c>
      <c r="R14" s="641"/>
      <c r="S14" s="635">
        <f t="shared" si="2"/>
        <v>0</v>
      </c>
      <c r="T14" s="978"/>
      <c r="U14" s="611"/>
      <c r="V14" s="660">
        <f t="shared" si="3"/>
        <v>58008</v>
      </c>
      <c r="W14" s="697">
        <f t="shared" si="7"/>
        <v>7631</v>
      </c>
      <c r="X14" s="657">
        <f t="shared" si="4"/>
        <v>65639</v>
      </c>
      <c r="Y14" s="19"/>
      <c r="Z14" s="19"/>
      <c r="AA14" s="19"/>
    </row>
    <row r="15" spans="2:27" s="594" customFormat="1" ht="14.25">
      <c r="B15" s="513">
        <f t="shared" si="5"/>
        <v>7</v>
      </c>
      <c r="C15" s="518"/>
      <c r="D15" s="518"/>
      <c r="E15" s="683" t="s">
        <v>360</v>
      </c>
      <c r="F15" s="608"/>
      <c r="G15" s="609"/>
      <c r="H15" s="610">
        <v>992</v>
      </c>
      <c r="I15" s="609"/>
      <c r="J15" s="609">
        <f t="shared" si="6"/>
        <v>992</v>
      </c>
      <c r="K15" s="609"/>
      <c r="L15" s="637">
        <f t="shared" si="0"/>
        <v>992</v>
      </c>
      <c r="M15" s="972"/>
      <c r="N15" s="611"/>
      <c r="O15" s="614"/>
      <c r="P15" s="615"/>
      <c r="Q15" s="641">
        <f t="shared" si="1"/>
        <v>0</v>
      </c>
      <c r="R15" s="641"/>
      <c r="S15" s="635">
        <f t="shared" si="2"/>
        <v>0</v>
      </c>
      <c r="T15" s="978"/>
      <c r="U15" s="611"/>
      <c r="V15" s="660">
        <f t="shared" si="3"/>
        <v>992</v>
      </c>
      <c r="W15" s="697">
        <f t="shared" si="7"/>
        <v>0</v>
      </c>
      <c r="X15" s="657">
        <f t="shared" si="4"/>
        <v>992</v>
      </c>
      <c r="Y15" s="19"/>
      <c r="Z15" s="19"/>
      <c r="AA15" s="19"/>
    </row>
    <row r="16" spans="2:27" ht="15">
      <c r="B16" s="513">
        <f t="shared" si="5"/>
        <v>8</v>
      </c>
      <c r="C16" s="42">
        <v>3</v>
      </c>
      <c r="D16" s="695" t="s">
        <v>163</v>
      </c>
      <c r="E16" s="130"/>
      <c r="F16" s="624">
        <v>17000</v>
      </c>
      <c r="G16" s="624">
        <v>6500</v>
      </c>
      <c r="H16" s="624">
        <v>500</v>
      </c>
      <c r="I16" s="604"/>
      <c r="J16" s="642">
        <f t="shared" si="6"/>
        <v>24000</v>
      </c>
      <c r="K16" s="647"/>
      <c r="L16" s="645">
        <f t="shared" si="0"/>
        <v>24000</v>
      </c>
      <c r="M16" s="972">
        <v>7740</v>
      </c>
      <c r="N16" s="605"/>
      <c r="O16" s="626"/>
      <c r="P16" s="604"/>
      <c r="Q16" s="642">
        <f t="shared" si="1"/>
        <v>0</v>
      </c>
      <c r="R16" s="647"/>
      <c r="S16" s="645">
        <f t="shared" si="2"/>
        <v>0</v>
      </c>
      <c r="T16" s="978"/>
      <c r="U16" s="605"/>
      <c r="V16" s="671">
        <f t="shared" si="3"/>
        <v>24000</v>
      </c>
      <c r="W16" s="647">
        <f t="shared" si="7"/>
        <v>0</v>
      </c>
      <c r="X16" s="645">
        <f t="shared" si="4"/>
        <v>24000</v>
      </c>
      <c r="Y16" s="19"/>
      <c r="Z16" s="19"/>
      <c r="AA16" s="19"/>
    </row>
    <row r="17" spans="2:27" ht="15">
      <c r="B17" s="513">
        <f t="shared" si="5"/>
        <v>9</v>
      </c>
      <c r="C17" s="37">
        <v>4</v>
      </c>
      <c r="D17" s="698" t="s">
        <v>117</v>
      </c>
      <c r="E17" s="131"/>
      <c r="F17" s="624">
        <f>F18</f>
        <v>0</v>
      </c>
      <c r="G17" s="625">
        <f>G18</f>
        <v>0</v>
      </c>
      <c r="H17" s="625">
        <f>H18</f>
        <v>31000</v>
      </c>
      <c r="I17" s="625"/>
      <c r="J17" s="642">
        <f t="shared" si="6"/>
        <v>31000</v>
      </c>
      <c r="K17" s="647">
        <f>K18</f>
        <v>12500</v>
      </c>
      <c r="L17" s="645">
        <f t="shared" si="0"/>
        <v>43500</v>
      </c>
      <c r="M17" s="972">
        <v>18122</v>
      </c>
      <c r="N17" s="605"/>
      <c r="O17" s="626"/>
      <c r="P17" s="625"/>
      <c r="Q17" s="642">
        <f t="shared" si="1"/>
        <v>0</v>
      </c>
      <c r="R17" s="647"/>
      <c r="S17" s="645">
        <f t="shared" si="2"/>
        <v>0</v>
      </c>
      <c r="T17" s="978"/>
      <c r="U17" s="605"/>
      <c r="V17" s="671">
        <f t="shared" si="3"/>
        <v>31000</v>
      </c>
      <c r="W17" s="647">
        <f t="shared" si="7"/>
        <v>12500</v>
      </c>
      <c r="X17" s="645">
        <f t="shared" si="4"/>
        <v>43500</v>
      </c>
      <c r="Y17" s="19"/>
      <c r="Z17" s="19"/>
      <c r="AA17" s="19"/>
    </row>
    <row r="18" spans="2:27" s="594" customFormat="1" ht="15">
      <c r="B18" s="513">
        <f t="shared" si="5"/>
        <v>10</v>
      </c>
      <c r="C18" s="518"/>
      <c r="D18" s="518"/>
      <c r="E18" s="684" t="s">
        <v>323</v>
      </c>
      <c r="F18" s="699"/>
      <c r="G18" s="699"/>
      <c r="H18" s="699">
        <v>31000</v>
      </c>
      <c r="I18" s="699"/>
      <c r="J18" s="641">
        <f t="shared" si="6"/>
        <v>31000</v>
      </c>
      <c r="K18" s="641">
        <v>12500</v>
      </c>
      <c r="L18" s="635">
        <f t="shared" si="0"/>
        <v>43500</v>
      </c>
      <c r="M18" s="972">
        <v>18122</v>
      </c>
      <c r="N18" s="700"/>
      <c r="O18" s="627"/>
      <c r="P18" s="628"/>
      <c r="Q18" s="641">
        <f t="shared" si="1"/>
        <v>0</v>
      </c>
      <c r="R18" s="641"/>
      <c r="S18" s="635">
        <f t="shared" si="2"/>
        <v>0</v>
      </c>
      <c r="T18" s="978"/>
      <c r="U18" s="701"/>
      <c r="V18" s="660">
        <f t="shared" si="3"/>
        <v>31000</v>
      </c>
      <c r="W18" s="697">
        <f t="shared" si="7"/>
        <v>12500</v>
      </c>
      <c r="X18" s="657">
        <f t="shared" si="4"/>
        <v>43500</v>
      </c>
      <c r="Y18" s="19"/>
      <c r="Z18" s="19"/>
      <c r="AA18" s="19"/>
    </row>
    <row r="19" spans="2:27" ht="15">
      <c r="B19" s="513">
        <f t="shared" si="5"/>
        <v>11</v>
      </c>
      <c r="C19" s="37">
        <v>5</v>
      </c>
      <c r="D19" s="698" t="s">
        <v>168</v>
      </c>
      <c r="E19" s="131"/>
      <c r="F19" s="624">
        <f>F20</f>
        <v>6340</v>
      </c>
      <c r="G19" s="625">
        <f>G20</f>
        <v>2251</v>
      </c>
      <c r="H19" s="625">
        <f>H20</f>
        <v>1409</v>
      </c>
      <c r="I19" s="625"/>
      <c r="J19" s="642">
        <f t="shared" si="6"/>
        <v>10000</v>
      </c>
      <c r="K19" s="647">
        <f>K20</f>
        <v>3000</v>
      </c>
      <c r="L19" s="645">
        <f t="shared" si="0"/>
        <v>13000</v>
      </c>
      <c r="M19" s="972">
        <v>3210</v>
      </c>
      <c r="N19" s="605"/>
      <c r="O19" s="626"/>
      <c r="P19" s="625"/>
      <c r="Q19" s="642">
        <f t="shared" si="1"/>
        <v>0</v>
      </c>
      <c r="R19" s="647"/>
      <c r="S19" s="645">
        <f t="shared" si="2"/>
        <v>0</v>
      </c>
      <c r="T19" s="978"/>
      <c r="U19" s="605"/>
      <c r="V19" s="671">
        <f t="shared" si="3"/>
        <v>10000</v>
      </c>
      <c r="W19" s="647">
        <f t="shared" si="7"/>
        <v>3000</v>
      </c>
      <c r="X19" s="645">
        <f t="shared" si="4"/>
        <v>13000</v>
      </c>
      <c r="Y19" s="19"/>
      <c r="Z19" s="19"/>
      <c r="AA19" s="19"/>
    </row>
    <row r="20" spans="2:27" s="594" customFormat="1" ht="14.25">
      <c r="B20" s="513">
        <f t="shared" si="5"/>
        <v>12</v>
      </c>
      <c r="C20" s="514"/>
      <c r="D20" s="686"/>
      <c r="E20" s="687" t="s">
        <v>299</v>
      </c>
      <c r="F20" s="699">
        <v>6340</v>
      </c>
      <c r="G20" s="699">
        <v>2251</v>
      </c>
      <c r="H20" s="699">
        <v>1409</v>
      </c>
      <c r="I20" s="699"/>
      <c r="J20" s="641">
        <f t="shared" si="6"/>
        <v>10000</v>
      </c>
      <c r="K20" s="641">
        <v>3000</v>
      </c>
      <c r="L20" s="635">
        <f t="shared" si="0"/>
        <v>13000</v>
      </c>
      <c r="M20" s="972">
        <v>3210</v>
      </c>
      <c r="N20" s="702"/>
      <c r="O20" s="629"/>
      <c r="P20" s="641"/>
      <c r="Q20" s="641">
        <f t="shared" si="1"/>
        <v>0</v>
      </c>
      <c r="R20" s="641"/>
      <c r="S20" s="635">
        <f t="shared" si="2"/>
        <v>0</v>
      </c>
      <c r="T20" s="978"/>
      <c r="U20" s="611"/>
      <c r="V20" s="660">
        <f t="shared" si="3"/>
        <v>10000</v>
      </c>
      <c r="W20" s="697">
        <f t="shared" si="7"/>
        <v>3000</v>
      </c>
      <c r="X20" s="657">
        <f t="shared" si="4"/>
        <v>13000</v>
      </c>
      <c r="Y20" s="19"/>
      <c r="Z20" s="19"/>
      <c r="AA20" s="19"/>
    </row>
    <row r="21" spans="2:27" ht="15">
      <c r="B21" s="513">
        <f t="shared" si="5"/>
        <v>13</v>
      </c>
      <c r="C21" s="37">
        <v>6</v>
      </c>
      <c r="D21" s="698" t="s">
        <v>233</v>
      </c>
      <c r="E21" s="131"/>
      <c r="F21" s="624"/>
      <c r="G21" s="624"/>
      <c r="H21" s="624">
        <v>90000</v>
      </c>
      <c r="I21" s="625"/>
      <c r="J21" s="642">
        <f t="shared" si="6"/>
        <v>90000</v>
      </c>
      <c r="K21" s="647">
        <f>SUM(K22:K26)</f>
        <v>55584</v>
      </c>
      <c r="L21" s="645">
        <f t="shared" si="0"/>
        <v>145584</v>
      </c>
      <c r="M21" s="972">
        <v>23758</v>
      </c>
      <c r="N21" s="605"/>
      <c r="O21" s="626">
        <f>O24+O25</f>
        <v>9891</v>
      </c>
      <c r="P21" s="625"/>
      <c r="Q21" s="642">
        <f t="shared" si="1"/>
        <v>9891</v>
      </c>
      <c r="R21" s="647"/>
      <c r="S21" s="645">
        <f t="shared" si="2"/>
        <v>9891</v>
      </c>
      <c r="T21" s="978"/>
      <c r="U21" s="605"/>
      <c r="V21" s="671">
        <f t="shared" si="3"/>
        <v>99891</v>
      </c>
      <c r="W21" s="647">
        <f>K21+R21</f>
        <v>55584</v>
      </c>
      <c r="X21" s="645">
        <f t="shared" si="4"/>
        <v>155475</v>
      </c>
      <c r="Y21" s="19"/>
      <c r="Z21" s="19"/>
      <c r="AA21" s="19"/>
    </row>
    <row r="22" spans="2:27" s="594" customFormat="1" ht="14.25">
      <c r="B22" s="513">
        <f t="shared" si="5"/>
        <v>14</v>
      </c>
      <c r="C22" s="518"/>
      <c r="D22" s="518"/>
      <c r="E22" s="683" t="s">
        <v>390</v>
      </c>
      <c r="F22" s="608"/>
      <c r="G22" s="609"/>
      <c r="H22" s="610">
        <f>H21-H26</f>
        <v>80181</v>
      </c>
      <c r="I22" s="609"/>
      <c r="J22" s="609">
        <f t="shared" si="6"/>
        <v>80181</v>
      </c>
      <c r="K22" s="609">
        <v>50000</v>
      </c>
      <c r="L22" s="637">
        <f>J22+K22</f>
        <v>130181</v>
      </c>
      <c r="M22" s="972">
        <v>23758</v>
      </c>
      <c r="N22" s="611"/>
      <c r="O22" s="614"/>
      <c r="P22" s="615"/>
      <c r="Q22" s="641">
        <f>SUM(O22:P22)</f>
        <v>0</v>
      </c>
      <c r="R22" s="641"/>
      <c r="S22" s="635">
        <f t="shared" si="2"/>
        <v>0</v>
      </c>
      <c r="T22" s="978"/>
      <c r="U22" s="611"/>
      <c r="V22" s="660">
        <f t="shared" si="3"/>
        <v>80181</v>
      </c>
      <c r="W22" s="697">
        <f>K22+R22</f>
        <v>50000</v>
      </c>
      <c r="X22" s="657">
        <f t="shared" si="4"/>
        <v>130181</v>
      </c>
      <c r="Y22" s="19"/>
      <c r="Z22" s="19"/>
      <c r="AA22" s="19"/>
    </row>
    <row r="23" spans="2:27" s="594" customFormat="1" ht="14.25">
      <c r="B23" s="513">
        <f t="shared" si="5"/>
        <v>15</v>
      </c>
      <c r="C23" s="518"/>
      <c r="D23" s="518"/>
      <c r="E23" s="683" t="s">
        <v>426</v>
      </c>
      <c r="F23" s="608"/>
      <c r="G23" s="608"/>
      <c r="H23" s="744"/>
      <c r="I23" s="608"/>
      <c r="J23" s="609"/>
      <c r="K23" s="609">
        <v>5584</v>
      </c>
      <c r="L23" s="637">
        <f>J23+K23</f>
        <v>5584</v>
      </c>
      <c r="M23" s="972"/>
      <c r="N23" s="611"/>
      <c r="O23" s="614"/>
      <c r="P23" s="615"/>
      <c r="Q23" s="641"/>
      <c r="R23" s="641"/>
      <c r="S23" s="635"/>
      <c r="T23" s="978"/>
      <c r="U23" s="611"/>
      <c r="V23" s="660">
        <f t="shared" si="3"/>
        <v>0</v>
      </c>
      <c r="W23" s="697">
        <f>K23+R23</f>
        <v>5584</v>
      </c>
      <c r="X23" s="657">
        <f t="shared" si="4"/>
        <v>5584</v>
      </c>
      <c r="Y23" s="19"/>
      <c r="Z23" s="19"/>
      <c r="AA23" s="19"/>
    </row>
    <row r="24" spans="2:27" s="594" customFormat="1" ht="14.25">
      <c r="B24" s="513">
        <f t="shared" si="5"/>
        <v>16</v>
      </c>
      <c r="C24" s="514"/>
      <c r="D24" s="686"/>
      <c r="E24" s="519" t="s">
        <v>361</v>
      </c>
      <c r="F24" s="699"/>
      <c r="G24" s="699"/>
      <c r="H24" s="699"/>
      <c r="I24" s="699"/>
      <c r="J24" s="641">
        <f t="shared" si="6"/>
        <v>0</v>
      </c>
      <c r="K24" s="641"/>
      <c r="L24" s="635">
        <f t="shared" si="0"/>
        <v>0</v>
      </c>
      <c r="M24" s="972"/>
      <c r="N24" s="702"/>
      <c r="O24" s="629">
        <v>9500</v>
      </c>
      <c r="P24" s="641"/>
      <c r="Q24" s="641">
        <f t="shared" si="1"/>
        <v>9500</v>
      </c>
      <c r="R24" s="641"/>
      <c r="S24" s="635">
        <f t="shared" si="2"/>
        <v>9500</v>
      </c>
      <c r="T24" s="978"/>
      <c r="U24" s="611"/>
      <c r="V24" s="660">
        <f t="shared" si="3"/>
        <v>9500</v>
      </c>
      <c r="W24" s="697">
        <f>K24+R24</f>
        <v>0</v>
      </c>
      <c r="X24" s="657">
        <f t="shared" si="4"/>
        <v>9500</v>
      </c>
      <c r="Y24" s="19"/>
      <c r="Z24" s="19"/>
      <c r="AA24" s="19"/>
    </row>
    <row r="25" spans="2:27" s="594" customFormat="1" ht="14.25">
      <c r="B25" s="513">
        <f t="shared" si="5"/>
        <v>17</v>
      </c>
      <c r="C25" s="514"/>
      <c r="D25" s="688"/>
      <c r="E25" s="519" t="s">
        <v>362</v>
      </c>
      <c r="F25" s="699"/>
      <c r="G25" s="699"/>
      <c r="H25" s="699"/>
      <c r="I25" s="699"/>
      <c r="J25" s="641">
        <f t="shared" si="6"/>
        <v>0</v>
      </c>
      <c r="K25" s="641"/>
      <c r="L25" s="635">
        <f t="shared" si="0"/>
        <v>0</v>
      </c>
      <c r="M25" s="972"/>
      <c r="N25" s="702"/>
      <c r="O25" s="629">
        <v>391</v>
      </c>
      <c r="P25" s="641"/>
      <c r="Q25" s="641">
        <f t="shared" si="1"/>
        <v>391</v>
      </c>
      <c r="R25" s="641"/>
      <c r="S25" s="635">
        <f t="shared" si="2"/>
        <v>391</v>
      </c>
      <c r="T25" s="978">
        <v>391</v>
      </c>
      <c r="U25" s="611"/>
      <c r="V25" s="660">
        <f t="shared" si="3"/>
        <v>391</v>
      </c>
      <c r="W25" s="697">
        <f t="shared" si="7"/>
        <v>0</v>
      </c>
      <c r="X25" s="657">
        <f t="shared" si="4"/>
        <v>391</v>
      </c>
      <c r="Y25" s="19"/>
      <c r="Z25" s="19"/>
      <c r="AA25" s="19"/>
    </row>
    <row r="26" spans="2:27" s="594" customFormat="1" ht="14.25">
      <c r="B26" s="513">
        <f t="shared" si="5"/>
        <v>18</v>
      </c>
      <c r="C26" s="518"/>
      <c r="D26" s="518"/>
      <c r="E26" s="683" t="s">
        <v>360</v>
      </c>
      <c r="F26" s="608"/>
      <c r="G26" s="609"/>
      <c r="H26" s="610">
        <f>9618+201</f>
        <v>9819</v>
      </c>
      <c r="I26" s="609"/>
      <c r="J26" s="609">
        <f t="shared" si="6"/>
        <v>9819</v>
      </c>
      <c r="K26" s="609"/>
      <c r="L26" s="637">
        <f t="shared" si="0"/>
        <v>9819</v>
      </c>
      <c r="M26" s="972">
        <v>651</v>
      </c>
      <c r="N26" s="611"/>
      <c r="O26" s="614"/>
      <c r="P26" s="615"/>
      <c r="Q26" s="641">
        <f t="shared" si="1"/>
        <v>0</v>
      </c>
      <c r="R26" s="641"/>
      <c r="S26" s="635">
        <f t="shared" si="2"/>
        <v>0</v>
      </c>
      <c r="T26" s="978"/>
      <c r="U26" s="611"/>
      <c r="V26" s="660">
        <f t="shared" si="3"/>
        <v>9819</v>
      </c>
      <c r="W26" s="697">
        <f t="shared" si="7"/>
        <v>0</v>
      </c>
      <c r="X26" s="657">
        <f t="shared" si="4"/>
        <v>9819</v>
      </c>
      <c r="Y26" s="19"/>
      <c r="Z26" s="19"/>
      <c r="AA26" s="19"/>
    </row>
    <row r="27" spans="2:27" ht="15">
      <c r="B27" s="513">
        <f t="shared" si="5"/>
        <v>19</v>
      </c>
      <c r="C27" s="37">
        <v>7</v>
      </c>
      <c r="D27" s="698" t="s">
        <v>234</v>
      </c>
      <c r="E27" s="131"/>
      <c r="F27" s="624">
        <f>F28</f>
        <v>980</v>
      </c>
      <c r="G27" s="624">
        <f>G28</f>
        <v>348</v>
      </c>
      <c r="H27" s="624">
        <f>SUM(H28:H31)</f>
        <v>4072</v>
      </c>
      <c r="I27" s="624"/>
      <c r="J27" s="642">
        <f t="shared" si="6"/>
        <v>5400</v>
      </c>
      <c r="K27" s="647">
        <f>SUM(K28:K31)</f>
        <v>8000</v>
      </c>
      <c r="L27" s="645">
        <f t="shared" si="0"/>
        <v>13400</v>
      </c>
      <c r="M27" s="972">
        <v>1978</v>
      </c>
      <c r="N27" s="605"/>
      <c r="O27" s="626"/>
      <c r="P27" s="625"/>
      <c r="Q27" s="642">
        <f t="shared" si="1"/>
        <v>0</v>
      </c>
      <c r="R27" s="647"/>
      <c r="S27" s="645">
        <f t="shared" si="2"/>
        <v>0</v>
      </c>
      <c r="T27" s="978"/>
      <c r="U27" s="605"/>
      <c r="V27" s="671">
        <f t="shared" si="3"/>
        <v>5400</v>
      </c>
      <c r="W27" s="647">
        <f t="shared" si="7"/>
        <v>8000</v>
      </c>
      <c r="X27" s="645">
        <f t="shared" si="4"/>
        <v>13400</v>
      </c>
      <c r="Y27" s="19"/>
      <c r="Z27" s="19"/>
      <c r="AA27" s="19"/>
    </row>
    <row r="28" spans="2:27" s="594" customFormat="1" ht="15">
      <c r="B28" s="513">
        <f t="shared" si="5"/>
        <v>20</v>
      </c>
      <c r="C28" s="514"/>
      <c r="D28" s="689"/>
      <c r="E28" s="684" t="s">
        <v>323</v>
      </c>
      <c r="F28" s="699">
        <v>980</v>
      </c>
      <c r="G28" s="699">
        <v>348</v>
      </c>
      <c r="H28" s="699">
        <v>2172</v>
      </c>
      <c r="I28" s="703"/>
      <c r="J28" s="641">
        <f t="shared" si="6"/>
        <v>3500</v>
      </c>
      <c r="K28" s="641"/>
      <c r="L28" s="635">
        <f t="shared" si="0"/>
        <v>3500</v>
      </c>
      <c r="M28" s="972">
        <v>365</v>
      </c>
      <c r="N28" s="700"/>
      <c r="O28" s="627"/>
      <c r="P28" s="628"/>
      <c r="Q28" s="641">
        <f t="shared" si="1"/>
        <v>0</v>
      </c>
      <c r="R28" s="641"/>
      <c r="S28" s="635">
        <f t="shared" si="2"/>
        <v>0</v>
      </c>
      <c r="T28" s="978"/>
      <c r="U28" s="701"/>
      <c r="V28" s="660">
        <f t="shared" si="3"/>
        <v>3500</v>
      </c>
      <c r="W28" s="697">
        <f t="shared" si="7"/>
        <v>0</v>
      </c>
      <c r="X28" s="657">
        <f t="shared" si="4"/>
        <v>3500</v>
      </c>
      <c r="Y28" s="19"/>
      <c r="Z28" s="19"/>
      <c r="AA28" s="19"/>
    </row>
    <row r="29" spans="2:27" s="594" customFormat="1" ht="15">
      <c r="B29" s="513">
        <f t="shared" si="5"/>
        <v>21</v>
      </c>
      <c r="C29" s="514"/>
      <c r="D29" s="689"/>
      <c r="E29" s="684" t="s">
        <v>348</v>
      </c>
      <c r="F29" s="699"/>
      <c r="G29" s="699"/>
      <c r="H29" s="699">
        <v>0</v>
      </c>
      <c r="I29" s="703"/>
      <c r="J29" s="641">
        <f t="shared" si="6"/>
        <v>0</v>
      </c>
      <c r="K29" s="641">
        <v>8000</v>
      </c>
      <c r="L29" s="635">
        <f t="shared" si="0"/>
        <v>8000</v>
      </c>
      <c r="M29" s="972"/>
      <c r="N29" s="700"/>
      <c r="O29" s="704"/>
      <c r="P29" s="705"/>
      <c r="Q29" s="641">
        <f t="shared" si="1"/>
        <v>0</v>
      </c>
      <c r="R29" s="641"/>
      <c r="S29" s="635">
        <f t="shared" si="2"/>
        <v>0</v>
      </c>
      <c r="T29" s="978"/>
      <c r="U29" s="701"/>
      <c r="V29" s="660">
        <f t="shared" si="3"/>
        <v>0</v>
      </c>
      <c r="W29" s="697">
        <f t="shared" si="7"/>
        <v>8000</v>
      </c>
      <c r="X29" s="657">
        <f t="shared" si="4"/>
        <v>8000</v>
      </c>
      <c r="Y29" s="19"/>
      <c r="Z29" s="19"/>
      <c r="AA29" s="19"/>
    </row>
    <row r="30" spans="2:27" s="594" customFormat="1" ht="15">
      <c r="B30" s="513">
        <f t="shared" si="5"/>
        <v>22</v>
      </c>
      <c r="C30" s="514"/>
      <c r="D30" s="689"/>
      <c r="E30" s="684" t="s">
        <v>349</v>
      </c>
      <c r="F30" s="699"/>
      <c r="G30" s="699"/>
      <c r="H30" s="699">
        <v>0</v>
      </c>
      <c r="I30" s="703"/>
      <c r="J30" s="641">
        <f t="shared" si="6"/>
        <v>0</v>
      </c>
      <c r="K30" s="641"/>
      <c r="L30" s="635">
        <f t="shared" si="0"/>
        <v>0</v>
      </c>
      <c r="M30" s="972"/>
      <c r="N30" s="700"/>
      <c r="O30" s="704"/>
      <c r="P30" s="705"/>
      <c r="Q30" s="641">
        <f t="shared" si="1"/>
        <v>0</v>
      </c>
      <c r="R30" s="641"/>
      <c r="S30" s="635">
        <f t="shared" si="2"/>
        <v>0</v>
      </c>
      <c r="T30" s="978"/>
      <c r="U30" s="701"/>
      <c r="V30" s="660">
        <f t="shared" si="3"/>
        <v>0</v>
      </c>
      <c r="W30" s="697">
        <f t="shared" si="7"/>
        <v>0</v>
      </c>
      <c r="X30" s="657">
        <f t="shared" si="4"/>
        <v>0</v>
      </c>
      <c r="Y30" s="19"/>
      <c r="Z30" s="19"/>
      <c r="AA30" s="19"/>
    </row>
    <row r="31" spans="2:27" s="594" customFormat="1" ht="14.25">
      <c r="B31" s="513">
        <f t="shared" si="5"/>
        <v>23</v>
      </c>
      <c r="C31" s="518"/>
      <c r="D31" s="518"/>
      <c r="E31" s="683" t="s">
        <v>360</v>
      </c>
      <c r="F31" s="608"/>
      <c r="G31" s="609"/>
      <c r="H31" s="610">
        <v>1900</v>
      </c>
      <c r="I31" s="609"/>
      <c r="J31" s="609">
        <f t="shared" si="6"/>
        <v>1900</v>
      </c>
      <c r="K31" s="609"/>
      <c r="L31" s="637">
        <f t="shared" si="0"/>
        <v>1900</v>
      </c>
      <c r="M31" s="972">
        <v>1613</v>
      </c>
      <c r="N31" s="611"/>
      <c r="O31" s="614"/>
      <c r="P31" s="615"/>
      <c r="Q31" s="641">
        <f t="shared" si="1"/>
        <v>0</v>
      </c>
      <c r="R31" s="641"/>
      <c r="S31" s="635">
        <f t="shared" si="2"/>
        <v>0</v>
      </c>
      <c r="T31" s="978"/>
      <c r="U31" s="611"/>
      <c r="V31" s="660">
        <f t="shared" si="3"/>
        <v>1900</v>
      </c>
      <c r="W31" s="697">
        <f t="shared" si="7"/>
        <v>0</v>
      </c>
      <c r="X31" s="657">
        <f t="shared" si="4"/>
        <v>1900</v>
      </c>
      <c r="Y31" s="19"/>
      <c r="Z31" s="19"/>
      <c r="AA31" s="19"/>
    </row>
    <row r="32" spans="2:27" ht="15">
      <c r="B32" s="32">
        <f t="shared" si="5"/>
        <v>24</v>
      </c>
      <c r="C32" s="37">
        <v>8</v>
      </c>
      <c r="D32" s="706" t="s">
        <v>81</v>
      </c>
      <c r="E32" s="131"/>
      <c r="F32" s="624"/>
      <c r="G32" s="625"/>
      <c r="H32" s="625"/>
      <c r="I32" s="625">
        <v>174000</v>
      </c>
      <c r="J32" s="642">
        <f t="shared" si="6"/>
        <v>174000</v>
      </c>
      <c r="K32" s="647"/>
      <c r="L32" s="645">
        <f t="shared" si="0"/>
        <v>174000</v>
      </c>
      <c r="M32" s="972">
        <v>94687</v>
      </c>
      <c r="N32" s="605"/>
      <c r="O32" s="626"/>
      <c r="P32" s="625"/>
      <c r="Q32" s="642">
        <f t="shared" si="1"/>
        <v>0</v>
      </c>
      <c r="R32" s="647"/>
      <c r="S32" s="645">
        <f t="shared" si="2"/>
        <v>0</v>
      </c>
      <c r="T32" s="978"/>
      <c r="U32" s="605"/>
      <c r="V32" s="670">
        <f t="shared" si="3"/>
        <v>174000</v>
      </c>
      <c r="W32" s="654">
        <f t="shared" si="7"/>
        <v>0</v>
      </c>
      <c r="X32" s="656">
        <f t="shared" si="4"/>
        <v>174000</v>
      </c>
      <c r="Y32" s="19"/>
      <c r="Z32" s="19"/>
      <c r="AA32" s="19"/>
    </row>
    <row r="33" spans="2:27" s="594" customFormat="1" ht="14.25">
      <c r="B33" s="513">
        <f t="shared" si="5"/>
        <v>25</v>
      </c>
      <c r="C33" s="518"/>
      <c r="D33" s="518"/>
      <c r="E33" s="683" t="s">
        <v>390</v>
      </c>
      <c r="F33" s="608"/>
      <c r="G33" s="609"/>
      <c r="H33" s="610"/>
      <c r="I33" s="609">
        <f>I32-I34</f>
        <v>137167</v>
      </c>
      <c r="J33" s="609">
        <f>SUM(F33:I33)</f>
        <v>137167</v>
      </c>
      <c r="K33" s="609"/>
      <c r="L33" s="637">
        <f t="shared" si="0"/>
        <v>137167</v>
      </c>
      <c r="M33" s="972">
        <f>M32-M34</f>
        <v>57854</v>
      </c>
      <c r="N33" s="611"/>
      <c r="O33" s="614"/>
      <c r="P33" s="615"/>
      <c r="Q33" s="641">
        <f>SUM(O33:P33)</f>
        <v>0</v>
      </c>
      <c r="R33" s="641"/>
      <c r="S33" s="635">
        <f t="shared" si="2"/>
        <v>0</v>
      </c>
      <c r="T33" s="978"/>
      <c r="U33" s="611"/>
      <c r="V33" s="707">
        <f t="shared" si="3"/>
        <v>137167</v>
      </c>
      <c r="W33" s="703">
        <f t="shared" si="7"/>
        <v>0</v>
      </c>
      <c r="X33" s="708">
        <f t="shared" si="4"/>
        <v>137167</v>
      </c>
      <c r="Y33" s="19"/>
      <c r="Z33" s="19"/>
      <c r="AA33" s="19"/>
    </row>
    <row r="34" spans="2:27" s="594" customFormat="1" ht="15" thickBot="1">
      <c r="B34" s="690">
        <f>B33+1</f>
        <v>26</v>
      </c>
      <c r="C34" s="597"/>
      <c r="D34" s="597"/>
      <c r="E34" s="691" t="s">
        <v>360</v>
      </c>
      <c r="F34" s="630"/>
      <c r="G34" s="631"/>
      <c r="H34" s="632"/>
      <c r="I34" s="631">
        <v>36833</v>
      </c>
      <c r="J34" s="631">
        <f t="shared" si="6"/>
        <v>36833</v>
      </c>
      <c r="K34" s="631"/>
      <c r="L34" s="638">
        <f t="shared" si="0"/>
        <v>36833</v>
      </c>
      <c r="M34" s="979">
        <v>36833</v>
      </c>
      <c r="N34" s="783"/>
      <c r="O34" s="633"/>
      <c r="P34" s="634"/>
      <c r="Q34" s="631">
        <f>SUM(O34:P34)</f>
        <v>0</v>
      </c>
      <c r="R34" s="631"/>
      <c r="S34" s="638">
        <f t="shared" si="2"/>
        <v>0</v>
      </c>
      <c r="T34" s="980"/>
      <c r="U34" s="611"/>
      <c r="V34" s="709">
        <f t="shared" si="3"/>
        <v>36833</v>
      </c>
      <c r="W34" s="632">
        <f t="shared" si="7"/>
        <v>0</v>
      </c>
      <c r="X34" s="710">
        <f t="shared" si="4"/>
        <v>36833</v>
      </c>
      <c r="Y34" s="19"/>
      <c r="Z34" s="19"/>
      <c r="AA34" s="19"/>
    </row>
    <row r="35" spans="8:24" ht="12.75">
      <c r="H35" s="19"/>
      <c r="J35" s="36"/>
      <c r="K35" s="36"/>
      <c r="L35" s="36"/>
      <c r="M35" s="36"/>
      <c r="N35" s="154"/>
      <c r="V35" s="244"/>
      <c r="W35" s="156"/>
      <c r="X35" s="156"/>
    </row>
    <row r="36" spans="3:21" ht="12.75">
      <c r="C36"/>
      <c r="D36"/>
      <c r="N36"/>
      <c r="U36"/>
    </row>
    <row r="37" spans="3:21" ht="12.75">
      <c r="C37"/>
      <c r="D37"/>
      <c r="N37"/>
      <c r="U37"/>
    </row>
    <row r="38" spans="3:21" ht="12.75">
      <c r="C38"/>
      <c r="D38"/>
      <c r="N38"/>
      <c r="U38"/>
    </row>
    <row r="39" spans="3:21" ht="12.75">
      <c r="C39"/>
      <c r="D39"/>
      <c r="N39"/>
      <c r="U39"/>
    </row>
    <row r="40" spans="3:21" ht="12.75">
      <c r="C40"/>
      <c r="D40"/>
      <c r="N40"/>
      <c r="U40"/>
    </row>
    <row r="41" spans="3:21" ht="12.75">
      <c r="C41"/>
      <c r="D41"/>
      <c r="N41"/>
      <c r="U41"/>
    </row>
    <row r="42" spans="3:21" ht="12.75">
      <c r="C42"/>
      <c r="D42"/>
      <c r="N42"/>
      <c r="U42"/>
    </row>
    <row r="43" spans="3:21" ht="12.75">
      <c r="C43"/>
      <c r="D43"/>
      <c r="N43"/>
      <c r="U43"/>
    </row>
    <row r="44" spans="3:21" ht="12.75">
      <c r="C44"/>
      <c r="D44"/>
      <c r="N44"/>
      <c r="U44"/>
    </row>
    <row r="45" spans="3:21" ht="12.75">
      <c r="C45"/>
      <c r="D45"/>
      <c r="N45"/>
      <c r="U45"/>
    </row>
    <row r="46" spans="3:21" ht="12.75">
      <c r="C46"/>
      <c r="D46"/>
      <c r="N46"/>
      <c r="U46"/>
    </row>
    <row r="47" spans="3:21" ht="12.75">
      <c r="C47"/>
      <c r="D47"/>
      <c r="N47"/>
      <c r="U47"/>
    </row>
    <row r="48" spans="3:21" ht="12.75">
      <c r="C48"/>
      <c r="D48"/>
      <c r="N48"/>
      <c r="U48"/>
    </row>
    <row r="49" spans="3:21" ht="12.75">
      <c r="C49"/>
      <c r="D49"/>
      <c r="N49"/>
      <c r="U49"/>
    </row>
    <row r="50" spans="3:21" ht="12.75">
      <c r="C50"/>
      <c r="D50"/>
      <c r="N50"/>
      <c r="U50"/>
    </row>
    <row r="51" spans="3:21" ht="12.75">
      <c r="C51"/>
      <c r="D51"/>
      <c r="N51"/>
      <c r="U51"/>
    </row>
    <row r="52" spans="3:21" ht="12.75">
      <c r="C52"/>
      <c r="D52"/>
      <c r="N52"/>
      <c r="U52"/>
    </row>
    <row r="53" spans="3:21" ht="12.75">
      <c r="C53"/>
      <c r="D53"/>
      <c r="N53"/>
      <c r="U53"/>
    </row>
    <row r="54" spans="3:21" ht="12.75">
      <c r="C54"/>
      <c r="D54"/>
      <c r="N54"/>
      <c r="U54"/>
    </row>
    <row r="55" spans="3:21" ht="12.75">
      <c r="C55"/>
      <c r="D55"/>
      <c r="N55"/>
      <c r="U55"/>
    </row>
    <row r="56" spans="3:21" ht="12.75">
      <c r="C56"/>
      <c r="D56"/>
      <c r="N56"/>
      <c r="U56"/>
    </row>
    <row r="57" spans="3:21" ht="12.75">
      <c r="C57"/>
      <c r="D57"/>
      <c r="N57"/>
      <c r="U57"/>
    </row>
    <row r="58" spans="3:21" ht="12.75">
      <c r="C58"/>
      <c r="D58"/>
      <c r="N58"/>
      <c r="U58"/>
    </row>
    <row r="59" spans="3:21" ht="12.75">
      <c r="C59"/>
      <c r="D59"/>
      <c r="N59"/>
      <c r="U59"/>
    </row>
    <row r="60" spans="3:21" ht="12.75">
      <c r="C60"/>
      <c r="D60"/>
      <c r="N60"/>
      <c r="U60"/>
    </row>
    <row r="61" spans="3:21" ht="12.75">
      <c r="C61"/>
      <c r="D61"/>
      <c r="N61"/>
      <c r="U61"/>
    </row>
    <row r="62" spans="3:21" ht="12.75">
      <c r="C62"/>
      <c r="D62"/>
      <c r="N62"/>
      <c r="U62"/>
    </row>
    <row r="63" spans="3:21" ht="12.75">
      <c r="C63"/>
      <c r="D63"/>
      <c r="N63"/>
      <c r="U63"/>
    </row>
    <row r="64" spans="3:21" ht="12.75">
      <c r="C64"/>
      <c r="D64"/>
      <c r="N64"/>
      <c r="U64"/>
    </row>
    <row r="65" spans="3:21" ht="12.75">
      <c r="C65"/>
      <c r="D65"/>
      <c r="N65"/>
      <c r="U65"/>
    </row>
    <row r="66" spans="3:21" ht="12.75">
      <c r="C66"/>
      <c r="D66"/>
      <c r="N66"/>
      <c r="U66"/>
    </row>
    <row r="67" spans="3:21" ht="12.75">
      <c r="C67"/>
      <c r="D67"/>
      <c r="N67"/>
      <c r="U67"/>
    </row>
    <row r="68" spans="3:21" ht="12.75">
      <c r="C68"/>
      <c r="D68"/>
      <c r="N68"/>
      <c r="U68"/>
    </row>
    <row r="69" spans="3:21" ht="12.75">
      <c r="C69"/>
      <c r="D69"/>
      <c r="N69"/>
      <c r="U69"/>
    </row>
    <row r="70" spans="3:21" ht="12.75">
      <c r="C70"/>
      <c r="D70"/>
      <c r="N70"/>
      <c r="U70"/>
    </row>
    <row r="71" spans="3:21" ht="12.75">
      <c r="C71"/>
      <c r="D71"/>
      <c r="N71"/>
      <c r="U71"/>
    </row>
    <row r="72" spans="3:21" ht="12.75">
      <c r="C72"/>
      <c r="D72"/>
      <c r="N72"/>
      <c r="U72"/>
    </row>
    <row r="73" spans="3:21" ht="12.75">
      <c r="C73"/>
      <c r="D73"/>
      <c r="N73"/>
      <c r="U73"/>
    </row>
    <row r="74" spans="3:21" ht="12.75">
      <c r="C74"/>
      <c r="D74"/>
      <c r="N74"/>
      <c r="U74"/>
    </row>
    <row r="75" spans="3:21" ht="12.75">
      <c r="C75"/>
      <c r="D75"/>
      <c r="N75"/>
      <c r="U75"/>
    </row>
    <row r="76" spans="3:21" ht="12.75">
      <c r="C76"/>
      <c r="D76"/>
      <c r="N76"/>
      <c r="U76"/>
    </row>
    <row r="77" spans="3:21" ht="12.75">
      <c r="C77"/>
      <c r="D77"/>
      <c r="N77"/>
      <c r="U77"/>
    </row>
    <row r="78" spans="3:21" ht="12.75">
      <c r="C78"/>
      <c r="D78"/>
      <c r="N78"/>
      <c r="U78"/>
    </row>
    <row r="79" spans="3:21" ht="12.75">
      <c r="C79"/>
      <c r="D79"/>
      <c r="N79"/>
      <c r="U79"/>
    </row>
    <row r="80" spans="3:21" ht="12.75">
      <c r="C80"/>
      <c r="D80"/>
      <c r="N80"/>
      <c r="U80"/>
    </row>
    <row r="81" spans="3:21" ht="12.75">
      <c r="C81"/>
      <c r="D81"/>
      <c r="N81"/>
      <c r="U81"/>
    </row>
    <row r="82" spans="3:21" ht="12.75">
      <c r="C82"/>
      <c r="D82"/>
      <c r="N82"/>
      <c r="U82"/>
    </row>
    <row r="83" spans="3:21" ht="12.75">
      <c r="C83"/>
      <c r="D83"/>
      <c r="N83"/>
      <c r="U83"/>
    </row>
    <row r="84" spans="3:21" ht="12.75">
      <c r="C84"/>
      <c r="D84"/>
      <c r="N84"/>
      <c r="U84"/>
    </row>
    <row r="85" spans="3:21" ht="12.75">
      <c r="C85"/>
      <c r="D85"/>
      <c r="N85"/>
      <c r="U85"/>
    </row>
    <row r="86" spans="3:21" ht="12.75">
      <c r="C86"/>
      <c r="D86"/>
      <c r="N86"/>
      <c r="U86"/>
    </row>
    <row r="87" spans="3:21" ht="12.75">
      <c r="C87"/>
      <c r="D87"/>
      <c r="N87"/>
      <c r="U87"/>
    </row>
    <row r="88" spans="3:21" ht="12.75">
      <c r="C88"/>
      <c r="D88"/>
      <c r="N88"/>
      <c r="U88"/>
    </row>
    <row r="89" spans="3:21" ht="12.75">
      <c r="C89"/>
      <c r="D89"/>
      <c r="N89"/>
      <c r="U89"/>
    </row>
    <row r="90" spans="3:21" ht="12.75">
      <c r="C90"/>
      <c r="D90"/>
      <c r="N90"/>
      <c r="U90"/>
    </row>
    <row r="91" spans="3:21" ht="12.75">
      <c r="C91"/>
      <c r="D91"/>
      <c r="N91"/>
      <c r="U91"/>
    </row>
    <row r="92" spans="3:21" ht="12.75">
      <c r="C92"/>
      <c r="D92"/>
      <c r="N92"/>
      <c r="U92"/>
    </row>
    <row r="93" spans="3:21" ht="12.75">
      <c r="C93"/>
      <c r="D93"/>
      <c r="N93"/>
      <c r="U93"/>
    </row>
    <row r="94" spans="3:21" ht="12.75">
      <c r="C94"/>
      <c r="D94"/>
      <c r="N94"/>
      <c r="U94"/>
    </row>
    <row r="95" spans="3:21" ht="12.75">
      <c r="C95"/>
      <c r="D95"/>
      <c r="N95"/>
      <c r="U95"/>
    </row>
    <row r="96" spans="3:21" ht="12.75">
      <c r="C96"/>
      <c r="D96"/>
      <c r="N96"/>
      <c r="U96"/>
    </row>
    <row r="97" spans="3:21" ht="12.75">
      <c r="C97"/>
      <c r="D97"/>
      <c r="N97"/>
      <c r="U97"/>
    </row>
    <row r="98" spans="3:21" ht="12.75">
      <c r="C98"/>
      <c r="D98"/>
      <c r="N98"/>
      <c r="U98"/>
    </row>
    <row r="99" spans="3:21" ht="12.75">
      <c r="C99"/>
      <c r="D99"/>
      <c r="N99"/>
      <c r="U99"/>
    </row>
    <row r="100" spans="3:21" ht="12.75">
      <c r="C100"/>
      <c r="D100"/>
      <c r="N100"/>
      <c r="U100"/>
    </row>
    <row r="101" spans="3:21" ht="12.75">
      <c r="C101"/>
      <c r="D101"/>
      <c r="N101"/>
      <c r="U101"/>
    </row>
    <row r="102" spans="3:21" ht="12.75">
      <c r="C102"/>
      <c r="D102"/>
      <c r="N102"/>
      <c r="U102"/>
    </row>
    <row r="103" spans="3:21" ht="12.75">
      <c r="C103"/>
      <c r="D103"/>
      <c r="N103"/>
      <c r="U103"/>
    </row>
    <row r="104" spans="3:21" ht="12.75">
      <c r="C104"/>
      <c r="D104"/>
      <c r="N104"/>
      <c r="U104"/>
    </row>
    <row r="105" spans="3:21" ht="12.75">
      <c r="C105"/>
      <c r="D105"/>
      <c r="N105"/>
      <c r="U105"/>
    </row>
    <row r="106" spans="3:21" ht="12.75">
      <c r="C106"/>
      <c r="D106"/>
      <c r="N106"/>
      <c r="U106"/>
    </row>
    <row r="107" spans="3:21" ht="12.75">
      <c r="C107"/>
      <c r="D107"/>
      <c r="N107"/>
      <c r="U107"/>
    </row>
    <row r="108" spans="3:21" ht="12.75">
      <c r="C108"/>
      <c r="D108"/>
      <c r="N108"/>
      <c r="U108"/>
    </row>
    <row r="109" spans="3:21" ht="12.75">
      <c r="C109"/>
      <c r="D109"/>
      <c r="N109"/>
      <c r="U109"/>
    </row>
    <row r="110" spans="3:21" ht="12.75">
      <c r="C110"/>
      <c r="D110"/>
      <c r="N110"/>
      <c r="U110"/>
    </row>
    <row r="111" spans="3:21" ht="12.75">
      <c r="C111"/>
      <c r="D111"/>
      <c r="N111"/>
      <c r="U111"/>
    </row>
    <row r="112" spans="3:21" ht="12.75">
      <c r="C112"/>
      <c r="D112"/>
      <c r="N112"/>
      <c r="U112"/>
    </row>
    <row r="113" spans="3:21" ht="12.75">
      <c r="C113"/>
      <c r="D113"/>
      <c r="N113"/>
      <c r="U113"/>
    </row>
    <row r="114" spans="3:21" ht="12.75">
      <c r="C114"/>
      <c r="D114"/>
      <c r="N114"/>
      <c r="U114"/>
    </row>
    <row r="115" spans="3:21" ht="12.75">
      <c r="C115"/>
      <c r="D115"/>
      <c r="N115"/>
      <c r="U115"/>
    </row>
    <row r="116" spans="3:21" ht="12.75">
      <c r="C116"/>
      <c r="D116"/>
      <c r="N116"/>
      <c r="U116"/>
    </row>
    <row r="117" spans="3:21" ht="12.75">
      <c r="C117"/>
      <c r="D117"/>
      <c r="N117"/>
      <c r="U117"/>
    </row>
    <row r="118" spans="3:21" ht="12.75">
      <c r="C118"/>
      <c r="D118"/>
      <c r="N118"/>
      <c r="U118"/>
    </row>
    <row r="119" spans="3:21" ht="12.75">
      <c r="C119"/>
      <c r="D119"/>
      <c r="N119"/>
      <c r="U119"/>
    </row>
    <row r="120" spans="3:21" ht="12.75">
      <c r="C120"/>
      <c r="D120"/>
      <c r="N120"/>
      <c r="U120"/>
    </row>
    <row r="121" spans="3:21" ht="12.75">
      <c r="C121"/>
      <c r="D121"/>
      <c r="N121"/>
      <c r="U121"/>
    </row>
    <row r="122" spans="3:21" ht="12.75">
      <c r="C122"/>
      <c r="D122"/>
      <c r="N122"/>
      <c r="U122"/>
    </row>
    <row r="123" spans="3:21" ht="12.75">
      <c r="C123"/>
      <c r="D123"/>
      <c r="N123"/>
      <c r="U123"/>
    </row>
    <row r="124" spans="3:21" ht="12.75">
      <c r="C124"/>
      <c r="D124"/>
      <c r="N124"/>
      <c r="U124"/>
    </row>
    <row r="125" spans="3:21" ht="12.75">
      <c r="C125"/>
      <c r="D125"/>
      <c r="N125"/>
      <c r="U125"/>
    </row>
    <row r="126" spans="3:21" ht="12.75">
      <c r="C126"/>
      <c r="D126"/>
      <c r="N126"/>
      <c r="U126"/>
    </row>
    <row r="127" spans="3:21" ht="12.75">
      <c r="C127"/>
      <c r="D127"/>
      <c r="N127"/>
      <c r="U127"/>
    </row>
    <row r="128" spans="3:21" ht="12.75">
      <c r="C128"/>
      <c r="D128"/>
      <c r="N128"/>
      <c r="U128"/>
    </row>
    <row r="129" spans="3:21" ht="12.75">
      <c r="C129"/>
      <c r="D129"/>
      <c r="N129"/>
      <c r="U129"/>
    </row>
    <row r="130" spans="3:21" ht="12.75">
      <c r="C130"/>
      <c r="D130"/>
      <c r="N130"/>
      <c r="U130"/>
    </row>
    <row r="131" spans="3:21" ht="12.75">
      <c r="C131"/>
      <c r="D131"/>
      <c r="N131"/>
      <c r="U131"/>
    </row>
    <row r="132" spans="3:21" ht="12.75">
      <c r="C132"/>
      <c r="D132"/>
      <c r="N132"/>
      <c r="U132"/>
    </row>
    <row r="133" spans="3:21" ht="12.75">
      <c r="C133"/>
      <c r="D133"/>
      <c r="N133"/>
      <c r="U133"/>
    </row>
    <row r="134" spans="3:21" ht="12.75">
      <c r="C134"/>
      <c r="D134"/>
      <c r="N134"/>
      <c r="U134"/>
    </row>
    <row r="135" spans="3:21" ht="12.75">
      <c r="C135"/>
      <c r="D135"/>
      <c r="N135"/>
      <c r="U135"/>
    </row>
    <row r="136" spans="3:21" ht="12.75">
      <c r="C136"/>
      <c r="D136"/>
      <c r="N136"/>
      <c r="U136"/>
    </row>
    <row r="137" spans="3:21" ht="12.75">
      <c r="C137"/>
      <c r="D137"/>
      <c r="N137"/>
      <c r="U137"/>
    </row>
    <row r="138" spans="3:21" ht="12.75">
      <c r="C138"/>
      <c r="D138"/>
      <c r="N138"/>
      <c r="U138"/>
    </row>
    <row r="139" spans="3:21" ht="12.75">
      <c r="C139"/>
      <c r="D139"/>
      <c r="N139"/>
      <c r="U139"/>
    </row>
    <row r="140" spans="3:21" ht="12.75">
      <c r="C140"/>
      <c r="D140"/>
      <c r="N140"/>
      <c r="U140"/>
    </row>
    <row r="141" spans="3:21" ht="12.75">
      <c r="C141"/>
      <c r="D141"/>
      <c r="N141"/>
      <c r="U141"/>
    </row>
    <row r="142" spans="3:21" ht="12.75">
      <c r="C142"/>
      <c r="D142"/>
      <c r="N142"/>
      <c r="U142"/>
    </row>
    <row r="143" spans="3:21" ht="12.75">
      <c r="C143"/>
      <c r="D143"/>
      <c r="N143"/>
      <c r="U143"/>
    </row>
    <row r="144" spans="3:21" ht="12.75">
      <c r="C144"/>
      <c r="D144"/>
      <c r="N144"/>
      <c r="U144"/>
    </row>
    <row r="145" spans="3:21" ht="12.75">
      <c r="C145"/>
      <c r="D145"/>
      <c r="N145"/>
      <c r="U145"/>
    </row>
    <row r="146" spans="3:21" ht="12.75">
      <c r="C146"/>
      <c r="D146"/>
      <c r="N146"/>
      <c r="U146"/>
    </row>
    <row r="147" spans="3:21" ht="12.75">
      <c r="C147"/>
      <c r="D147"/>
      <c r="N147"/>
      <c r="U147"/>
    </row>
    <row r="148" spans="3:21" ht="12.75">
      <c r="C148"/>
      <c r="D148"/>
      <c r="N148"/>
      <c r="U148"/>
    </row>
    <row r="149" spans="3:21" ht="12.75">
      <c r="C149"/>
      <c r="D149"/>
      <c r="N149"/>
      <c r="U149"/>
    </row>
    <row r="150" spans="3:21" ht="12.75">
      <c r="C150"/>
      <c r="D150"/>
      <c r="N150"/>
      <c r="U150"/>
    </row>
    <row r="151" spans="3:21" ht="12.75">
      <c r="C151"/>
      <c r="D151"/>
      <c r="N151"/>
      <c r="U151"/>
    </row>
    <row r="152" spans="3:21" ht="12.75">
      <c r="C152"/>
      <c r="D152"/>
      <c r="N152"/>
      <c r="U152"/>
    </row>
    <row r="153" spans="3:21" ht="12.75">
      <c r="C153"/>
      <c r="D153"/>
      <c r="N153"/>
      <c r="U153"/>
    </row>
    <row r="154" spans="3:21" ht="12.75">
      <c r="C154"/>
      <c r="D154"/>
      <c r="N154"/>
      <c r="U154"/>
    </row>
    <row r="155" spans="3:21" ht="12.75">
      <c r="C155"/>
      <c r="D155"/>
      <c r="N155"/>
      <c r="U155"/>
    </row>
    <row r="156" spans="3:21" ht="12.75">
      <c r="C156"/>
      <c r="D156"/>
      <c r="N156"/>
      <c r="U156"/>
    </row>
    <row r="157" spans="3:21" ht="12.75">
      <c r="C157"/>
      <c r="D157"/>
      <c r="N157"/>
      <c r="U157"/>
    </row>
    <row r="158" spans="3:21" ht="12.75">
      <c r="C158"/>
      <c r="D158"/>
      <c r="N158"/>
      <c r="U158"/>
    </row>
    <row r="159" spans="3:21" ht="12.75">
      <c r="C159"/>
      <c r="D159"/>
      <c r="N159"/>
      <c r="U159"/>
    </row>
    <row r="160" spans="3:21" ht="12.75">
      <c r="C160"/>
      <c r="D160"/>
      <c r="N160"/>
      <c r="U160"/>
    </row>
    <row r="161" spans="3:21" ht="12.75">
      <c r="C161"/>
      <c r="D161"/>
      <c r="N161"/>
      <c r="U161"/>
    </row>
    <row r="162" spans="3:21" ht="12.75">
      <c r="C162"/>
      <c r="D162"/>
      <c r="N162"/>
      <c r="U162"/>
    </row>
    <row r="163" spans="3:21" ht="12.75">
      <c r="C163"/>
      <c r="D163"/>
      <c r="N163"/>
      <c r="U163"/>
    </row>
    <row r="164" spans="3:21" ht="12.75">
      <c r="C164"/>
      <c r="D164"/>
      <c r="N164"/>
      <c r="U164"/>
    </row>
    <row r="165" spans="3:21" ht="12.75">
      <c r="C165"/>
      <c r="D165"/>
      <c r="N165"/>
      <c r="U165"/>
    </row>
    <row r="166" spans="3:21" ht="12.75">
      <c r="C166"/>
      <c r="D166"/>
      <c r="N166"/>
      <c r="U166"/>
    </row>
    <row r="167" spans="3:21" ht="12.75">
      <c r="C167"/>
      <c r="D167"/>
      <c r="N167"/>
      <c r="U167"/>
    </row>
    <row r="168" spans="3:21" ht="12.75">
      <c r="C168"/>
      <c r="D168"/>
      <c r="N168"/>
      <c r="U168"/>
    </row>
    <row r="169" spans="3:21" ht="12.75">
      <c r="C169"/>
      <c r="D169"/>
      <c r="N169"/>
      <c r="U169"/>
    </row>
    <row r="170" spans="3:21" ht="12.75">
      <c r="C170"/>
      <c r="D170"/>
      <c r="N170"/>
      <c r="U170"/>
    </row>
    <row r="171" spans="3:21" ht="12.75">
      <c r="C171"/>
      <c r="D171"/>
      <c r="N171"/>
      <c r="U171"/>
    </row>
    <row r="172" spans="3:21" ht="12.75">
      <c r="C172"/>
      <c r="D172"/>
      <c r="N172"/>
      <c r="U172"/>
    </row>
    <row r="173" spans="3:21" ht="12.75">
      <c r="C173"/>
      <c r="D173"/>
      <c r="N173"/>
      <c r="U173"/>
    </row>
    <row r="174" spans="3:21" ht="12.75">
      <c r="C174"/>
      <c r="D174"/>
      <c r="N174"/>
      <c r="U174"/>
    </row>
    <row r="175" spans="3:21" ht="12.75">
      <c r="C175"/>
      <c r="D175"/>
      <c r="N175"/>
      <c r="U175"/>
    </row>
    <row r="176" spans="3:21" ht="12.75">
      <c r="C176"/>
      <c r="D176"/>
      <c r="N176"/>
      <c r="U176"/>
    </row>
    <row r="177" spans="3:21" ht="12.75">
      <c r="C177"/>
      <c r="D177"/>
      <c r="N177"/>
      <c r="U177"/>
    </row>
    <row r="178" spans="3:21" ht="12.75">
      <c r="C178"/>
      <c r="D178"/>
      <c r="N178"/>
      <c r="U178"/>
    </row>
    <row r="179" spans="3:21" ht="12.75">
      <c r="C179"/>
      <c r="D179"/>
      <c r="N179"/>
      <c r="U179"/>
    </row>
    <row r="180" spans="3:21" ht="12.75">
      <c r="C180"/>
      <c r="D180"/>
      <c r="N180"/>
      <c r="U180"/>
    </row>
    <row r="181" spans="3:21" ht="12.75">
      <c r="C181"/>
      <c r="D181"/>
      <c r="N181"/>
      <c r="U181"/>
    </row>
    <row r="182" spans="3:21" ht="12.75">
      <c r="C182"/>
      <c r="D182"/>
      <c r="N182"/>
      <c r="U182"/>
    </row>
    <row r="183" spans="3:21" ht="12.75">
      <c r="C183"/>
      <c r="D183"/>
      <c r="N183"/>
      <c r="U183"/>
    </row>
    <row r="184" spans="3:21" ht="12.75">
      <c r="C184"/>
      <c r="D184"/>
      <c r="N184"/>
      <c r="U184"/>
    </row>
    <row r="185" spans="3:21" ht="12.75">
      <c r="C185"/>
      <c r="D185"/>
      <c r="N185"/>
      <c r="U185"/>
    </row>
    <row r="186" spans="3:21" ht="12.75">
      <c r="C186"/>
      <c r="D186"/>
      <c r="N186"/>
      <c r="U186"/>
    </row>
    <row r="187" spans="3:21" ht="12.75">
      <c r="C187"/>
      <c r="D187"/>
      <c r="N187"/>
      <c r="U187"/>
    </row>
    <row r="188" spans="3:21" ht="12.75">
      <c r="C188"/>
      <c r="D188"/>
      <c r="N188"/>
      <c r="U188"/>
    </row>
    <row r="189" spans="3:21" ht="12.75">
      <c r="C189"/>
      <c r="D189"/>
      <c r="N189"/>
      <c r="U189"/>
    </row>
    <row r="190" spans="3:21" ht="12.75">
      <c r="C190"/>
      <c r="D190"/>
      <c r="N190"/>
      <c r="U190"/>
    </row>
    <row r="191" spans="3:21" ht="12.75">
      <c r="C191"/>
      <c r="D191"/>
      <c r="N191"/>
      <c r="U191"/>
    </row>
    <row r="192" spans="3:21" ht="12.75">
      <c r="C192"/>
      <c r="D192"/>
      <c r="N192"/>
      <c r="U192"/>
    </row>
    <row r="193" spans="3:21" ht="12.75">
      <c r="C193"/>
      <c r="D193"/>
      <c r="N193"/>
      <c r="U193"/>
    </row>
    <row r="194" spans="3:21" ht="12.75">
      <c r="C194"/>
      <c r="D194"/>
      <c r="N194"/>
      <c r="U194"/>
    </row>
    <row r="195" spans="3:21" ht="12.75">
      <c r="C195"/>
      <c r="D195"/>
      <c r="N195"/>
      <c r="U195"/>
    </row>
    <row r="196" spans="3:21" ht="12.75">
      <c r="C196"/>
      <c r="D196"/>
      <c r="N196"/>
      <c r="U196"/>
    </row>
    <row r="197" spans="3:21" ht="12.75">
      <c r="C197"/>
      <c r="D197"/>
      <c r="N197"/>
      <c r="U197"/>
    </row>
    <row r="198" spans="3:21" ht="12.75">
      <c r="C198"/>
      <c r="D198"/>
      <c r="N198"/>
      <c r="U198"/>
    </row>
    <row r="199" spans="3:21" ht="12.75">
      <c r="C199"/>
      <c r="D199"/>
      <c r="N199"/>
      <c r="U199"/>
    </row>
    <row r="200" spans="3:21" ht="12.75">
      <c r="C200"/>
      <c r="D200"/>
      <c r="N200"/>
      <c r="U200"/>
    </row>
    <row r="201" spans="3:21" ht="12.75">
      <c r="C201"/>
      <c r="D201"/>
      <c r="N201"/>
      <c r="U201"/>
    </row>
    <row r="202" spans="3:21" ht="12.75">
      <c r="C202"/>
      <c r="D202"/>
      <c r="N202"/>
      <c r="U202"/>
    </row>
    <row r="203" spans="3:21" ht="12.75">
      <c r="C203"/>
      <c r="D203"/>
      <c r="N203"/>
      <c r="U203"/>
    </row>
    <row r="204" spans="3:21" ht="12.75">
      <c r="C204"/>
      <c r="D204"/>
      <c r="N204"/>
      <c r="U204"/>
    </row>
    <row r="205" spans="3:21" ht="12.75">
      <c r="C205"/>
      <c r="D205"/>
      <c r="N205"/>
      <c r="U205"/>
    </row>
    <row r="206" spans="3:21" ht="12.75">
      <c r="C206"/>
      <c r="D206"/>
      <c r="N206"/>
      <c r="U206"/>
    </row>
    <row r="207" spans="3:21" ht="12.75">
      <c r="C207"/>
      <c r="D207"/>
      <c r="N207"/>
      <c r="U207"/>
    </row>
    <row r="208" spans="3:21" ht="12.75">
      <c r="C208"/>
      <c r="D208"/>
      <c r="N208"/>
      <c r="U208"/>
    </row>
    <row r="209" spans="3:21" ht="12.75">
      <c r="C209"/>
      <c r="D209"/>
      <c r="N209"/>
      <c r="U209"/>
    </row>
    <row r="210" spans="3:21" ht="12.75">
      <c r="C210"/>
      <c r="D210"/>
      <c r="N210"/>
      <c r="U210"/>
    </row>
    <row r="211" spans="3:21" ht="12.75">
      <c r="C211"/>
      <c r="D211"/>
      <c r="N211"/>
      <c r="U211"/>
    </row>
    <row r="212" spans="3:21" ht="12.75">
      <c r="C212"/>
      <c r="D212"/>
      <c r="N212"/>
      <c r="U212"/>
    </row>
    <row r="213" spans="3:21" ht="12.75">
      <c r="C213"/>
      <c r="D213"/>
      <c r="N213"/>
      <c r="U213"/>
    </row>
    <row r="214" spans="3:21" ht="12.75">
      <c r="C214"/>
      <c r="D214"/>
      <c r="N214"/>
      <c r="U214"/>
    </row>
    <row r="215" spans="3:21" ht="12.75">
      <c r="C215"/>
      <c r="D215"/>
      <c r="N215"/>
      <c r="U215"/>
    </row>
    <row r="216" spans="3:21" ht="12.75">
      <c r="C216"/>
      <c r="D216"/>
      <c r="N216"/>
      <c r="U216"/>
    </row>
    <row r="217" spans="3:21" ht="12.75">
      <c r="C217"/>
      <c r="D217"/>
      <c r="N217"/>
      <c r="U217"/>
    </row>
    <row r="218" spans="3:21" ht="12.75">
      <c r="C218"/>
      <c r="D218"/>
      <c r="N218"/>
      <c r="U218"/>
    </row>
    <row r="219" spans="3:21" ht="12.75">
      <c r="C219"/>
      <c r="D219"/>
      <c r="N219"/>
      <c r="U219"/>
    </row>
    <row r="220" spans="3:21" ht="12.75">
      <c r="C220"/>
      <c r="D220"/>
      <c r="N220"/>
      <c r="U220"/>
    </row>
    <row r="221" spans="3:21" ht="12.75">
      <c r="C221"/>
      <c r="D221"/>
      <c r="N221"/>
      <c r="U221"/>
    </row>
    <row r="222" spans="3:21" ht="12.75">
      <c r="C222"/>
      <c r="D222"/>
      <c r="N222"/>
      <c r="U222"/>
    </row>
    <row r="223" spans="3:21" ht="12.75">
      <c r="C223"/>
      <c r="D223"/>
      <c r="N223"/>
      <c r="U223"/>
    </row>
    <row r="224" spans="3:21" ht="12.75">
      <c r="C224"/>
      <c r="D224"/>
      <c r="N224"/>
      <c r="U224"/>
    </row>
    <row r="225" spans="3:21" ht="12.75">
      <c r="C225"/>
      <c r="D225"/>
      <c r="N225"/>
      <c r="U225"/>
    </row>
    <row r="226" spans="3:21" ht="12.75">
      <c r="C226"/>
      <c r="D226"/>
      <c r="N226"/>
      <c r="U226"/>
    </row>
    <row r="227" spans="3:21" ht="12.75">
      <c r="C227"/>
      <c r="D227"/>
      <c r="N227"/>
      <c r="U227"/>
    </row>
    <row r="228" spans="3:21" ht="12.75">
      <c r="C228"/>
      <c r="D228"/>
      <c r="N228"/>
      <c r="U228"/>
    </row>
    <row r="229" spans="3:21" ht="12.75">
      <c r="C229"/>
      <c r="D229"/>
      <c r="N229"/>
      <c r="U229"/>
    </row>
    <row r="230" spans="3:21" ht="12.75">
      <c r="C230"/>
      <c r="D230"/>
      <c r="N230"/>
      <c r="U230"/>
    </row>
    <row r="231" spans="3:21" ht="12.75">
      <c r="C231"/>
      <c r="D231"/>
      <c r="N231"/>
      <c r="U231"/>
    </row>
    <row r="232" spans="3:21" ht="12.75">
      <c r="C232"/>
      <c r="D232"/>
      <c r="N232"/>
      <c r="U232"/>
    </row>
    <row r="233" spans="3:21" ht="12.75">
      <c r="C233"/>
      <c r="D233"/>
      <c r="N233"/>
      <c r="U233"/>
    </row>
    <row r="234" spans="3:21" ht="12.75">
      <c r="C234"/>
      <c r="D234"/>
      <c r="N234"/>
      <c r="U234"/>
    </row>
    <row r="235" spans="3:21" ht="12.75">
      <c r="C235"/>
      <c r="D235"/>
      <c r="N235"/>
      <c r="U235"/>
    </row>
    <row r="236" spans="3:21" ht="12.75">
      <c r="C236"/>
      <c r="D236"/>
      <c r="N236"/>
      <c r="U236"/>
    </row>
    <row r="237" spans="3:21" ht="12.75">
      <c r="C237"/>
      <c r="D237"/>
      <c r="N237"/>
      <c r="U237"/>
    </row>
    <row r="238" spans="3:21" ht="12.75">
      <c r="C238"/>
      <c r="D238"/>
      <c r="N238"/>
      <c r="U238"/>
    </row>
    <row r="239" spans="3:21" ht="12.75">
      <c r="C239"/>
      <c r="D239"/>
      <c r="N239"/>
      <c r="U239"/>
    </row>
    <row r="240" spans="3:21" ht="12.75">
      <c r="C240"/>
      <c r="D240"/>
      <c r="N240"/>
      <c r="U240"/>
    </row>
    <row r="241" spans="3:21" ht="12.75">
      <c r="C241"/>
      <c r="D241"/>
      <c r="N241"/>
      <c r="U241"/>
    </row>
    <row r="242" spans="3:21" ht="12.75">
      <c r="C242"/>
      <c r="D242"/>
      <c r="N242"/>
      <c r="U242"/>
    </row>
    <row r="243" spans="3:21" ht="12.75">
      <c r="C243"/>
      <c r="D243"/>
      <c r="N243"/>
      <c r="U243"/>
    </row>
    <row r="244" spans="3:21" ht="12.75">
      <c r="C244"/>
      <c r="D244"/>
      <c r="N244"/>
      <c r="U244"/>
    </row>
    <row r="245" spans="3:21" ht="12.75">
      <c r="C245"/>
      <c r="D245"/>
      <c r="N245"/>
      <c r="U245"/>
    </row>
    <row r="246" spans="3:21" ht="12.75">
      <c r="C246"/>
      <c r="D246"/>
      <c r="N246"/>
      <c r="U246"/>
    </row>
  </sheetData>
  <sheetProtection/>
  <mergeCells count="24">
    <mergeCell ref="W4:W8"/>
    <mergeCell ref="K7:K8"/>
    <mergeCell ref="L7:L8"/>
    <mergeCell ref="H7:H8"/>
    <mergeCell ref="T7:T8"/>
    <mergeCell ref="O7:O8"/>
    <mergeCell ref="X4:X8"/>
    <mergeCell ref="B5:L5"/>
    <mergeCell ref="E6:L6"/>
    <mergeCell ref="R7:R8"/>
    <mergeCell ref="S7:S8"/>
    <mergeCell ref="O5:S5"/>
    <mergeCell ref="G7:G8"/>
    <mergeCell ref="M7:M8"/>
    <mergeCell ref="P7:P8"/>
    <mergeCell ref="Q7:Q8"/>
    <mergeCell ref="C6:C8"/>
    <mergeCell ref="O6:S6"/>
    <mergeCell ref="V4:V8"/>
    <mergeCell ref="D6:D8"/>
    <mergeCell ref="I7:I8"/>
    <mergeCell ref="B4:T4"/>
    <mergeCell ref="F7:F8"/>
    <mergeCell ref="J7:J8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421875" style="6" customWidth="1"/>
    <col min="3" max="3" width="2.28125" style="5" customWidth="1"/>
    <col min="4" max="4" width="2.140625" style="0" customWidth="1"/>
    <col min="5" max="5" width="30.8515625" style="0" customWidth="1"/>
    <col min="6" max="6" width="8.57421875" style="0" customWidth="1"/>
    <col min="7" max="7" width="8.7109375" style="0" customWidth="1"/>
    <col min="8" max="8" width="8.57421875" style="0" customWidth="1"/>
    <col min="9" max="9" width="6.57421875" style="0" customWidth="1"/>
    <col min="10" max="10" width="10.28125" style="0" customWidth="1"/>
    <col min="11" max="11" width="8.57421875" style="0" customWidth="1"/>
    <col min="12" max="12" width="10.28125" style="0" customWidth="1"/>
    <col min="13" max="13" width="6.421875" style="0" customWidth="1"/>
    <col min="14" max="14" width="0.5625" style="253" customWidth="1"/>
    <col min="15" max="15" width="3.28125" style="0" customWidth="1"/>
    <col min="16" max="16" width="10.140625" style="0" customWidth="1"/>
    <col min="17" max="17" width="10.421875" style="0" customWidth="1"/>
    <col min="18" max="18" width="8.57421875" style="0" customWidth="1"/>
    <col min="19" max="19" width="10.421875" style="0" customWidth="1"/>
    <col min="20" max="20" width="6.421875" style="0" customWidth="1"/>
    <col min="21" max="21" width="0.71875" style="391" customWidth="1"/>
    <col min="22" max="22" width="10.28125" style="0" customWidth="1"/>
    <col min="23" max="23" width="9.00390625" style="0" customWidth="1"/>
    <col min="24" max="24" width="10.28125" style="0" customWidth="1"/>
  </cols>
  <sheetData>
    <row r="1" spans="10:22" ht="15.75" customHeight="1">
      <c r="J1" s="173"/>
      <c r="K1" s="173"/>
      <c r="L1" s="173"/>
      <c r="M1" s="173"/>
      <c r="N1" s="177"/>
      <c r="O1" s="45"/>
      <c r="P1" s="45"/>
      <c r="Q1" s="173"/>
      <c r="R1" s="173"/>
      <c r="S1" s="173"/>
      <c r="T1" s="173"/>
      <c r="U1" s="277"/>
      <c r="V1" s="248"/>
    </row>
    <row r="2" spans="3:22" ht="27">
      <c r="C2" s="249" t="s">
        <v>169</v>
      </c>
      <c r="I2" s="188"/>
      <c r="J2" s="183"/>
      <c r="K2" s="183"/>
      <c r="L2" s="183"/>
      <c r="M2" s="183"/>
      <c r="N2" s="272"/>
      <c r="O2" s="188"/>
      <c r="Q2" s="237"/>
      <c r="R2" s="237"/>
      <c r="S2" s="237"/>
      <c r="T2" s="237"/>
      <c r="V2" s="237"/>
    </row>
    <row r="3" ht="13.5" thickBot="1"/>
    <row r="4" spans="2:24" ht="12.75" customHeight="1" thickBot="1">
      <c r="B4" s="1206" t="s">
        <v>313</v>
      </c>
      <c r="C4" s="1207"/>
      <c r="D4" s="1207"/>
      <c r="E4" s="1207"/>
      <c r="F4" s="1207"/>
      <c r="G4" s="1207"/>
      <c r="H4" s="1207"/>
      <c r="I4" s="1207"/>
      <c r="J4" s="1207"/>
      <c r="K4" s="1207"/>
      <c r="L4" s="1207"/>
      <c r="M4" s="1207"/>
      <c r="N4" s="1207"/>
      <c r="O4" s="1207"/>
      <c r="P4" s="1207"/>
      <c r="Q4" s="1207"/>
      <c r="R4" s="1207"/>
      <c r="S4" s="1207"/>
      <c r="T4" s="1208"/>
      <c r="U4" s="392"/>
      <c r="V4" s="1189" t="s">
        <v>410</v>
      </c>
      <c r="W4" s="1162" t="s">
        <v>417</v>
      </c>
      <c r="X4" s="1186" t="s">
        <v>415</v>
      </c>
    </row>
    <row r="5" spans="2:24" ht="18.75" customHeight="1">
      <c r="B5" s="1231" t="s">
        <v>12</v>
      </c>
      <c r="C5" s="1232"/>
      <c r="D5" s="1232"/>
      <c r="E5" s="1232"/>
      <c r="F5" s="1232"/>
      <c r="G5" s="1232"/>
      <c r="H5" s="1232"/>
      <c r="I5" s="1232"/>
      <c r="J5" s="1232"/>
      <c r="K5" s="1232"/>
      <c r="L5" s="1233"/>
      <c r="M5" s="974"/>
      <c r="N5" s="393"/>
      <c r="O5" s="1238" t="s">
        <v>297</v>
      </c>
      <c r="P5" s="1239"/>
      <c r="Q5" s="1239"/>
      <c r="R5" s="1239"/>
      <c r="S5" s="1240"/>
      <c r="T5" s="981"/>
      <c r="U5" s="393"/>
      <c r="V5" s="1190"/>
      <c r="W5" s="1163"/>
      <c r="X5" s="1187"/>
    </row>
    <row r="6" spans="2:24" ht="12.75" customHeight="1">
      <c r="B6" s="41"/>
      <c r="C6" s="1175" t="s">
        <v>148</v>
      </c>
      <c r="D6" s="1175" t="s">
        <v>149</v>
      </c>
      <c r="E6" s="1237" t="s">
        <v>11</v>
      </c>
      <c r="F6" s="1213"/>
      <c r="G6" s="1213"/>
      <c r="H6" s="1213"/>
      <c r="I6" s="1213"/>
      <c r="J6" s="1213"/>
      <c r="K6" s="1213"/>
      <c r="L6" s="1214"/>
      <c r="M6" s="689"/>
      <c r="N6" s="270"/>
      <c r="O6" s="1212" t="s">
        <v>11</v>
      </c>
      <c r="P6" s="1213"/>
      <c r="Q6" s="1213"/>
      <c r="R6" s="1213"/>
      <c r="S6" s="1214"/>
      <c r="T6" s="975"/>
      <c r="U6" s="270"/>
      <c r="V6" s="1190"/>
      <c r="W6" s="1163"/>
      <c r="X6" s="1187"/>
    </row>
    <row r="7" spans="2:24" ht="34.5" customHeight="1">
      <c r="B7" s="41"/>
      <c r="C7" s="1176"/>
      <c r="D7" s="1176"/>
      <c r="E7" s="128" t="s">
        <v>5</v>
      </c>
      <c r="F7" s="1224">
        <v>610</v>
      </c>
      <c r="G7" s="1184">
        <v>620</v>
      </c>
      <c r="H7" s="1184">
        <v>630</v>
      </c>
      <c r="I7" s="1184">
        <v>640</v>
      </c>
      <c r="J7" s="1201" t="s">
        <v>410</v>
      </c>
      <c r="K7" s="1180" t="s">
        <v>417</v>
      </c>
      <c r="L7" s="1217" t="s">
        <v>415</v>
      </c>
      <c r="M7" s="1178" t="s">
        <v>453</v>
      </c>
      <c r="N7" s="398"/>
      <c r="O7" s="1222">
        <v>716</v>
      </c>
      <c r="P7" s="1184">
        <v>717</v>
      </c>
      <c r="Q7" s="1201" t="s">
        <v>410</v>
      </c>
      <c r="R7" s="1180" t="s">
        <v>417</v>
      </c>
      <c r="S7" s="1217" t="s">
        <v>415</v>
      </c>
      <c r="T7" s="1182" t="s">
        <v>453</v>
      </c>
      <c r="U7" s="394"/>
      <c r="V7" s="1190"/>
      <c r="W7" s="1163"/>
      <c r="X7" s="1187"/>
    </row>
    <row r="8" spans="2:24" ht="36.75" customHeight="1" thickBot="1">
      <c r="B8" s="46"/>
      <c r="C8" s="1177"/>
      <c r="D8" s="1177"/>
      <c r="E8" s="129"/>
      <c r="F8" s="1216"/>
      <c r="G8" s="1185"/>
      <c r="H8" s="1185"/>
      <c r="I8" s="1185"/>
      <c r="J8" s="1202"/>
      <c r="K8" s="1181"/>
      <c r="L8" s="1218"/>
      <c r="M8" s="1179"/>
      <c r="N8" s="279"/>
      <c r="O8" s="1193"/>
      <c r="P8" s="1185"/>
      <c r="Q8" s="1202"/>
      <c r="R8" s="1181"/>
      <c r="S8" s="1218"/>
      <c r="T8" s="1183"/>
      <c r="U8" s="279"/>
      <c r="V8" s="1191"/>
      <c r="W8" s="1164"/>
      <c r="X8" s="1188"/>
    </row>
    <row r="9" spans="2:24" s="230" customFormat="1" ht="26.25" customHeight="1" thickBot="1" thickTop="1">
      <c r="B9" s="273">
        <v>1</v>
      </c>
      <c r="C9" s="185" t="s">
        <v>170</v>
      </c>
      <c r="D9" s="275"/>
      <c r="E9" s="274"/>
      <c r="F9" s="730">
        <f>F10+F13+F18+F19+F22</f>
        <v>530000</v>
      </c>
      <c r="G9" s="730">
        <f>G10+G13+G18+G19+G22</f>
        <v>185000</v>
      </c>
      <c r="H9" s="730">
        <f>H10+H13+H18+H19+H22</f>
        <v>784840</v>
      </c>
      <c r="I9" s="730">
        <f>I10+I13+I18+I19+I22</f>
        <v>6160</v>
      </c>
      <c r="J9" s="714">
        <f>SUM(F9:I9)</f>
        <v>1506000</v>
      </c>
      <c r="K9" s="731">
        <f>K10+K13+K18+K19+K22</f>
        <v>15000</v>
      </c>
      <c r="L9" s="716">
        <f>J9+K9</f>
        <v>1521000</v>
      </c>
      <c r="M9" s="973">
        <v>494080</v>
      </c>
      <c r="N9" s="732"/>
      <c r="O9" s="733">
        <f>O10+O18</f>
        <v>0</v>
      </c>
      <c r="P9" s="734">
        <f>P10+P13+P18+P19+P22</f>
        <v>1195670</v>
      </c>
      <c r="Q9" s="714">
        <f aca="true" t="shared" si="0" ref="Q9:Q24">SUM(O9:P9)</f>
        <v>1195670</v>
      </c>
      <c r="R9" s="731">
        <f>R10+R13+R18+R19+R22</f>
        <v>10000</v>
      </c>
      <c r="S9" s="716">
        <f>Q9+R9</f>
        <v>1205670</v>
      </c>
      <c r="T9" s="976">
        <v>493856</v>
      </c>
      <c r="U9" s="732"/>
      <c r="V9" s="741">
        <f aca="true" t="shared" si="1" ref="V9:V25">J9+Q9</f>
        <v>2701670</v>
      </c>
      <c r="W9" s="731">
        <f>W10+W13+W18+W19+W22</f>
        <v>25000</v>
      </c>
      <c r="X9" s="716">
        <f>V9+W9</f>
        <v>2726670</v>
      </c>
    </row>
    <row r="10" spans="2:24" ht="15.75" thickTop="1">
      <c r="B10" s="32">
        <f aca="true" t="shared" si="2" ref="B10:B25">B9+1</f>
        <v>2</v>
      </c>
      <c r="C10" s="320">
        <v>1</v>
      </c>
      <c r="D10" s="43" t="s">
        <v>171</v>
      </c>
      <c r="E10" s="139"/>
      <c r="F10" s="724">
        <f>F11</f>
        <v>530000</v>
      </c>
      <c r="G10" s="724">
        <f>G11</f>
        <v>185000</v>
      </c>
      <c r="H10" s="724">
        <f>H11+H12</f>
        <v>134840</v>
      </c>
      <c r="I10" s="603">
        <f>I11</f>
        <v>160</v>
      </c>
      <c r="J10" s="640">
        <f aca="true" t="shared" si="3" ref="J10:J25">SUM(F10:I10)</f>
        <v>850000</v>
      </c>
      <c r="K10" s="646"/>
      <c r="L10" s="644">
        <f aca="true" t="shared" si="4" ref="L10:L25">J10+K10</f>
        <v>850000</v>
      </c>
      <c r="M10" s="971">
        <v>301634</v>
      </c>
      <c r="N10" s="605"/>
      <c r="O10" s="606"/>
      <c r="P10" s="604"/>
      <c r="Q10" s="650">
        <f t="shared" si="0"/>
        <v>0</v>
      </c>
      <c r="R10" s="654"/>
      <c r="S10" s="656">
        <f aca="true" t="shared" si="5" ref="S10:S25">Q10+R10</f>
        <v>0</v>
      </c>
      <c r="T10" s="977">
        <v>0</v>
      </c>
      <c r="U10" s="605"/>
      <c r="V10" s="670">
        <f t="shared" si="1"/>
        <v>850000</v>
      </c>
      <c r="W10" s="654">
        <f>K10+R10</f>
        <v>0</v>
      </c>
      <c r="X10" s="656">
        <f aca="true" t="shared" si="6" ref="X10:X25">V10+W10</f>
        <v>850000</v>
      </c>
    </row>
    <row r="11" spans="2:24" s="594" customFormat="1" ht="14.25">
      <c r="B11" s="513">
        <f t="shared" si="2"/>
        <v>3</v>
      </c>
      <c r="C11" s="518"/>
      <c r="D11" s="518"/>
      <c r="E11" s="683" t="s">
        <v>390</v>
      </c>
      <c r="F11" s="608">
        <v>530000</v>
      </c>
      <c r="G11" s="609">
        <v>185000</v>
      </c>
      <c r="H11" s="610">
        <v>125304</v>
      </c>
      <c r="I11" s="609">
        <v>160</v>
      </c>
      <c r="J11" s="609">
        <f t="shared" si="3"/>
        <v>840464</v>
      </c>
      <c r="K11" s="609"/>
      <c r="L11" s="637">
        <f t="shared" si="4"/>
        <v>840464</v>
      </c>
      <c r="M11" s="972">
        <f>M10-M12</f>
        <v>300228</v>
      </c>
      <c r="N11" s="611"/>
      <c r="O11" s="614"/>
      <c r="P11" s="615"/>
      <c r="Q11" s="641">
        <f>SUM(O11:P11)</f>
        <v>0</v>
      </c>
      <c r="R11" s="641"/>
      <c r="S11" s="635">
        <f t="shared" si="5"/>
        <v>0</v>
      </c>
      <c r="T11" s="978">
        <v>0</v>
      </c>
      <c r="U11" s="611"/>
      <c r="V11" s="707">
        <f t="shared" si="1"/>
        <v>840464</v>
      </c>
      <c r="W11" s="703">
        <f aca="true" t="shared" si="7" ref="W11:W25">K11+R11</f>
        <v>0</v>
      </c>
      <c r="X11" s="708">
        <f t="shared" si="6"/>
        <v>840464</v>
      </c>
    </row>
    <row r="12" spans="2:24" s="594" customFormat="1" ht="14.25">
      <c r="B12" s="513">
        <f t="shared" si="2"/>
        <v>4</v>
      </c>
      <c r="C12" s="518"/>
      <c r="D12" s="586"/>
      <c r="E12" s="683" t="s">
        <v>360</v>
      </c>
      <c r="F12" s="608"/>
      <c r="G12" s="609"/>
      <c r="H12" s="610">
        <v>9536</v>
      </c>
      <c r="I12" s="609"/>
      <c r="J12" s="609">
        <f t="shared" si="3"/>
        <v>9536</v>
      </c>
      <c r="K12" s="609"/>
      <c r="L12" s="637">
        <f t="shared" si="4"/>
        <v>9536</v>
      </c>
      <c r="M12" s="972">
        <v>1406</v>
      </c>
      <c r="N12" s="725"/>
      <c r="O12" s="614"/>
      <c r="P12" s="615"/>
      <c r="Q12" s="641">
        <f t="shared" si="0"/>
        <v>0</v>
      </c>
      <c r="R12" s="641"/>
      <c r="S12" s="635">
        <f t="shared" si="5"/>
        <v>0</v>
      </c>
      <c r="T12" s="978">
        <v>0</v>
      </c>
      <c r="U12" s="702"/>
      <c r="V12" s="726">
        <f t="shared" si="1"/>
        <v>9536</v>
      </c>
      <c r="W12" s="609">
        <f t="shared" si="7"/>
        <v>0</v>
      </c>
      <c r="X12" s="637">
        <f t="shared" si="6"/>
        <v>9536</v>
      </c>
    </row>
    <row r="13" spans="2:24" ht="15">
      <c r="B13" s="32">
        <f t="shared" si="2"/>
        <v>5</v>
      </c>
      <c r="C13" s="320">
        <v>2</v>
      </c>
      <c r="D13" s="43" t="s">
        <v>111</v>
      </c>
      <c r="E13" s="139"/>
      <c r="F13" s="727"/>
      <c r="G13" s="604"/>
      <c r="H13" s="604">
        <v>630000</v>
      </c>
      <c r="I13" s="604"/>
      <c r="J13" s="650">
        <f t="shared" si="3"/>
        <v>630000</v>
      </c>
      <c r="K13" s="654">
        <v>15000</v>
      </c>
      <c r="L13" s="656">
        <f t="shared" si="4"/>
        <v>645000</v>
      </c>
      <c r="M13" s="972">
        <v>188933</v>
      </c>
      <c r="N13" s="605"/>
      <c r="O13" s="626"/>
      <c r="P13" s="625">
        <f>SUM(P15:P17)</f>
        <v>1195670</v>
      </c>
      <c r="Q13" s="650">
        <f t="shared" si="0"/>
        <v>1195670</v>
      </c>
      <c r="R13" s="654">
        <f>SUM(R14:R17)</f>
        <v>10000</v>
      </c>
      <c r="S13" s="656">
        <f t="shared" si="5"/>
        <v>1205670</v>
      </c>
      <c r="T13" s="978">
        <v>493856</v>
      </c>
      <c r="U13" s="605"/>
      <c r="V13" s="670">
        <f t="shared" si="1"/>
        <v>1825670</v>
      </c>
      <c r="W13" s="654">
        <f t="shared" si="7"/>
        <v>25000</v>
      </c>
      <c r="X13" s="656">
        <f t="shared" si="6"/>
        <v>1850670</v>
      </c>
    </row>
    <row r="14" spans="2:24" s="594" customFormat="1" ht="14.25">
      <c r="B14" s="513">
        <f t="shared" si="2"/>
        <v>6</v>
      </c>
      <c r="C14" s="518"/>
      <c r="D14" s="518"/>
      <c r="E14" s="683" t="s">
        <v>390</v>
      </c>
      <c r="F14" s="608"/>
      <c r="G14" s="609"/>
      <c r="H14" s="610">
        <f>H13-H16</f>
        <v>544534</v>
      </c>
      <c r="I14" s="609"/>
      <c r="J14" s="609">
        <f t="shared" si="3"/>
        <v>544534</v>
      </c>
      <c r="K14" s="609"/>
      <c r="L14" s="637">
        <f t="shared" si="4"/>
        <v>544534</v>
      </c>
      <c r="M14" s="971">
        <f>M13-M16</f>
        <v>165759</v>
      </c>
      <c r="N14" s="611"/>
      <c r="O14" s="614"/>
      <c r="P14" s="615"/>
      <c r="Q14" s="641">
        <f>SUM(O14:P14)</f>
        <v>0</v>
      </c>
      <c r="R14" s="641"/>
      <c r="S14" s="635">
        <f t="shared" si="5"/>
        <v>0</v>
      </c>
      <c r="T14" s="977">
        <v>0</v>
      </c>
      <c r="U14" s="611"/>
      <c r="V14" s="707">
        <f t="shared" si="1"/>
        <v>544534</v>
      </c>
      <c r="W14" s="703">
        <f t="shared" si="7"/>
        <v>0</v>
      </c>
      <c r="X14" s="708">
        <f t="shared" si="6"/>
        <v>544534</v>
      </c>
    </row>
    <row r="15" spans="2:24" s="594" customFormat="1" ht="14.25">
      <c r="B15" s="513">
        <f t="shared" si="2"/>
        <v>7</v>
      </c>
      <c r="C15" s="719"/>
      <c r="D15" s="586"/>
      <c r="E15" s="720" t="s">
        <v>300</v>
      </c>
      <c r="F15" s="608"/>
      <c r="G15" s="609"/>
      <c r="H15" s="610"/>
      <c r="I15" s="609"/>
      <c r="J15" s="641">
        <f t="shared" si="3"/>
        <v>0</v>
      </c>
      <c r="K15" s="641"/>
      <c r="L15" s="635">
        <f t="shared" si="4"/>
        <v>0</v>
      </c>
      <c r="M15" s="972"/>
      <c r="N15" s="611"/>
      <c r="O15" s="728"/>
      <c r="P15" s="641">
        <v>1165000</v>
      </c>
      <c r="Q15" s="641">
        <f t="shared" si="0"/>
        <v>1165000</v>
      </c>
      <c r="R15" s="641"/>
      <c r="S15" s="635">
        <f t="shared" si="5"/>
        <v>1165000</v>
      </c>
      <c r="T15" s="978">
        <v>493283</v>
      </c>
      <c r="U15" s="702"/>
      <c r="V15" s="707">
        <f t="shared" si="1"/>
        <v>1165000</v>
      </c>
      <c r="W15" s="703">
        <f t="shared" si="7"/>
        <v>0</v>
      </c>
      <c r="X15" s="708">
        <f t="shared" si="6"/>
        <v>1165000</v>
      </c>
    </row>
    <row r="16" spans="2:24" s="594" customFormat="1" ht="14.25">
      <c r="B16" s="513">
        <f t="shared" si="2"/>
        <v>8</v>
      </c>
      <c r="C16" s="518"/>
      <c r="D16" s="586"/>
      <c r="E16" s="683" t="s">
        <v>360</v>
      </c>
      <c r="F16" s="608"/>
      <c r="G16" s="609"/>
      <c r="H16" s="610">
        <v>85466</v>
      </c>
      <c r="I16" s="609"/>
      <c r="J16" s="609">
        <f t="shared" si="3"/>
        <v>85466</v>
      </c>
      <c r="K16" s="609"/>
      <c r="L16" s="637">
        <f t="shared" si="4"/>
        <v>85466</v>
      </c>
      <c r="M16" s="972">
        <v>23174</v>
      </c>
      <c r="N16" s="725"/>
      <c r="O16" s="614"/>
      <c r="P16" s="609"/>
      <c r="Q16" s="641">
        <f t="shared" si="0"/>
        <v>0</v>
      </c>
      <c r="R16" s="641"/>
      <c r="S16" s="635">
        <f t="shared" si="5"/>
        <v>0</v>
      </c>
      <c r="T16" s="978">
        <v>0</v>
      </c>
      <c r="U16" s="702"/>
      <c r="V16" s="729">
        <f t="shared" si="1"/>
        <v>85466</v>
      </c>
      <c r="W16" s="610">
        <f t="shared" si="7"/>
        <v>0</v>
      </c>
      <c r="X16" s="649">
        <f t="shared" si="6"/>
        <v>85466</v>
      </c>
    </row>
    <row r="17" spans="2:24" s="594" customFormat="1" ht="14.25">
      <c r="B17" s="513">
        <f t="shared" si="2"/>
        <v>9</v>
      </c>
      <c r="C17" s="719"/>
      <c r="D17" s="586"/>
      <c r="E17" s="519" t="s">
        <v>370</v>
      </c>
      <c r="F17" s="608"/>
      <c r="G17" s="609"/>
      <c r="H17" s="610"/>
      <c r="I17" s="609"/>
      <c r="J17" s="609">
        <f t="shared" si="3"/>
        <v>0</v>
      </c>
      <c r="K17" s="609"/>
      <c r="L17" s="637">
        <f t="shared" si="4"/>
        <v>0</v>
      </c>
      <c r="M17" s="972"/>
      <c r="N17" s="611"/>
      <c r="O17" s="728"/>
      <c r="P17" s="609">
        <v>30670</v>
      </c>
      <c r="Q17" s="641">
        <f t="shared" si="0"/>
        <v>30670</v>
      </c>
      <c r="R17" s="641">
        <v>10000</v>
      </c>
      <c r="S17" s="635">
        <f t="shared" si="5"/>
        <v>40670</v>
      </c>
      <c r="T17" s="978">
        <v>573</v>
      </c>
      <c r="U17" s="702"/>
      <c r="V17" s="729">
        <f t="shared" si="1"/>
        <v>30670</v>
      </c>
      <c r="W17" s="610">
        <f t="shared" si="7"/>
        <v>10000</v>
      </c>
      <c r="X17" s="649">
        <f t="shared" si="6"/>
        <v>40670</v>
      </c>
    </row>
    <row r="18" spans="2:24" ht="15">
      <c r="B18" s="32">
        <f t="shared" si="2"/>
        <v>10</v>
      </c>
      <c r="C18" s="320">
        <v>3</v>
      </c>
      <c r="D18" s="43" t="s">
        <v>172</v>
      </c>
      <c r="E18" s="139"/>
      <c r="F18" s="603"/>
      <c r="G18" s="604"/>
      <c r="H18" s="604">
        <v>4000</v>
      </c>
      <c r="I18" s="604"/>
      <c r="J18" s="642">
        <f t="shared" si="3"/>
        <v>4000</v>
      </c>
      <c r="K18" s="647"/>
      <c r="L18" s="645">
        <f t="shared" si="4"/>
        <v>4000</v>
      </c>
      <c r="M18" s="971">
        <v>190</v>
      </c>
      <c r="N18" s="605"/>
      <c r="O18" s="606"/>
      <c r="P18" s="604"/>
      <c r="Q18" s="650">
        <f t="shared" si="0"/>
        <v>0</v>
      </c>
      <c r="R18" s="654"/>
      <c r="S18" s="656">
        <f t="shared" si="5"/>
        <v>0</v>
      </c>
      <c r="T18" s="977">
        <v>0</v>
      </c>
      <c r="U18" s="605"/>
      <c r="V18" s="670">
        <f t="shared" si="1"/>
        <v>4000</v>
      </c>
      <c r="W18" s="654">
        <f t="shared" si="7"/>
        <v>0</v>
      </c>
      <c r="X18" s="656">
        <f t="shared" si="6"/>
        <v>4000</v>
      </c>
    </row>
    <row r="19" spans="2:24" ht="15">
      <c r="B19" s="32">
        <f t="shared" si="2"/>
        <v>11</v>
      </c>
      <c r="C19" s="320">
        <v>4</v>
      </c>
      <c r="D19" s="43" t="s">
        <v>118</v>
      </c>
      <c r="E19" s="139"/>
      <c r="F19" s="603"/>
      <c r="G19" s="604"/>
      <c r="H19" s="604">
        <v>6000</v>
      </c>
      <c r="I19" s="604"/>
      <c r="J19" s="642">
        <f t="shared" si="3"/>
        <v>6000</v>
      </c>
      <c r="K19" s="647"/>
      <c r="L19" s="645">
        <f t="shared" si="4"/>
        <v>6000</v>
      </c>
      <c r="M19" s="972">
        <v>1813</v>
      </c>
      <c r="N19" s="611"/>
      <c r="O19" s="606"/>
      <c r="P19" s="604"/>
      <c r="Q19" s="650">
        <f t="shared" si="0"/>
        <v>0</v>
      </c>
      <c r="R19" s="654"/>
      <c r="S19" s="656">
        <f t="shared" si="5"/>
        <v>0</v>
      </c>
      <c r="T19" s="978">
        <v>0</v>
      </c>
      <c r="U19" s="605"/>
      <c r="V19" s="670">
        <f t="shared" si="1"/>
        <v>6000</v>
      </c>
      <c r="W19" s="654">
        <f t="shared" si="7"/>
        <v>0</v>
      </c>
      <c r="X19" s="656">
        <f t="shared" si="6"/>
        <v>6000</v>
      </c>
    </row>
    <row r="20" spans="2:24" s="594" customFormat="1" ht="14.25">
      <c r="B20" s="513">
        <f t="shared" si="2"/>
        <v>12</v>
      </c>
      <c r="C20" s="518"/>
      <c r="D20" s="518"/>
      <c r="E20" s="683" t="s">
        <v>390</v>
      </c>
      <c r="F20" s="608"/>
      <c r="G20" s="609"/>
      <c r="H20" s="610">
        <f>H19-H21</f>
        <v>5378</v>
      </c>
      <c r="I20" s="609"/>
      <c r="J20" s="609">
        <f t="shared" si="3"/>
        <v>5378</v>
      </c>
      <c r="K20" s="609"/>
      <c r="L20" s="637">
        <f t="shared" si="4"/>
        <v>5378</v>
      </c>
      <c r="M20" s="972">
        <f>M19-M21</f>
        <v>1795</v>
      </c>
      <c r="N20" s="611"/>
      <c r="O20" s="614"/>
      <c r="P20" s="615"/>
      <c r="Q20" s="641">
        <f>SUM(O20:P20)</f>
        <v>0</v>
      </c>
      <c r="R20" s="641"/>
      <c r="S20" s="635">
        <f t="shared" si="5"/>
        <v>0</v>
      </c>
      <c r="T20" s="978">
        <v>0</v>
      </c>
      <c r="U20" s="611"/>
      <c r="V20" s="707">
        <f t="shared" si="1"/>
        <v>5378</v>
      </c>
      <c r="W20" s="703">
        <f t="shared" si="7"/>
        <v>0</v>
      </c>
      <c r="X20" s="708">
        <f t="shared" si="6"/>
        <v>5378</v>
      </c>
    </row>
    <row r="21" spans="2:24" s="594" customFormat="1" ht="14.25">
      <c r="B21" s="513">
        <f t="shared" si="2"/>
        <v>13</v>
      </c>
      <c r="C21" s="518"/>
      <c r="D21" s="586"/>
      <c r="E21" s="683" t="s">
        <v>360</v>
      </c>
      <c r="F21" s="608"/>
      <c r="G21" s="609"/>
      <c r="H21" s="610">
        <v>622</v>
      </c>
      <c r="I21" s="609"/>
      <c r="J21" s="609">
        <f t="shared" si="3"/>
        <v>622</v>
      </c>
      <c r="K21" s="609"/>
      <c r="L21" s="637">
        <f t="shared" si="4"/>
        <v>622</v>
      </c>
      <c r="M21" s="972">
        <v>18</v>
      </c>
      <c r="N21" s="725"/>
      <c r="O21" s="614"/>
      <c r="P21" s="615"/>
      <c r="Q21" s="641">
        <f t="shared" si="0"/>
        <v>0</v>
      </c>
      <c r="R21" s="641"/>
      <c r="S21" s="635">
        <f t="shared" si="5"/>
        <v>0</v>
      </c>
      <c r="T21" s="978">
        <v>0</v>
      </c>
      <c r="U21" s="702"/>
      <c r="V21" s="729">
        <f t="shared" si="1"/>
        <v>622</v>
      </c>
      <c r="W21" s="610">
        <f t="shared" si="7"/>
        <v>0</v>
      </c>
      <c r="X21" s="649">
        <f t="shared" si="6"/>
        <v>622</v>
      </c>
    </row>
    <row r="22" spans="2:24" ht="15">
      <c r="B22" s="32">
        <f t="shared" si="2"/>
        <v>14</v>
      </c>
      <c r="C22" s="320">
        <v>5</v>
      </c>
      <c r="D22" s="43" t="s">
        <v>109</v>
      </c>
      <c r="E22" s="139"/>
      <c r="F22" s="603"/>
      <c r="G22" s="604"/>
      <c r="H22" s="604">
        <v>10000</v>
      </c>
      <c r="I22" s="604">
        <f>I24</f>
        <v>6000</v>
      </c>
      <c r="J22" s="642">
        <f t="shared" si="3"/>
        <v>16000</v>
      </c>
      <c r="K22" s="647"/>
      <c r="L22" s="645">
        <f t="shared" si="4"/>
        <v>16000</v>
      </c>
      <c r="M22" s="971">
        <v>1510</v>
      </c>
      <c r="N22" s="605"/>
      <c r="O22" s="606"/>
      <c r="P22" s="604"/>
      <c r="Q22" s="650">
        <f t="shared" si="0"/>
        <v>0</v>
      </c>
      <c r="R22" s="654"/>
      <c r="S22" s="656">
        <f t="shared" si="5"/>
        <v>0</v>
      </c>
      <c r="T22" s="977">
        <v>0</v>
      </c>
      <c r="U22" s="605"/>
      <c r="V22" s="670">
        <f t="shared" si="1"/>
        <v>16000</v>
      </c>
      <c r="W22" s="654">
        <f t="shared" si="7"/>
        <v>0</v>
      </c>
      <c r="X22" s="656">
        <f t="shared" si="6"/>
        <v>16000</v>
      </c>
    </row>
    <row r="23" spans="2:24" s="594" customFormat="1" ht="14.25">
      <c r="B23" s="513">
        <f t="shared" si="2"/>
        <v>15</v>
      </c>
      <c r="C23" s="518"/>
      <c r="D23" s="518"/>
      <c r="E23" s="683" t="s">
        <v>390</v>
      </c>
      <c r="F23" s="608"/>
      <c r="G23" s="609"/>
      <c r="H23" s="610">
        <f>H22-H25</f>
        <v>8877</v>
      </c>
      <c r="I23" s="609"/>
      <c r="J23" s="609">
        <f t="shared" si="3"/>
        <v>8877</v>
      </c>
      <c r="K23" s="609"/>
      <c r="L23" s="637">
        <f t="shared" si="4"/>
        <v>8877</v>
      </c>
      <c r="M23" s="972">
        <f>M22-M25</f>
        <v>1129</v>
      </c>
      <c r="N23" s="611"/>
      <c r="O23" s="614"/>
      <c r="P23" s="615"/>
      <c r="Q23" s="641">
        <f>SUM(O23:P23)</f>
        <v>0</v>
      </c>
      <c r="R23" s="641"/>
      <c r="S23" s="635">
        <f t="shared" si="5"/>
        <v>0</v>
      </c>
      <c r="T23" s="978">
        <v>0</v>
      </c>
      <c r="U23" s="611"/>
      <c r="V23" s="707">
        <f t="shared" si="1"/>
        <v>8877</v>
      </c>
      <c r="W23" s="703">
        <f t="shared" si="7"/>
        <v>0</v>
      </c>
      <c r="X23" s="708">
        <f t="shared" si="6"/>
        <v>8877</v>
      </c>
    </row>
    <row r="24" spans="2:24" s="594" customFormat="1" ht="14.25">
      <c r="B24" s="513">
        <f t="shared" si="2"/>
        <v>16</v>
      </c>
      <c r="C24" s="514"/>
      <c r="D24" s="586"/>
      <c r="E24" s="721" t="s">
        <v>391</v>
      </c>
      <c r="F24" s="699"/>
      <c r="G24" s="641"/>
      <c r="H24" s="703"/>
      <c r="I24" s="641">
        <v>6000</v>
      </c>
      <c r="J24" s="641">
        <f t="shared" si="3"/>
        <v>6000</v>
      </c>
      <c r="K24" s="641"/>
      <c r="L24" s="635">
        <f t="shared" si="4"/>
        <v>6000</v>
      </c>
      <c r="M24" s="972">
        <v>0</v>
      </c>
      <c r="N24" s="611"/>
      <c r="O24" s="629"/>
      <c r="P24" s="641"/>
      <c r="Q24" s="641">
        <f t="shared" si="0"/>
        <v>0</v>
      </c>
      <c r="R24" s="641"/>
      <c r="S24" s="635">
        <f t="shared" si="5"/>
        <v>0</v>
      </c>
      <c r="T24" s="978">
        <v>0</v>
      </c>
      <c r="U24" s="611"/>
      <c r="V24" s="707">
        <f t="shared" si="1"/>
        <v>6000</v>
      </c>
      <c r="W24" s="703">
        <f t="shared" si="7"/>
        <v>0</v>
      </c>
      <c r="X24" s="708">
        <f t="shared" si="6"/>
        <v>6000</v>
      </c>
    </row>
    <row r="25" spans="2:24" s="594" customFormat="1" ht="15" thickBot="1">
      <c r="B25" s="690">
        <f t="shared" si="2"/>
        <v>17</v>
      </c>
      <c r="C25" s="597"/>
      <c r="D25" s="598"/>
      <c r="E25" s="691" t="s">
        <v>360</v>
      </c>
      <c r="F25" s="630"/>
      <c r="G25" s="631"/>
      <c r="H25" s="632">
        <v>1123</v>
      </c>
      <c r="I25" s="631"/>
      <c r="J25" s="631">
        <f t="shared" si="3"/>
        <v>1123</v>
      </c>
      <c r="K25" s="631"/>
      <c r="L25" s="638">
        <f t="shared" si="4"/>
        <v>1123</v>
      </c>
      <c r="M25" s="979">
        <v>381</v>
      </c>
      <c r="N25" s="982"/>
      <c r="O25" s="633"/>
      <c r="P25" s="634"/>
      <c r="Q25" s="634"/>
      <c r="R25" s="634"/>
      <c r="S25" s="638">
        <f t="shared" si="5"/>
        <v>0</v>
      </c>
      <c r="T25" s="980">
        <v>0</v>
      </c>
      <c r="U25" s="702"/>
      <c r="V25" s="709">
        <f t="shared" si="1"/>
        <v>1123</v>
      </c>
      <c r="W25" s="632">
        <f t="shared" si="7"/>
        <v>0</v>
      </c>
      <c r="X25" s="710">
        <f t="shared" si="6"/>
        <v>1123</v>
      </c>
    </row>
    <row r="26" spans="3:22" ht="12.75">
      <c r="C26" s="6"/>
      <c r="D26" s="6"/>
      <c r="E26" s="6"/>
      <c r="F26" s="6"/>
      <c r="G26" s="6"/>
      <c r="H26" s="6"/>
      <c r="I26" s="6"/>
      <c r="J26" s="382"/>
      <c r="K26" s="382"/>
      <c r="L26" s="382"/>
      <c r="M26" s="382"/>
      <c r="N26" s="381"/>
      <c r="O26" s="6"/>
      <c r="P26" s="6"/>
      <c r="Q26" s="6"/>
      <c r="R26" s="6"/>
      <c r="S26" s="6"/>
      <c r="T26" s="6"/>
      <c r="U26" s="381"/>
      <c r="V26" s="6"/>
    </row>
  </sheetData>
  <sheetProtection/>
  <mergeCells count="24">
    <mergeCell ref="X4:X8"/>
    <mergeCell ref="B5:L5"/>
    <mergeCell ref="E6:L6"/>
    <mergeCell ref="K7:K8"/>
    <mergeCell ref="L7:L8"/>
    <mergeCell ref="O5:S5"/>
    <mergeCell ref="O6:S6"/>
    <mergeCell ref="T7:T8"/>
    <mergeCell ref="B4:T4"/>
    <mergeCell ref="R7:R8"/>
    <mergeCell ref="S7:S8"/>
    <mergeCell ref="M7:M8"/>
    <mergeCell ref="V4:V8"/>
    <mergeCell ref="Q7:Q8"/>
    <mergeCell ref="W4:W8"/>
    <mergeCell ref="G7:G8"/>
    <mergeCell ref="P7:P8"/>
    <mergeCell ref="F7:F8"/>
    <mergeCell ref="C6:C8"/>
    <mergeCell ref="D6:D8"/>
    <mergeCell ref="I7:I8"/>
    <mergeCell ref="O7:O8"/>
    <mergeCell ref="J7:J8"/>
    <mergeCell ref="H7:H8"/>
  </mergeCells>
  <printOptions/>
  <pageMargins left="0.16" right="0.1968503937007874" top="0.87" bottom="1.12" header="0.5511811023622047" footer="0.5118110236220472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W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57421875" style="6" customWidth="1"/>
    <col min="3" max="3" width="2.421875" style="5" customWidth="1"/>
    <col min="4" max="4" width="2.28125" style="0" customWidth="1"/>
    <col min="5" max="5" width="37.140625" style="0" customWidth="1"/>
    <col min="6" max="6" width="11.140625" style="0" customWidth="1"/>
    <col min="7" max="7" width="3.57421875" style="0" customWidth="1"/>
    <col min="8" max="8" width="10.7109375" style="0" customWidth="1"/>
    <col min="9" max="9" width="9.421875" style="0" customWidth="1"/>
    <col min="10" max="10" width="11.00390625" style="0" customWidth="1"/>
    <col min="11" max="11" width="6.421875" style="0" customWidth="1"/>
    <col min="12" max="12" width="1.421875" style="253" customWidth="1"/>
    <col min="13" max="13" width="7.57421875" style="0" customWidth="1"/>
    <col min="14" max="14" width="8.7109375" style="0" customWidth="1"/>
    <col min="15" max="15" width="8.8515625" style="0" customWidth="1"/>
    <col min="16" max="16" width="8.57421875" style="0" customWidth="1"/>
    <col min="17" max="17" width="8.28125" style="0" customWidth="1"/>
    <col min="18" max="18" width="8.8515625" style="0" customWidth="1"/>
    <col min="19" max="19" width="6.28125" style="0" customWidth="1"/>
    <col min="20" max="20" width="0.71875" style="253" customWidth="1"/>
    <col min="21" max="21" width="10.28125" style="0" customWidth="1"/>
    <col min="22" max="22" width="9.421875" style="0" customWidth="1"/>
    <col min="23" max="23" width="10.28125" style="0" customWidth="1"/>
  </cols>
  <sheetData>
    <row r="1" spans="8:22" ht="15.75" customHeight="1">
      <c r="H1" s="173"/>
      <c r="I1" s="173"/>
      <c r="J1" s="173"/>
      <c r="K1" s="173"/>
      <c r="L1" s="177"/>
      <c r="M1" s="45"/>
      <c r="N1" s="45"/>
      <c r="O1" s="248"/>
      <c r="P1" s="51"/>
      <c r="Q1" s="51"/>
      <c r="R1" s="51"/>
      <c r="S1" s="51"/>
      <c r="T1" s="178"/>
      <c r="U1" s="248"/>
      <c r="V1" s="45"/>
    </row>
    <row r="2" spans="3:21" ht="27">
      <c r="C2" s="249" t="s">
        <v>236</v>
      </c>
      <c r="G2" s="182"/>
      <c r="H2" s="183"/>
      <c r="I2" s="183"/>
      <c r="J2" s="183"/>
      <c r="K2" s="183"/>
      <c r="L2" s="272"/>
      <c r="M2" s="182"/>
      <c r="N2" s="182"/>
      <c r="P2" s="237"/>
      <c r="Q2" s="237"/>
      <c r="R2" s="237"/>
      <c r="S2" s="237"/>
      <c r="U2" s="237"/>
    </row>
    <row r="3" ht="5.25" customHeight="1" thickBot="1"/>
    <row r="4" spans="2:23" ht="18" customHeight="1" thickBot="1">
      <c r="B4" s="1206" t="s">
        <v>313</v>
      </c>
      <c r="C4" s="1207"/>
      <c r="D4" s="1207"/>
      <c r="E4" s="1207"/>
      <c r="F4" s="1207"/>
      <c r="G4" s="1207"/>
      <c r="H4" s="1207"/>
      <c r="I4" s="1207"/>
      <c r="J4" s="1207"/>
      <c r="K4" s="1207"/>
      <c r="L4" s="1207"/>
      <c r="M4" s="1207"/>
      <c r="N4" s="1207"/>
      <c r="O4" s="1207"/>
      <c r="P4" s="1207"/>
      <c r="Q4" s="1207"/>
      <c r="R4" s="1207"/>
      <c r="S4" s="1208"/>
      <c r="T4" s="254"/>
      <c r="U4" s="1189" t="s">
        <v>410</v>
      </c>
      <c r="V4" s="1249" t="s">
        <v>417</v>
      </c>
      <c r="W4" s="1186" t="s">
        <v>415</v>
      </c>
    </row>
    <row r="5" spans="2:23" ht="18.75" customHeight="1">
      <c r="B5" s="1169" t="s">
        <v>12</v>
      </c>
      <c r="C5" s="1170"/>
      <c r="D5" s="1170"/>
      <c r="E5" s="1170"/>
      <c r="F5" s="1170"/>
      <c r="G5" s="1170"/>
      <c r="H5" s="1170"/>
      <c r="I5" s="1170"/>
      <c r="J5" s="1171"/>
      <c r="K5" s="974"/>
      <c r="L5" s="255"/>
      <c r="M5" s="1169" t="s">
        <v>297</v>
      </c>
      <c r="N5" s="1170"/>
      <c r="O5" s="1170"/>
      <c r="P5" s="1170"/>
      <c r="Q5" s="1170"/>
      <c r="R5" s="1171"/>
      <c r="S5" s="981"/>
      <c r="T5" s="255"/>
      <c r="U5" s="1190"/>
      <c r="V5" s="1250"/>
      <c r="W5" s="1187"/>
    </row>
    <row r="6" spans="2:23" ht="12.75" customHeight="1">
      <c r="B6" s="448"/>
      <c r="C6" s="1244" t="s">
        <v>148</v>
      </c>
      <c r="D6" s="1244" t="s">
        <v>149</v>
      </c>
      <c r="E6" s="1241" t="s">
        <v>11</v>
      </c>
      <c r="F6" s="1242"/>
      <c r="G6" s="1242"/>
      <c r="H6" s="1242"/>
      <c r="I6" s="1242"/>
      <c r="J6" s="1243"/>
      <c r="K6" s="689"/>
      <c r="L6" s="15"/>
      <c r="M6" s="1212" t="s">
        <v>11</v>
      </c>
      <c r="N6" s="1213"/>
      <c r="O6" s="1213"/>
      <c r="P6" s="1213"/>
      <c r="Q6" s="1213"/>
      <c r="R6" s="1214"/>
      <c r="S6" s="975"/>
      <c r="T6" s="15"/>
      <c r="U6" s="1190"/>
      <c r="V6" s="1250"/>
      <c r="W6" s="1187"/>
    </row>
    <row r="7" spans="2:23" ht="33" customHeight="1">
      <c r="B7" s="41"/>
      <c r="C7" s="1176"/>
      <c r="D7" s="1176"/>
      <c r="E7" s="338" t="s">
        <v>5</v>
      </c>
      <c r="F7" s="1194">
        <v>630</v>
      </c>
      <c r="G7" s="1194">
        <v>640</v>
      </c>
      <c r="H7" s="1201" t="s">
        <v>410</v>
      </c>
      <c r="I7" s="1180" t="s">
        <v>417</v>
      </c>
      <c r="J7" s="1217" t="s">
        <v>415</v>
      </c>
      <c r="K7" s="1178" t="s">
        <v>453</v>
      </c>
      <c r="L7" s="251"/>
      <c r="M7" s="1222">
        <v>716</v>
      </c>
      <c r="N7" s="1184">
        <v>711</v>
      </c>
      <c r="O7" s="1184">
        <v>717</v>
      </c>
      <c r="P7" s="1245" t="s">
        <v>410</v>
      </c>
      <c r="Q7" s="1247" t="s">
        <v>417</v>
      </c>
      <c r="R7" s="1234" t="s">
        <v>415</v>
      </c>
      <c r="S7" s="1182" t="s">
        <v>453</v>
      </c>
      <c r="T7" s="256"/>
      <c r="U7" s="1190"/>
      <c r="V7" s="1250"/>
      <c r="W7" s="1187"/>
    </row>
    <row r="8" spans="2:23" ht="36.75" customHeight="1" thickBot="1">
      <c r="B8" s="46"/>
      <c r="C8" s="1177"/>
      <c r="D8" s="1177"/>
      <c r="E8" s="129"/>
      <c r="F8" s="1185"/>
      <c r="G8" s="1185"/>
      <c r="H8" s="1202"/>
      <c r="I8" s="1181"/>
      <c r="J8" s="1218"/>
      <c r="K8" s="1179"/>
      <c r="L8" s="180"/>
      <c r="M8" s="1193"/>
      <c r="N8" s="1185"/>
      <c r="O8" s="1185"/>
      <c r="P8" s="1246"/>
      <c r="Q8" s="1248"/>
      <c r="R8" s="1235"/>
      <c r="S8" s="1183"/>
      <c r="T8" s="180"/>
      <c r="U8" s="1191"/>
      <c r="V8" s="1251"/>
      <c r="W8" s="1188"/>
    </row>
    <row r="9" spans="2:23" ht="25.5" customHeight="1" thickBot="1" thickTop="1">
      <c r="B9" s="32">
        <v>1</v>
      </c>
      <c r="C9" s="185" t="s">
        <v>237</v>
      </c>
      <c r="D9" s="261"/>
      <c r="E9" s="274"/>
      <c r="F9" s="730">
        <f>F10+F14+F17</f>
        <v>3721300</v>
      </c>
      <c r="G9" s="734">
        <f>G10+G14+G17</f>
        <v>0</v>
      </c>
      <c r="H9" s="750">
        <f aca="true" t="shared" si="0" ref="H9:H20">SUM(F9:G9)</f>
        <v>3721300</v>
      </c>
      <c r="I9" s="731">
        <f>I10+I14+I17</f>
        <v>-438292</v>
      </c>
      <c r="J9" s="716">
        <f>H9+I9</f>
        <v>3283008</v>
      </c>
      <c r="K9" s="973">
        <v>546210</v>
      </c>
      <c r="L9" s="735"/>
      <c r="M9" s="733">
        <f>M10+M14+M17</f>
        <v>50000</v>
      </c>
      <c r="N9" s="734">
        <f>N10+N14+N17</f>
        <v>281615</v>
      </c>
      <c r="O9" s="734">
        <f>O10+O14+O17</f>
        <v>200000</v>
      </c>
      <c r="P9" s="750">
        <f aca="true" t="shared" si="1" ref="P9:P20">SUM(M9:O9)</f>
        <v>531615</v>
      </c>
      <c r="Q9" s="731">
        <f>Q10+Q14+Q17</f>
        <v>-34000</v>
      </c>
      <c r="R9" s="716">
        <f>P9+Q9</f>
        <v>497615</v>
      </c>
      <c r="S9" s="976">
        <v>32013</v>
      </c>
      <c r="T9" s="735"/>
      <c r="U9" s="741">
        <f aca="true" t="shared" si="2" ref="U9:U20">H9+P9</f>
        <v>4252915</v>
      </c>
      <c r="V9" s="751">
        <f>V10+V14+V17</f>
        <v>-472292</v>
      </c>
      <c r="W9" s="716">
        <f>V9+U9</f>
        <v>3780623</v>
      </c>
    </row>
    <row r="10" spans="2:23" ht="15.75" thickTop="1">
      <c r="B10" s="32">
        <f aca="true" t="shared" si="3" ref="B10:B19">B9+1</f>
        <v>2</v>
      </c>
      <c r="C10" s="42">
        <v>1</v>
      </c>
      <c r="D10" s="43" t="s">
        <v>231</v>
      </c>
      <c r="E10" s="139"/>
      <c r="F10" s="603">
        <f>SUM(F11:F13)</f>
        <v>2286877</v>
      </c>
      <c r="G10" s="604"/>
      <c r="H10" s="640">
        <f t="shared" si="0"/>
        <v>2286877</v>
      </c>
      <c r="I10" s="646">
        <f>SUM(I11:I13)</f>
        <v>708</v>
      </c>
      <c r="J10" s="644">
        <f aca="true" t="shared" si="4" ref="J10:J20">H10+I10</f>
        <v>2287585</v>
      </c>
      <c r="K10" s="971">
        <v>537285</v>
      </c>
      <c r="L10" s="736"/>
      <c r="M10" s="737"/>
      <c r="N10" s="738"/>
      <c r="O10" s="739"/>
      <c r="P10" s="640">
        <f t="shared" si="1"/>
        <v>0</v>
      </c>
      <c r="Q10" s="646"/>
      <c r="R10" s="644">
        <f aca="true" t="shared" si="5" ref="R10:R20">P10+Q10</f>
        <v>0</v>
      </c>
      <c r="S10" s="977">
        <v>0</v>
      </c>
      <c r="T10" s="736"/>
      <c r="U10" s="670">
        <f t="shared" si="2"/>
        <v>2286877</v>
      </c>
      <c r="V10" s="664">
        <f>Q10+I10</f>
        <v>708</v>
      </c>
      <c r="W10" s="656">
        <f aca="true" t="shared" si="6" ref="W10:W20">V10+U10</f>
        <v>2287585</v>
      </c>
    </row>
    <row r="11" spans="2:23" s="594" customFormat="1" ht="14.25">
      <c r="B11" s="513">
        <f t="shared" si="3"/>
        <v>3</v>
      </c>
      <c r="C11" s="518"/>
      <c r="D11" s="742"/>
      <c r="E11" s="684" t="s">
        <v>364</v>
      </c>
      <c r="F11" s="743">
        <f>107457*12</f>
        <v>1289484</v>
      </c>
      <c r="G11" s="641"/>
      <c r="H11" s="641">
        <f t="shared" si="0"/>
        <v>1289484</v>
      </c>
      <c r="I11" s="641"/>
      <c r="J11" s="635">
        <f t="shared" si="4"/>
        <v>1289484</v>
      </c>
      <c r="K11" s="972">
        <v>537285</v>
      </c>
      <c r="L11" s="611"/>
      <c r="M11" s="629"/>
      <c r="N11" s="699"/>
      <c r="O11" s="641"/>
      <c r="P11" s="641">
        <f t="shared" si="1"/>
        <v>0</v>
      </c>
      <c r="Q11" s="641"/>
      <c r="R11" s="635">
        <f t="shared" si="5"/>
        <v>0</v>
      </c>
      <c r="S11" s="978">
        <v>0</v>
      </c>
      <c r="T11" s="611"/>
      <c r="U11" s="707">
        <f t="shared" si="2"/>
        <v>1289484</v>
      </c>
      <c r="V11" s="743">
        <f aca="true" t="shared" si="7" ref="V11:V20">Q11+I11</f>
        <v>0</v>
      </c>
      <c r="W11" s="708">
        <f t="shared" si="6"/>
        <v>1289484</v>
      </c>
    </row>
    <row r="12" spans="2:23" s="594" customFormat="1" ht="14.25">
      <c r="B12" s="513">
        <f t="shared" si="3"/>
        <v>4</v>
      </c>
      <c r="C12" s="518"/>
      <c r="D12" s="742"/>
      <c r="E12" s="683" t="s">
        <v>363</v>
      </c>
      <c r="F12" s="744">
        <v>782479</v>
      </c>
      <c r="G12" s="609"/>
      <c r="H12" s="641">
        <f t="shared" si="0"/>
        <v>782479</v>
      </c>
      <c r="I12" s="641">
        <v>708</v>
      </c>
      <c r="J12" s="635">
        <f t="shared" si="4"/>
        <v>783187</v>
      </c>
      <c r="K12" s="971">
        <v>0</v>
      </c>
      <c r="L12" s="611"/>
      <c r="M12" s="726"/>
      <c r="N12" s="608"/>
      <c r="O12" s="609"/>
      <c r="P12" s="641"/>
      <c r="Q12" s="641"/>
      <c r="R12" s="635">
        <f t="shared" si="5"/>
        <v>0</v>
      </c>
      <c r="S12" s="977">
        <v>0</v>
      </c>
      <c r="T12" s="611"/>
      <c r="U12" s="707">
        <f t="shared" si="2"/>
        <v>782479</v>
      </c>
      <c r="V12" s="743">
        <f t="shared" si="7"/>
        <v>708</v>
      </c>
      <c r="W12" s="708">
        <f t="shared" si="6"/>
        <v>783187</v>
      </c>
    </row>
    <row r="13" spans="2:23" s="594" customFormat="1" ht="14.25">
      <c r="B13" s="513">
        <f t="shared" si="3"/>
        <v>5</v>
      </c>
      <c r="C13" s="518"/>
      <c r="D13" s="742"/>
      <c r="E13" s="683" t="s">
        <v>360</v>
      </c>
      <c r="F13" s="608">
        <v>214914</v>
      </c>
      <c r="G13" s="609"/>
      <c r="H13" s="641">
        <f t="shared" si="0"/>
        <v>214914</v>
      </c>
      <c r="I13" s="641"/>
      <c r="J13" s="635">
        <f t="shared" si="4"/>
        <v>214914</v>
      </c>
      <c r="K13" s="972">
        <v>0</v>
      </c>
      <c r="L13" s="611"/>
      <c r="M13" s="726"/>
      <c r="N13" s="609"/>
      <c r="O13" s="609"/>
      <c r="P13" s="641">
        <f t="shared" si="1"/>
        <v>0</v>
      </c>
      <c r="Q13" s="641"/>
      <c r="R13" s="635">
        <f t="shared" si="5"/>
        <v>0</v>
      </c>
      <c r="S13" s="978">
        <v>0</v>
      </c>
      <c r="T13" s="611"/>
      <c r="U13" s="707">
        <f t="shared" si="2"/>
        <v>214914</v>
      </c>
      <c r="V13" s="743">
        <f>Q13+I13</f>
        <v>0</v>
      </c>
      <c r="W13" s="708">
        <f t="shared" si="6"/>
        <v>214914</v>
      </c>
    </row>
    <row r="14" spans="2:23" ht="15">
      <c r="B14" s="32">
        <f t="shared" si="3"/>
        <v>6</v>
      </c>
      <c r="C14" s="42">
        <v>2</v>
      </c>
      <c r="D14" s="43" t="s">
        <v>104</v>
      </c>
      <c r="E14" s="139"/>
      <c r="F14" s="603">
        <f>SUM(F15:F16)</f>
        <v>1434423</v>
      </c>
      <c r="G14" s="604"/>
      <c r="H14" s="642">
        <f t="shared" si="0"/>
        <v>1434423</v>
      </c>
      <c r="I14" s="647">
        <f>SUM(I15:I16)</f>
        <v>-439000</v>
      </c>
      <c r="J14" s="645">
        <f t="shared" si="4"/>
        <v>995423</v>
      </c>
      <c r="K14" s="971">
        <v>8925</v>
      </c>
      <c r="L14" s="736"/>
      <c r="M14" s="606"/>
      <c r="N14" s="603"/>
      <c r="O14" s="604"/>
      <c r="P14" s="650">
        <f t="shared" si="1"/>
        <v>0</v>
      </c>
      <c r="Q14" s="654"/>
      <c r="R14" s="656">
        <f t="shared" si="5"/>
        <v>0</v>
      </c>
      <c r="S14" s="977">
        <v>0</v>
      </c>
      <c r="T14" s="736"/>
      <c r="U14" s="670">
        <f t="shared" si="2"/>
        <v>1434423</v>
      </c>
      <c r="V14" s="664">
        <f t="shared" si="7"/>
        <v>-439000</v>
      </c>
      <c r="W14" s="656">
        <f t="shared" si="6"/>
        <v>995423</v>
      </c>
    </row>
    <row r="15" spans="2:23" s="594" customFormat="1" ht="14.25">
      <c r="B15" s="513">
        <f t="shared" si="3"/>
        <v>7</v>
      </c>
      <c r="C15" s="518"/>
      <c r="D15" s="742"/>
      <c r="E15" s="684" t="s">
        <v>365</v>
      </c>
      <c r="F15" s="743">
        <v>416000</v>
      </c>
      <c r="G15" s="641"/>
      <c r="H15" s="641">
        <f t="shared" si="0"/>
        <v>416000</v>
      </c>
      <c r="I15" s="641">
        <v>244000</v>
      </c>
      <c r="J15" s="635">
        <f t="shared" si="4"/>
        <v>660000</v>
      </c>
      <c r="K15" s="972">
        <v>8925</v>
      </c>
      <c r="L15" s="611"/>
      <c r="M15" s="629"/>
      <c r="N15" s="699"/>
      <c r="O15" s="641"/>
      <c r="P15" s="641">
        <f>SUM(M15:O15)</f>
        <v>0</v>
      </c>
      <c r="Q15" s="641"/>
      <c r="R15" s="635">
        <f t="shared" si="5"/>
        <v>0</v>
      </c>
      <c r="S15" s="978">
        <v>0</v>
      </c>
      <c r="T15" s="611"/>
      <c r="U15" s="707">
        <f t="shared" si="2"/>
        <v>416000</v>
      </c>
      <c r="V15" s="743">
        <f t="shared" si="7"/>
        <v>244000</v>
      </c>
      <c r="W15" s="708">
        <f t="shared" si="6"/>
        <v>660000</v>
      </c>
    </row>
    <row r="16" spans="2:23" s="594" customFormat="1" ht="14.25">
      <c r="B16" s="513">
        <f t="shared" si="3"/>
        <v>8</v>
      </c>
      <c r="C16" s="518"/>
      <c r="D16" s="742"/>
      <c r="E16" s="683" t="s">
        <v>360</v>
      </c>
      <c r="F16" s="608">
        <f>1151746-133330-1+3+5</f>
        <v>1018423</v>
      </c>
      <c r="G16" s="609"/>
      <c r="H16" s="641">
        <f t="shared" si="0"/>
        <v>1018423</v>
      </c>
      <c r="I16" s="641">
        <v>-683000</v>
      </c>
      <c r="J16" s="635">
        <f t="shared" si="4"/>
        <v>335423</v>
      </c>
      <c r="K16" s="971">
        <v>0</v>
      </c>
      <c r="L16" s="611"/>
      <c r="M16" s="726"/>
      <c r="N16" s="608"/>
      <c r="O16" s="609"/>
      <c r="P16" s="641">
        <f t="shared" si="1"/>
        <v>0</v>
      </c>
      <c r="Q16" s="641"/>
      <c r="R16" s="635">
        <f t="shared" si="5"/>
        <v>0</v>
      </c>
      <c r="S16" s="977">
        <v>0</v>
      </c>
      <c r="T16" s="611"/>
      <c r="U16" s="707">
        <f t="shared" si="2"/>
        <v>1018423</v>
      </c>
      <c r="V16" s="743">
        <f t="shared" si="7"/>
        <v>-683000</v>
      </c>
      <c r="W16" s="708">
        <f t="shared" si="6"/>
        <v>335423</v>
      </c>
    </row>
    <row r="17" spans="2:23" ht="15">
      <c r="B17" s="32">
        <f t="shared" si="3"/>
        <v>9</v>
      </c>
      <c r="C17" s="42">
        <v>3</v>
      </c>
      <c r="D17" s="43" t="s">
        <v>173</v>
      </c>
      <c r="E17" s="139"/>
      <c r="F17" s="603"/>
      <c r="G17" s="604"/>
      <c r="H17" s="642">
        <f t="shared" si="0"/>
        <v>0</v>
      </c>
      <c r="I17" s="647"/>
      <c r="J17" s="645">
        <f t="shared" si="4"/>
        <v>0</v>
      </c>
      <c r="K17" s="972">
        <v>0</v>
      </c>
      <c r="L17" s="736"/>
      <c r="M17" s="606">
        <f>M20</f>
        <v>50000</v>
      </c>
      <c r="N17" s="604">
        <f>SUM(N18:N20)</f>
        <v>281615</v>
      </c>
      <c r="O17" s="604">
        <f>SUM(O18:O20)</f>
        <v>200000</v>
      </c>
      <c r="P17" s="650">
        <f t="shared" si="1"/>
        <v>531615</v>
      </c>
      <c r="Q17" s="654">
        <f>SUM(Q18:Q20)</f>
        <v>-34000</v>
      </c>
      <c r="R17" s="656">
        <f t="shared" si="5"/>
        <v>497615</v>
      </c>
      <c r="S17" s="978">
        <v>32013</v>
      </c>
      <c r="T17" s="736"/>
      <c r="U17" s="670">
        <f t="shared" si="2"/>
        <v>531615</v>
      </c>
      <c r="V17" s="664">
        <f t="shared" si="7"/>
        <v>-34000</v>
      </c>
      <c r="W17" s="656">
        <f t="shared" si="6"/>
        <v>497615</v>
      </c>
    </row>
    <row r="18" spans="2:23" s="594" customFormat="1" ht="14.25">
      <c r="B18" s="513">
        <f t="shared" si="3"/>
        <v>10</v>
      </c>
      <c r="C18" s="518"/>
      <c r="D18" s="742"/>
      <c r="E18" s="535" t="s">
        <v>366</v>
      </c>
      <c r="F18" s="743"/>
      <c r="G18" s="641"/>
      <c r="H18" s="641">
        <f t="shared" si="0"/>
        <v>0</v>
      </c>
      <c r="I18" s="641"/>
      <c r="J18" s="635">
        <f t="shared" si="4"/>
        <v>0</v>
      </c>
      <c r="K18" s="971">
        <v>0</v>
      </c>
      <c r="L18" s="611"/>
      <c r="M18" s="629"/>
      <c r="N18" s="608">
        <v>281615</v>
      </c>
      <c r="O18" s="641"/>
      <c r="P18" s="641">
        <f>SUM(M18:O18)</f>
        <v>281615</v>
      </c>
      <c r="Q18" s="641"/>
      <c r="R18" s="635">
        <f t="shared" si="5"/>
        <v>281615</v>
      </c>
      <c r="S18" s="977">
        <v>0</v>
      </c>
      <c r="T18" s="611"/>
      <c r="U18" s="707">
        <f t="shared" si="2"/>
        <v>281615</v>
      </c>
      <c r="V18" s="743">
        <f t="shared" si="7"/>
        <v>0</v>
      </c>
      <c r="W18" s="708">
        <f t="shared" si="6"/>
        <v>281615</v>
      </c>
    </row>
    <row r="19" spans="2:23" s="594" customFormat="1" ht="14.25">
      <c r="B19" s="513">
        <f t="shared" si="3"/>
        <v>11</v>
      </c>
      <c r="C19" s="518"/>
      <c r="D19" s="742"/>
      <c r="E19" s="535" t="s">
        <v>434</v>
      </c>
      <c r="F19" s="743"/>
      <c r="G19" s="641"/>
      <c r="H19" s="641">
        <f>SUM(F19:G19)</f>
        <v>0</v>
      </c>
      <c r="I19" s="641"/>
      <c r="J19" s="635">
        <f>H19+I19</f>
        <v>0</v>
      </c>
      <c r="K19" s="972">
        <v>0</v>
      </c>
      <c r="L19" s="611"/>
      <c r="M19" s="889"/>
      <c r="N19" s="608"/>
      <c r="O19" s="781"/>
      <c r="P19" s="641">
        <f>SUM(M19:O19)</f>
        <v>0</v>
      </c>
      <c r="Q19" s="781">
        <v>1000</v>
      </c>
      <c r="R19" s="635">
        <f t="shared" si="5"/>
        <v>1000</v>
      </c>
      <c r="S19" s="978">
        <v>0</v>
      </c>
      <c r="T19" s="611"/>
      <c r="U19" s="707">
        <f t="shared" si="2"/>
        <v>0</v>
      </c>
      <c r="V19" s="743">
        <f t="shared" si="7"/>
        <v>1000</v>
      </c>
      <c r="W19" s="708">
        <f t="shared" si="6"/>
        <v>1000</v>
      </c>
    </row>
    <row r="20" spans="2:23" s="594" customFormat="1" ht="15" thickBot="1">
      <c r="B20" s="690">
        <f>B19+1</f>
        <v>12</v>
      </c>
      <c r="C20" s="745"/>
      <c r="D20" s="598"/>
      <c r="E20" s="691" t="s">
        <v>367</v>
      </c>
      <c r="F20" s="668"/>
      <c r="G20" s="746"/>
      <c r="H20" s="746">
        <f t="shared" si="0"/>
        <v>0</v>
      </c>
      <c r="I20" s="746"/>
      <c r="J20" s="749">
        <f t="shared" si="4"/>
        <v>0</v>
      </c>
      <c r="K20" s="979">
        <v>0</v>
      </c>
      <c r="L20" s="783"/>
      <c r="M20" s="747">
        <v>50000</v>
      </c>
      <c r="N20" s="748"/>
      <c r="O20" s="746">
        <f>380000-180000</f>
        <v>200000</v>
      </c>
      <c r="P20" s="746">
        <f t="shared" si="1"/>
        <v>250000</v>
      </c>
      <c r="Q20" s="746">
        <v>-35000</v>
      </c>
      <c r="R20" s="749">
        <f t="shared" si="5"/>
        <v>215000</v>
      </c>
      <c r="S20" s="980">
        <v>32013</v>
      </c>
      <c r="T20" s="611"/>
      <c r="U20" s="662">
        <f t="shared" si="2"/>
        <v>250000</v>
      </c>
      <c r="V20" s="668">
        <f t="shared" si="7"/>
        <v>-35000</v>
      </c>
      <c r="W20" s="659">
        <f t="shared" si="6"/>
        <v>215000</v>
      </c>
    </row>
    <row r="21" spans="13:22" ht="12.75">
      <c r="M21" s="35"/>
      <c r="N21" s="35"/>
      <c r="O21" s="35"/>
      <c r="P21" s="35"/>
      <c r="Q21" s="35"/>
      <c r="R21" s="35"/>
      <c r="S21" s="35"/>
      <c r="U21" s="35"/>
      <c r="V21" s="35"/>
    </row>
  </sheetData>
  <sheetProtection/>
  <mergeCells count="23">
    <mergeCell ref="W4:W8"/>
    <mergeCell ref="M5:R5"/>
    <mergeCell ref="M6:R6"/>
    <mergeCell ref="Q7:Q8"/>
    <mergeCell ref="K7:K8"/>
    <mergeCell ref="S7:S8"/>
    <mergeCell ref="B4:S4"/>
    <mergeCell ref="V4:V8"/>
    <mergeCell ref="J7:J8"/>
    <mergeCell ref="B5:J5"/>
    <mergeCell ref="C6:C8"/>
    <mergeCell ref="H7:H8"/>
    <mergeCell ref="D6:D8"/>
    <mergeCell ref="P7:P8"/>
    <mergeCell ref="R7:R8"/>
    <mergeCell ref="F7:F8"/>
    <mergeCell ref="U4:U8"/>
    <mergeCell ref="N7:N8"/>
    <mergeCell ref="E6:J6"/>
    <mergeCell ref="G7:G8"/>
    <mergeCell ref="O7:O8"/>
    <mergeCell ref="I7:I8"/>
    <mergeCell ref="M7:M8"/>
  </mergeCells>
  <printOptions/>
  <pageMargins left="0.15748031496062992" right="0.15748031496062992" top="0.6692913385826772" bottom="0.984251968503937" header="0.6692913385826772" footer="0.5118110236220472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Z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57421875" style="6" customWidth="1"/>
    <col min="3" max="3" width="2.28125" style="5" customWidth="1"/>
    <col min="4" max="4" width="2.28125" style="0" customWidth="1"/>
    <col min="5" max="5" width="31.140625" style="0" customWidth="1"/>
    <col min="6" max="6" width="9.140625" style="0" customWidth="1"/>
    <col min="7" max="8" width="9.28125" style="0" customWidth="1"/>
    <col min="9" max="9" width="7.7109375" style="0" customWidth="1"/>
    <col min="10" max="10" width="9.421875" style="0" customWidth="1"/>
    <col min="11" max="11" width="7.8515625" style="0" customWidth="1"/>
    <col min="12" max="12" width="10.140625" style="0" customWidth="1"/>
    <col min="13" max="13" width="6.57421875" style="383" customWidth="1"/>
    <col min="14" max="14" width="0.71875" style="47" customWidth="1"/>
    <col min="15" max="15" width="6.140625" style="0" customWidth="1"/>
    <col min="16" max="16" width="10.00390625" style="0" customWidth="1"/>
    <col min="17" max="17" width="9.28125" style="0" customWidth="1"/>
    <col min="18" max="18" width="8.00390625" style="0" customWidth="1"/>
    <col min="19" max="19" width="9.28125" style="0" customWidth="1"/>
    <col min="20" max="20" width="7.00390625" style="1028" customWidth="1"/>
    <col min="21" max="21" width="0.42578125" style="47" customWidth="1"/>
    <col min="22" max="22" width="10.140625" style="0" customWidth="1"/>
    <col min="23" max="23" width="8.421875" style="47" customWidth="1"/>
    <col min="24" max="24" width="10.57421875" style="0" customWidth="1"/>
    <col min="25" max="25" width="10.140625" style="0" bestFit="1" customWidth="1"/>
  </cols>
  <sheetData>
    <row r="1" spans="2:22" ht="15.75" customHeight="1">
      <c r="B1" s="35"/>
      <c r="C1" s="35"/>
      <c r="D1" s="35"/>
      <c r="E1" s="35"/>
      <c r="F1" s="35"/>
      <c r="G1" s="237"/>
      <c r="H1" s="237"/>
      <c r="I1" s="237"/>
      <c r="J1" s="237"/>
      <c r="K1" s="237"/>
      <c r="L1" s="237"/>
      <c r="M1" s="1023"/>
      <c r="N1" s="49"/>
      <c r="O1" s="47"/>
      <c r="P1" s="47"/>
      <c r="Q1" s="49"/>
      <c r="R1" s="49"/>
      <c r="S1" s="49"/>
      <c r="T1" s="178"/>
      <c r="U1" s="247"/>
      <c r="V1" s="247"/>
    </row>
    <row r="2" spans="2:22" ht="27">
      <c r="B2" s="35"/>
      <c r="C2" s="308" t="s">
        <v>238</v>
      </c>
      <c r="D2" s="35"/>
      <c r="E2" s="35"/>
      <c r="F2" s="35"/>
      <c r="G2" s="237"/>
      <c r="H2" s="35"/>
      <c r="I2" s="156"/>
      <c r="J2" s="181"/>
      <c r="K2" s="181"/>
      <c r="L2" s="181"/>
      <c r="M2" s="1024"/>
      <c r="N2" s="156"/>
      <c r="O2" s="156"/>
      <c r="P2" s="35"/>
      <c r="Q2" s="237"/>
      <c r="R2" s="237"/>
      <c r="S2" s="237"/>
      <c r="T2" s="178"/>
      <c r="U2" s="156"/>
      <c r="V2" s="237"/>
    </row>
    <row r="3" spans="2:22" ht="18" customHeight="1" thickBot="1">
      <c r="B3" s="35"/>
      <c r="C3" s="35"/>
      <c r="D3" s="35"/>
      <c r="E3" s="35"/>
      <c r="F3" s="35"/>
      <c r="G3" s="237"/>
      <c r="H3" s="35"/>
      <c r="I3" s="35"/>
      <c r="J3" s="35"/>
      <c r="K3" s="35"/>
      <c r="L3" s="35"/>
      <c r="M3" s="1025"/>
      <c r="O3" s="35"/>
      <c r="P3" s="35"/>
      <c r="Q3" s="35"/>
      <c r="R3" s="35"/>
      <c r="S3" s="35"/>
      <c r="T3" s="253"/>
      <c r="U3" s="156"/>
      <c r="V3" s="35"/>
    </row>
    <row r="4" spans="2:24" ht="12.75" customHeight="1" thickBot="1">
      <c r="B4" s="1253" t="s">
        <v>313</v>
      </c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  <c r="P4" s="1254"/>
      <c r="Q4" s="1254"/>
      <c r="R4" s="1254"/>
      <c r="S4" s="1254"/>
      <c r="T4" s="1255"/>
      <c r="U4" s="250"/>
      <c r="V4" s="1236" t="s">
        <v>410</v>
      </c>
      <c r="W4" s="1252" t="s">
        <v>417</v>
      </c>
      <c r="X4" s="1259" t="s">
        <v>415</v>
      </c>
    </row>
    <row r="5" spans="2:24" ht="18.75" customHeight="1" thickTop="1">
      <c r="B5" s="1260" t="s">
        <v>12</v>
      </c>
      <c r="C5" s="1261"/>
      <c r="D5" s="1261"/>
      <c r="E5" s="1261"/>
      <c r="F5" s="1261"/>
      <c r="G5" s="1261"/>
      <c r="H5" s="1261"/>
      <c r="I5" s="1261"/>
      <c r="J5" s="1261"/>
      <c r="K5" s="1261"/>
      <c r="L5" s="1262"/>
      <c r="M5" s="1018"/>
      <c r="N5" s="1027"/>
      <c r="O5" s="1153" t="s">
        <v>297</v>
      </c>
      <c r="P5" s="1154"/>
      <c r="Q5" s="1154"/>
      <c r="R5" s="1154"/>
      <c r="S5" s="1154"/>
      <c r="T5" s="1155"/>
      <c r="U5" s="269"/>
      <c r="V5" s="1190"/>
      <c r="W5" s="1163"/>
      <c r="X5" s="1204"/>
    </row>
    <row r="6" spans="2:24" ht="12.75" customHeight="1">
      <c r="B6" s="448"/>
      <c r="C6" s="1244" t="s">
        <v>148</v>
      </c>
      <c r="D6" s="1244" t="s">
        <v>149</v>
      </c>
      <c r="E6" s="1237" t="s">
        <v>11</v>
      </c>
      <c r="F6" s="1213"/>
      <c r="G6" s="1213"/>
      <c r="H6" s="1213"/>
      <c r="I6" s="1213"/>
      <c r="J6" s="1213"/>
      <c r="K6" s="1213"/>
      <c r="L6" s="1214"/>
      <c r="M6" s="1019"/>
      <c r="N6" s="15"/>
      <c r="O6" s="1212" t="s">
        <v>11</v>
      </c>
      <c r="P6" s="1213"/>
      <c r="Q6" s="1213"/>
      <c r="R6" s="1213"/>
      <c r="S6" s="1214"/>
      <c r="T6" s="94"/>
      <c r="U6" s="270"/>
      <c r="V6" s="1190"/>
      <c r="W6" s="1163"/>
      <c r="X6" s="1204"/>
    </row>
    <row r="7" spans="2:24" ht="36.75" customHeight="1">
      <c r="B7" s="41"/>
      <c r="C7" s="1176"/>
      <c r="D7" s="1176"/>
      <c r="E7" s="52" t="s">
        <v>5</v>
      </c>
      <c r="F7" s="1224">
        <v>610</v>
      </c>
      <c r="G7" s="1184">
        <v>620</v>
      </c>
      <c r="H7" s="1184">
        <v>630</v>
      </c>
      <c r="I7" s="1184">
        <v>640</v>
      </c>
      <c r="J7" s="1245" t="s">
        <v>410</v>
      </c>
      <c r="K7" s="1247" t="s">
        <v>417</v>
      </c>
      <c r="L7" s="1234" t="s">
        <v>415</v>
      </c>
      <c r="M7" s="1256" t="s">
        <v>453</v>
      </c>
      <c r="N7" s="251"/>
      <c r="O7" s="1222">
        <v>716</v>
      </c>
      <c r="P7" s="1184">
        <v>717</v>
      </c>
      <c r="Q7" s="1245" t="s">
        <v>410</v>
      </c>
      <c r="R7" s="1247" t="s">
        <v>417</v>
      </c>
      <c r="S7" s="1234" t="s">
        <v>415</v>
      </c>
      <c r="T7" s="1178" t="s">
        <v>453</v>
      </c>
      <c r="U7" s="153"/>
      <c r="V7" s="1190"/>
      <c r="W7" s="1163"/>
      <c r="X7" s="1204"/>
    </row>
    <row r="8" spans="2:24" ht="44.25" customHeight="1" thickBot="1">
      <c r="B8" s="46"/>
      <c r="C8" s="1177"/>
      <c r="D8" s="1177"/>
      <c r="E8" s="53"/>
      <c r="F8" s="1216"/>
      <c r="G8" s="1185"/>
      <c r="H8" s="1185"/>
      <c r="I8" s="1185"/>
      <c r="J8" s="1246"/>
      <c r="K8" s="1248"/>
      <c r="L8" s="1235"/>
      <c r="M8" s="1257"/>
      <c r="N8" s="180"/>
      <c r="O8" s="1193"/>
      <c r="P8" s="1185"/>
      <c r="Q8" s="1246"/>
      <c r="R8" s="1248"/>
      <c r="S8" s="1235"/>
      <c r="T8" s="1258"/>
      <c r="U8" s="279"/>
      <c r="V8" s="1191"/>
      <c r="W8" s="1164"/>
      <c r="X8" s="1205"/>
    </row>
    <row r="9" spans="2:26" ht="25.5" customHeight="1" thickBot="1" thickTop="1">
      <c r="B9" s="32">
        <v>1</v>
      </c>
      <c r="C9" s="185" t="s">
        <v>239</v>
      </c>
      <c r="D9" s="241"/>
      <c r="E9" s="242"/>
      <c r="F9" s="257">
        <f>F10+F19+F30+F49+F60</f>
        <v>5615345</v>
      </c>
      <c r="G9" s="266">
        <f>G10+G19+G30+G49+G60</f>
        <v>1989064</v>
      </c>
      <c r="H9" s="266">
        <f>H10+H19+H30+H49+H60</f>
        <v>1876961</v>
      </c>
      <c r="I9" s="266">
        <f>I10+I19+I30+I49+I60</f>
        <v>500130</v>
      </c>
      <c r="J9" s="774">
        <f>SUM(F9:I9)</f>
        <v>9981500</v>
      </c>
      <c r="K9" s="1061">
        <f>K10+K19+K30+K49+K60</f>
        <v>118975</v>
      </c>
      <c r="L9" s="775">
        <f>J9+K9</f>
        <v>10100475</v>
      </c>
      <c r="M9" s="1059">
        <f>M10+M19+M30+M49+M60</f>
        <v>3645779</v>
      </c>
      <c r="N9" s="259"/>
      <c r="O9" s="267">
        <f>O10+O19+O30+O49+O60</f>
        <v>4718</v>
      </c>
      <c r="P9" s="266">
        <f>P10+P19+P30+P49+P60</f>
        <v>2378891</v>
      </c>
      <c r="Q9" s="774">
        <f>SUM(O9:P9)</f>
        <v>2383609</v>
      </c>
      <c r="R9" s="1061">
        <f>R10+R19+R30+R49+R60</f>
        <v>97000</v>
      </c>
      <c r="S9" s="775">
        <f>Q9+R9</f>
        <v>2480609</v>
      </c>
      <c r="T9" s="1057">
        <f>T10+T19+T30</f>
        <v>1888972</v>
      </c>
      <c r="U9" s="280"/>
      <c r="V9" s="1101">
        <f>J9+Q9</f>
        <v>12365109</v>
      </c>
      <c r="W9" s="1061">
        <f>W10+W19+W30+W49+W60</f>
        <v>215975</v>
      </c>
      <c r="X9" s="775">
        <f>V9+W9</f>
        <v>12581084</v>
      </c>
      <c r="Y9" s="19"/>
      <c r="Z9" s="19"/>
    </row>
    <row r="10" spans="2:26" ht="15.75" thickTop="1">
      <c r="B10" s="32">
        <v>2</v>
      </c>
      <c r="C10" s="42">
        <v>1</v>
      </c>
      <c r="D10" s="43" t="s">
        <v>120</v>
      </c>
      <c r="E10" s="44"/>
      <c r="F10" s="316">
        <v>1262132</v>
      </c>
      <c r="G10" s="316">
        <v>456590</v>
      </c>
      <c r="H10" s="316">
        <v>515931</v>
      </c>
      <c r="I10" s="317">
        <v>103275</v>
      </c>
      <c r="J10" s="1062">
        <f aca="true" t="shared" si="0" ref="J10:J57">SUM(F10:I10)</f>
        <v>2337928</v>
      </c>
      <c r="K10" s="544">
        <f>-49600-17400+25000</f>
        <v>-42000</v>
      </c>
      <c r="L10" s="1063">
        <f aca="true" t="shared" si="1" ref="L10:L64">J10+K10</f>
        <v>2295928</v>
      </c>
      <c r="M10" s="1022">
        <f>SUM(M11:M18)</f>
        <v>925092</v>
      </c>
      <c r="N10" s="736"/>
      <c r="O10" s="557"/>
      <c r="P10" s="317">
        <f>SUM(P11:P18)</f>
        <v>8783</v>
      </c>
      <c r="Q10" s="1065">
        <f>SUM(O10:P10)</f>
        <v>8783</v>
      </c>
      <c r="R10" s="559"/>
      <c r="S10" s="957">
        <f aca="true" t="shared" si="2" ref="S10:S64">Q10+R10</f>
        <v>8783</v>
      </c>
      <c r="T10" s="1022">
        <f>SUM(T11:T17)</f>
        <v>1464</v>
      </c>
      <c r="U10" s="605"/>
      <c r="V10" s="561">
        <f>J10+Q10</f>
        <v>2346711</v>
      </c>
      <c r="W10" s="559">
        <f>K10+R10</f>
        <v>-42000</v>
      </c>
      <c r="X10" s="957">
        <f aca="true" t="shared" si="3" ref="X10:X64">V10+W10</f>
        <v>2304711</v>
      </c>
      <c r="Y10" s="19"/>
      <c r="Z10" s="19"/>
    </row>
    <row r="11" spans="2:26" s="594" customFormat="1" ht="15">
      <c r="B11" s="513">
        <f>B10+1</f>
        <v>3</v>
      </c>
      <c r="C11" s="752"/>
      <c r="D11" s="753"/>
      <c r="E11" s="754" t="s">
        <v>242</v>
      </c>
      <c r="F11" s="776"/>
      <c r="G11" s="776"/>
      <c r="H11" s="776"/>
      <c r="I11" s="777"/>
      <c r="J11" s="777"/>
      <c r="K11" s="777"/>
      <c r="L11" s="1066"/>
      <c r="M11" s="1022">
        <f>878952+18115</f>
        <v>897067</v>
      </c>
      <c r="N11" s="780"/>
      <c r="O11" s="1083"/>
      <c r="P11" s="1084"/>
      <c r="Q11" s="1084"/>
      <c r="R11" s="1084"/>
      <c r="S11" s="1085"/>
      <c r="T11" s="1022"/>
      <c r="U11" s="780"/>
      <c r="V11" s="1102"/>
      <c r="W11" s="1084"/>
      <c r="X11" s="1085"/>
      <c r="Y11" s="19"/>
      <c r="Z11" s="19"/>
    </row>
    <row r="12" spans="2:26" s="594" customFormat="1" ht="14.25">
      <c r="B12" s="513">
        <f aca="true" t="shared" si="4" ref="B12:B64">B11+1</f>
        <v>4</v>
      </c>
      <c r="C12" s="514"/>
      <c r="D12" s="742"/>
      <c r="E12" s="755" t="s">
        <v>207</v>
      </c>
      <c r="F12" s="538">
        <v>47132</v>
      </c>
      <c r="G12" s="539">
        <v>16590</v>
      </c>
      <c r="H12" s="588">
        <v>15931</v>
      </c>
      <c r="I12" s="539"/>
      <c r="J12" s="549">
        <f>SUM(F12:I12)</f>
        <v>79653</v>
      </c>
      <c r="K12" s="549"/>
      <c r="L12" s="550">
        <f t="shared" si="1"/>
        <v>79653</v>
      </c>
      <c r="M12" s="1020"/>
      <c r="N12" s="611"/>
      <c r="O12" s="567"/>
      <c r="P12" s="568"/>
      <c r="Q12" s="568">
        <f aca="true" t="shared" si="5" ref="Q12:Q17">SUM(O12:P12)</f>
        <v>0</v>
      </c>
      <c r="R12" s="568"/>
      <c r="S12" s="1086">
        <f t="shared" si="2"/>
        <v>0</v>
      </c>
      <c r="T12" s="1020"/>
      <c r="U12" s="611"/>
      <c r="V12" s="569">
        <f aca="true" t="shared" si="6" ref="V12:V17">J12+Q12</f>
        <v>79653</v>
      </c>
      <c r="W12" s="570">
        <f aca="true" t="shared" si="7" ref="W12:W64">K12+R12</f>
        <v>0</v>
      </c>
      <c r="X12" s="959">
        <f t="shared" si="3"/>
        <v>79653</v>
      </c>
      <c r="Y12" s="19"/>
      <c r="Z12" s="19"/>
    </row>
    <row r="13" spans="2:26" s="594" customFormat="1" ht="14.25">
      <c r="B13" s="513">
        <f t="shared" si="4"/>
        <v>5</v>
      </c>
      <c r="C13" s="514"/>
      <c r="D13" s="742"/>
      <c r="E13" s="755" t="s">
        <v>208</v>
      </c>
      <c r="F13" s="538"/>
      <c r="G13" s="539"/>
      <c r="H13" s="588"/>
      <c r="I13" s="539"/>
      <c r="J13" s="549"/>
      <c r="K13" s="549"/>
      <c r="L13" s="550">
        <f t="shared" si="1"/>
        <v>0</v>
      </c>
      <c r="M13" s="1020"/>
      <c r="N13" s="611"/>
      <c r="O13" s="567"/>
      <c r="P13" s="568"/>
      <c r="Q13" s="568">
        <f t="shared" si="5"/>
        <v>0</v>
      </c>
      <c r="R13" s="568"/>
      <c r="S13" s="1086">
        <f t="shared" si="2"/>
        <v>0</v>
      </c>
      <c r="T13" s="1020"/>
      <c r="U13" s="611"/>
      <c r="V13" s="569">
        <f t="shared" si="6"/>
        <v>0</v>
      </c>
      <c r="W13" s="570">
        <f t="shared" si="7"/>
        <v>0</v>
      </c>
      <c r="X13" s="959">
        <f t="shared" si="3"/>
        <v>0</v>
      </c>
      <c r="Y13" s="19"/>
      <c r="Z13" s="19"/>
    </row>
    <row r="14" spans="2:26" ht="14.25" customHeight="1">
      <c r="B14" s="133">
        <f t="shared" si="4"/>
        <v>6</v>
      </c>
      <c r="C14" s="40"/>
      <c r="D14" s="14"/>
      <c r="E14" s="284" t="s">
        <v>302</v>
      </c>
      <c r="F14" s="1067"/>
      <c r="G14" s="1068"/>
      <c r="H14" s="1069"/>
      <c r="I14" s="1068">
        <v>32930</v>
      </c>
      <c r="J14" s="1070">
        <f t="shared" si="0"/>
        <v>32930</v>
      </c>
      <c r="K14" s="1070"/>
      <c r="L14" s="1071">
        <f t="shared" si="1"/>
        <v>32930</v>
      </c>
      <c r="M14" s="1020">
        <v>11975</v>
      </c>
      <c r="N14" s="740"/>
      <c r="O14" s="1087"/>
      <c r="P14" s="1088"/>
      <c r="Q14" s="1088">
        <f t="shared" si="5"/>
        <v>0</v>
      </c>
      <c r="R14" s="1088"/>
      <c r="S14" s="1089">
        <f t="shared" si="2"/>
        <v>0</v>
      </c>
      <c r="T14" s="1020"/>
      <c r="U14" s="611"/>
      <c r="V14" s="1103">
        <f t="shared" si="6"/>
        <v>32930</v>
      </c>
      <c r="W14" s="1104">
        <f t="shared" si="7"/>
        <v>0</v>
      </c>
      <c r="X14" s="1105">
        <f t="shared" si="3"/>
        <v>32930</v>
      </c>
      <c r="Y14" s="19"/>
      <c r="Z14" s="19"/>
    </row>
    <row r="15" spans="2:26" ht="14.25">
      <c r="B15" s="133">
        <f t="shared" si="4"/>
        <v>7</v>
      </c>
      <c r="C15" s="40"/>
      <c r="D15" s="14"/>
      <c r="E15" s="282" t="s">
        <v>322</v>
      </c>
      <c r="F15" s="1067"/>
      <c r="G15" s="1068"/>
      <c r="H15" s="1069"/>
      <c r="I15" s="1068">
        <v>16465</v>
      </c>
      <c r="J15" s="1070">
        <f t="shared" si="0"/>
        <v>16465</v>
      </c>
      <c r="K15" s="1070"/>
      <c r="L15" s="1071">
        <f t="shared" si="1"/>
        <v>16465</v>
      </c>
      <c r="M15" s="1020">
        <v>0</v>
      </c>
      <c r="N15" s="740"/>
      <c r="O15" s="1087"/>
      <c r="P15" s="1088"/>
      <c r="Q15" s="1088">
        <f t="shared" si="5"/>
        <v>0</v>
      </c>
      <c r="R15" s="1088"/>
      <c r="S15" s="1089">
        <f t="shared" si="2"/>
        <v>0</v>
      </c>
      <c r="T15" s="1020"/>
      <c r="U15" s="611"/>
      <c r="V15" s="1103">
        <f t="shared" si="6"/>
        <v>16465</v>
      </c>
      <c r="W15" s="1104">
        <f t="shared" si="7"/>
        <v>0</v>
      </c>
      <c r="X15" s="1105">
        <f t="shared" si="3"/>
        <v>16465</v>
      </c>
      <c r="Y15" s="19"/>
      <c r="Z15" s="19"/>
    </row>
    <row r="16" spans="2:26" ht="14.25">
      <c r="B16" s="133">
        <f t="shared" si="4"/>
        <v>8</v>
      </c>
      <c r="C16" s="40"/>
      <c r="D16" s="14"/>
      <c r="E16" s="284" t="s">
        <v>301</v>
      </c>
      <c r="F16" s="1067"/>
      <c r="G16" s="1068"/>
      <c r="H16" s="1069"/>
      <c r="I16" s="1068">
        <v>53880</v>
      </c>
      <c r="J16" s="1070">
        <f t="shared" si="0"/>
        <v>53880</v>
      </c>
      <c r="K16" s="1070"/>
      <c r="L16" s="1071">
        <f t="shared" si="1"/>
        <v>53880</v>
      </c>
      <c r="M16" s="1020">
        <v>16050</v>
      </c>
      <c r="N16" s="740"/>
      <c r="O16" s="1090"/>
      <c r="P16" s="1070"/>
      <c r="Q16" s="1070">
        <f t="shared" si="5"/>
        <v>0</v>
      </c>
      <c r="R16" s="1070"/>
      <c r="S16" s="1071">
        <f t="shared" si="2"/>
        <v>0</v>
      </c>
      <c r="T16" s="1020"/>
      <c r="U16" s="611"/>
      <c r="V16" s="1106">
        <f t="shared" si="6"/>
        <v>53880</v>
      </c>
      <c r="W16" s="1076">
        <f t="shared" si="7"/>
        <v>0</v>
      </c>
      <c r="X16" s="1107">
        <f t="shared" si="3"/>
        <v>53880</v>
      </c>
      <c r="Y16" s="19"/>
      <c r="Z16" s="19"/>
    </row>
    <row r="17" spans="2:26" s="594" customFormat="1" ht="15">
      <c r="B17" s="513">
        <f t="shared" si="4"/>
        <v>9</v>
      </c>
      <c r="C17" s="514"/>
      <c r="D17" s="742"/>
      <c r="E17" s="526" t="s">
        <v>373</v>
      </c>
      <c r="F17" s="1072"/>
      <c r="G17" s="1073"/>
      <c r="H17" s="539"/>
      <c r="I17" s="1073"/>
      <c r="J17" s="549"/>
      <c r="K17" s="549"/>
      <c r="L17" s="550">
        <f t="shared" si="1"/>
        <v>0</v>
      </c>
      <c r="M17" s="1020"/>
      <c r="N17" s="701"/>
      <c r="O17" s="1091"/>
      <c r="P17" s="539">
        <v>8783</v>
      </c>
      <c r="Q17" s="549">
        <f t="shared" si="5"/>
        <v>8783</v>
      </c>
      <c r="R17" s="549"/>
      <c r="S17" s="550">
        <f t="shared" si="2"/>
        <v>8783</v>
      </c>
      <c r="T17" s="1020">
        <v>1464</v>
      </c>
      <c r="U17" s="701"/>
      <c r="V17" s="575">
        <f t="shared" si="6"/>
        <v>8783</v>
      </c>
      <c r="W17" s="576">
        <f t="shared" si="7"/>
        <v>0</v>
      </c>
      <c r="X17" s="960">
        <f t="shared" si="3"/>
        <v>8783</v>
      </c>
      <c r="Y17" s="19"/>
      <c r="Z17" s="19"/>
    </row>
    <row r="18" spans="2:26" s="594" customFormat="1" ht="14.25">
      <c r="B18" s="513">
        <f t="shared" si="4"/>
        <v>10</v>
      </c>
      <c r="C18" s="518"/>
      <c r="D18" s="742"/>
      <c r="E18" s="756"/>
      <c r="F18" s="538"/>
      <c r="G18" s="538"/>
      <c r="H18" s="548"/>
      <c r="I18" s="539"/>
      <c r="J18" s="549"/>
      <c r="K18" s="549"/>
      <c r="L18" s="550"/>
      <c r="M18" s="1020"/>
      <c r="N18" s="611"/>
      <c r="O18" s="577"/>
      <c r="P18" s="539"/>
      <c r="Q18" s="539"/>
      <c r="R18" s="539"/>
      <c r="S18" s="540"/>
      <c r="T18" s="1020"/>
      <c r="U18" s="611"/>
      <c r="V18" s="1108"/>
      <c r="W18" s="588"/>
      <c r="X18" s="1109"/>
      <c r="Y18" s="19"/>
      <c r="Z18" s="19"/>
    </row>
    <row r="19" spans="2:26" ht="15">
      <c r="B19" s="513">
        <f t="shared" si="4"/>
        <v>11</v>
      </c>
      <c r="C19" s="42">
        <v>2</v>
      </c>
      <c r="D19" s="43" t="s">
        <v>121</v>
      </c>
      <c r="E19" s="44"/>
      <c r="F19" s="316">
        <v>2956493</v>
      </c>
      <c r="G19" s="317">
        <v>1040739</v>
      </c>
      <c r="H19" s="317">
        <v>1188283</v>
      </c>
      <c r="I19" s="317">
        <v>12000</v>
      </c>
      <c r="J19" s="1064">
        <f t="shared" si="0"/>
        <v>5197515</v>
      </c>
      <c r="K19" s="552">
        <f>SUM(K20:K29)</f>
        <v>28510</v>
      </c>
      <c r="L19" s="961">
        <f t="shared" si="1"/>
        <v>5226025</v>
      </c>
      <c r="M19" s="1058">
        <f>SUM(M20:M29)</f>
        <v>1726169</v>
      </c>
      <c r="N19" s="736"/>
      <c r="O19" s="557">
        <f>SUM(O20:O29)</f>
        <v>4718</v>
      </c>
      <c r="P19" s="317">
        <f>SUM(P20:P29)</f>
        <v>2367862</v>
      </c>
      <c r="Q19" s="1065">
        <f>SUM(O19:P19)</f>
        <v>2372580</v>
      </c>
      <c r="R19" s="559">
        <f>SUM(R20:R29)</f>
        <v>60000</v>
      </c>
      <c r="S19" s="957">
        <f t="shared" si="2"/>
        <v>2432580</v>
      </c>
      <c r="T19" s="1058">
        <v>1887134</v>
      </c>
      <c r="U19" s="605"/>
      <c r="V19" s="561">
        <f>J19+Q19</f>
        <v>7570095</v>
      </c>
      <c r="W19" s="559">
        <f t="shared" si="7"/>
        <v>88510</v>
      </c>
      <c r="X19" s="957">
        <f t="shared" si="3"/>
        <v>7658605</v>
      </c>
      <c r="Y19" s="19"/>
      <c r="Z19" s="19"/>
    </row>
    <row r="20" spans="2:26" s="594" customFormat="1" ht="15">
      <c r="B20" s="513">
        <f t="shared" si="4"/>
        <v>12</v>
      </c>
      <c r="C20" s="514"/>
      <c r="D20" s="742"/>
      <c r="E20" s="757" t="s">
        <v>243</v>
      </c>
      <c r="F20" s="538"/>
      <c r="G20" s="538"/>
      <c r="H20" s="538"/>
      <c r="I20" s="539"/>
      <c r="J20" s="549"/>
      <c r="K20" s="549"/>
      <c r="L20" s="550"/>
      <c r="M20" s="1060">
        <v>1726169</v>
      </c>
      <c r="N20" s="701"/>
      <c r="O20" s="1092"/>
      <c r="P20" s="1093"/>
      <c r="Q20" s="1093"/>
      <c r="R20" s="1093"/>
      <c r="S20" s="1094"/>
      <c r="T20" s="1020"/>
      <c r="U20" s="701"/>
      <c r="V20" s="1110"/>
      <c r="W20" s="1111"/>
      <c r="X20" s="1112"/>
      <c r="Y20" s="19"/>
      <c r="Z20" s="19"/>
    </row>
    <row r="21" spans="2:26" s="594" customFormat="1" ht="15">
      <c r="B21" s="513">
        <f t="shared" si="4"/>
        <v>13</v>
      </c>
      <c r="C21" s="514"/>
      <c r="D21" s="742"/>
      <c r="E21" s="756" t="s">
        <v>145</v>
      </c>
      <c r="F21" s="538">
        <v>2904978</v>
      </c>
      <c r="G21" s="538">
        <v>1022584</v>
      </c>
      <c r="H21" s="538">
        <v>977318</v>
      </c>
      <c r="I21" s="539"/>
      <c r="J21" s="549">
        <f t="shared" si="0"/>
        <v>4904880</v>
      </c>
      <c r="K21" s="549"/>
      <c r="L21" s="550">
        <f t="shared" si="1"/>
        <v>4904880</v>
      </c>
      <c r="M21" s="1060"/>
      <c r="N21" s="701"/>
      <c r="O21" s="1092"/>
      <c r="P21" s="1093"/>
      <c r="Q21" s="568">
        <f aca="true" t="shared" si="8" ref="Q21:Q29">SUM(O21:P21)</f>
        <v>0</v>
      </c>
      <c r="R21" s="568"/>
      <c r="S21" s="1086">
        <f t="shared" si="2"/>
        <v>0</v>
      </c>
      <c r="T21" s="1020"/>
      <c r="U21" s="701"/>
      <c r="V21" s="569">
        <f>J21+Q21</f>
        <v>4904880</v>
      </c>
      <c r="W21" s="570">
        <f t="shared" si="7"/>
        <v>0</v>
      </c>
      <c r="X21" s="959">
        <f t="shared" si="3"/>
        <v>4904880</v>
      </c>
      <c r="Y21" s="19"/>
      <c r="Z21" s="19"/>
    </row>
    <row r="22" spans="2:26" s="594" customFormat="1" ht="15">
      <c r="B22" s="513">
        <f t="shared" si="4"/>
        <v>14</v>
      </c>
      <c r="C22" s="514"/>
      <c r="D22" s="742"/>
      <c r="E22" s="756" t="s">
        <v>202</v>
      </c>
      <c r="F22" s="1072"/>
      <c r="G22" s="1073"/>
      <c r="H22" s="539">
        <v>89712</v>
      </c>
      <c r="I22" s="539">
        <v>12000</v>
      </c>
      <c r="J22" s="549">
        <f>SUM(F22:I22)</f>
        <v>101712</v>
      </c>
      <c r="K22" s="549"/>
      <c r="L22" s="550">
        <f t="shared" si="1"/>
        <v>101712</v>
      </c>
      <c r="M22" s="1020"/>
      <c r="N22" s="701"/>
      <c r="O22" s="1092"/>
      <c r="P22" s="1093"/>
      <c r="Q22" s="568">
        <f t="shared" si="8"/>
        <v>0</v>
      </c>
      <c r="R22" s="568"/>
      <c r="S22" s="1086">
        <f t="shared" si="2"/>
        <v>0</v>
      </c>
      <c r="T22" s="1020"/>
      <c r="U22" s="701"/>
      <c r="V22" s="569">
        <f>J22+Q22</f>
        <v>101712</v>
      </c>
      <c r="W22" s="570">
        <f t="shared" si="7"/>
        <v>0</v>
      </c>
      <c r="X22" s="959">
        <f t="shared" si="3"/>
        <v>101712</v>
      </c>
      <c r="Y22" s="19"/>
      <c r="Z22" s="19"/>
    </row>
    <row r="23" spans="2:26" s="594" customFormat="1" ht="15">
      <c r="B23" s="513">
        <f t="shared" si="4"/>
        <v>15</v>
      </c>
      <c r="C23" s="514"/>
      <c r="D23" s="742"/>
      <c r="E23" s="756" t="s">
        <v>203</v>
      </c>
      <c r="F23" s="538">
        <v>15975</v>
      </c>
      <c r="G23" s="538">
        <v>5625</v>
      </c>
      <c r="H23" s="539"/>
      <c r="I23" s="539"/>
      <c r="J23" s="549">
        <f t="shared" si="0"/>
        <v>21600</v>
      </c>
      <c r="K23" s="549"/>
      <c r="L23" s="550">
        <f t="shared" si="1"/>
        <v>21600</v>
      </c>
      <c r="M23" s="1020"/>
      <c r="N23" s="701"/>
      <c r="O23" s="1092"/>
      <c r="P23" s="1093"/>
      <c r="Q23" s="568">
        <f t="shared" si="8"/>
        <v>0</v>
      </c>
      <c r="R23" s="568"/>
      <c r="S23" s="1086">
        <f t="shared" si="2"/>
        <v>0</v>
      </c>
      <c r="T23" s="1020"/>
      <c r="U23" s="701"/>
      <c r="V23" s="569">
        <f>J23+Q23</f>
        <v>21600</v>
      </c>
      <c r="W23" s="570">
        <f t="shared" si="7"/>
        <v>0</v>
      </c>
      <c r="X23" s="959">
        <f t="shared" si="3"/>
        <v>21600</v>
      </c>
      <c r="Y23" s="19"/>
      <c r="Z23" s="19"/>
    </row>
    <row r="24" spans="2:26" s="594" customFormat="1" ht="15">
      <c r="B24" s="513">
        <f t="shared" si="4"/>
        <v>16</v>
      </c>
      <c r="C24" s="514"/>
      <c r="D24" s="742"/>
      <c r="E24" s="756" t="s">
        <v>201</v>
      </c>
      <c r="F24" s="1072"/>
      <c r="G24" s="1073"/>
      <c r="H24" s="539"/>
      <c r="I24" s="1073"/>
      <c r="J24" s="549">
        <f t="shared" si="0"/>
        <v>0</v>
      </c>
      <c r="K24" s="549"/>
      <c r="L24" s="550">
        <f t="shared" si="1"/>
        <v>0</v>
      </c>
      <c r="M24" s="1020"/>
      <c r="N24" s="701"/>
      <c r="O24" s="1092"/>
      <c r="P24" s="1093"/>
      <c r="Q24" s="568">
        <f t="shared" si="8"/>
        <v>0</v>
      </c>
      <c r="R24" s="568"/>
      <c r="S24" s="1086">
        <f t="shared" si="2"/>
        <v>0</v>
      </c>
      <c r="T24" s="1020"/>
      <c r="U24" s="701"/>
      <c r="V24" s="569">
        <f aca="true" t="shared" si="9" ref="V24:V29">J24+Q24</f>
        <v>0</v>
      </c>
      <c r="W24" s="570">
        <f t="shared" si="7"/>
        <v>0</v>
      </c>
      <c r="X24" s="959">
        <f t="shared" si="3"/>
        <v>0</v>
      </c>
      <c r="Y24" s="19"/>
      <c r="Z24" s="19"/>
    </row>
    <row r="25" spans="2:26" s="594" customFormat="1" ht="15">
      <c r="B25" s="513">
        <f t="shared" si="4"/>
        <v>17</v>
      </c>
      <c r="C25" s="514"/>
      <c r="D25" s="742"/>
      <c r="E25" s="526" t="s">
        <v>373</v>
      </c>
      <c r="F25" s="1072"/>
      <c r="G25" s="1073"/>
      <c r="H25" s="539"/>
      <c r="I25" s="1073"/>
      <c r="J25" s="549"/>
      <c r="K25" s="549"/>
      <c r="L25" s="550">
        <f t="shared" si="1"/>
        <v>0</v>
      </c>
      <c r="M25" s="1020"/>
      <c r="N25" s="701"/>
      <c r="O25" s="1092"/>
      <c r="P25" s="568">
        <v>33580</v>
      </c>
      <c r="Q25" s="568">
        <f t="shared" si="8"/>
        <v>33580</v>
      </c>
      <c r="R25" s="568"/>
      <c r="S25" s="1086">
        <f t="shared" si="2"/>
        <v>33580</v>
      </c>
      <c r="T25" s="1020"/>
      <c r="U25" s="701"/>
      <c r="V25" s="569">
        <f t="shared" si="9"/>
        <v>33580</v>
      </c>
      <c r="W25" s="570">
        <f t="shared" si="7"/>
        <v>0</v>
      </c>
      <c r="X25" s="959">
        <f t="shared" si="3"/>
        <v>33580</v>
      </c>
      <c r="Y25" s="19"/>
      <c r="Z25" s="19"/>
    </row>
    <row r="26" spans="2:26" s="594" customFormat="1" ht="15">
      <c r="B26" s="513">
        <f t="shared" si="4"/>
        <v>18</v>
      </c>
      <c r="C26" s="514"/>
      <c r="D26" s="742"/>
      <c r="E26" s="526" t="s">
        <v>374</v>
      </c>
      <c r="F26" s="1072"/>
      <c r="G26" s="1073"/>
      <c r="H26" s="539"/>
      <c r="I26" s="1073"/>
      <c r="J26" s="549"/>
      <c r="K26" s="549"/>
      <c r="L26" s="550">
        <f t="shared" si="1"/>
        <v>0</v>
      </c>
      <c r="M26" s="1020"/>
      <c r="N26" s="701"/>
      <c r="O26" s="567">
        <v>2618</v>
      </c>
      <c r="P26" s="568">
        <v>1950000</v>
      </c>
      <c r="Q26" s="568">
        <f t="shared" si="8"/>
        <v>1952618</v>
      </c>
      <c r="R26" s="568"/>
      <c r="S26" s="1086">
        <f t="shared" si="2"/>
        <v>1952618</v>
      </c>
      <c r="T26" s="1020"/>
      <c r="U26" s="701"/>
      <c r="V26" s="569">
        <f t="shared" si="9"/>
        <v>1952618</v>
      </c>
      <c r="W26" s="570">
        <f t="shared" si="7"/>
        <v>0</v>
      </c>
      <c r="X26" s="959">
        <f t="shared" si="3"/>
        <v>1952618</v>
      </c>
      <c r="Y26" s="19"/>
      <c r="Z26" s="19"/>
    </row>
    <row r="27" spans="2:26" s="594" customFormat="1" ht="15">
      <c r="B27" s="513">
        <f t="shared" si="4"/>
        <v>19</v>
      </c>
      <c r="C27" s="514"/>
      <c r="D27" s="742"/>
      <c r="E27" s="755" t="s">
        <v>392</v>
      </c>
      <c r="F27" s="1072"/>
      <c r="G27" s="1073"/>
      <c r="H27" s="539"/>
      <c r="I27" s="1073"/>
      <c r="J27" s="549"/>
      <c r="K27" s="549"/>
      <c r="L27" s="550">
        <f t="shared" si="1"/>
        <v>0</v>
      </c>
      <c r="M27" s="1020"/>
      <c r="N27" s="701"/>
      <c r="O27" s="567"/>
      <c r="P27" s="568">
        <v>323382</v>
      </c>
      <c r="Q27" s="568">
        <f t="shared" si="8"/>
        <v>323382</v>
      </c>
      <c r="R27" s="568"/>
      <c r="S27" s="1086">
        <f t="shared" si="2"/>
        <v>323382</v>
      </c>
      <c r="T27" s="1020"/>
      <c r="U27" s="701"/>
      <c r="V27" s="569">
        <f t="shared" si="9"/>
        <v>323382</v>
      </c>
      <c r="W27" s="570">
        <f t="shared" si="7"/>
        <v>0</v>
      </c>
      <c r="X27" s="959">
        <f t="shared" si="3"/>
        <v>323382</v>
      </c>
      <c r="Y27" s="19"/>
      <c r="Z27" s="19"/>
    </row>
    <row r="28" spans="2:26" s="594" customFormat="1" ht="15">
      <c r="B28" s="513">
        <f t="shared" si="4"/>
        <v>20</v>
      </c>
      <c r="C28" s="514"/>
      <c r="D28" s="742"/>
      <c r="E28" s="755" t="s">
        <v>337</v>
      </c>
      <c r="F28" s="1072"/>
      <c r="G28" s="1073"/>
      <c r="H28" s="539"/>
      <c r="I28" s="1073"/>
      <c r="J28" s="549"/>
      <c r="K28" s="549"/>
      <c r="L28" s="550">
        <f t="shared" si="1"/>
        <v>0</v>
      </c>
      <c r="M28" s="1020"/>
      <c r="N28" s="701"/>
      <c r="O28" s="567">
        <v>2100</v>
      </c>
      <c r="P28" s="568">
        <v>60900</v>
      </c>
      <c r="Q28" s="568">
        <f t="shared" si="8"/>
        <v>63000</v>
      </c>
      <c r="R28" s="568">
        <v>60000</v>
      </c>
      <c r="S28" s="1086">
        <f t="shared" si="2"/>
        <v>123000</v>
      </c>
      <c r="T28" s="1020"/>
      <c r="U28" s="701"/>
      <c r="V28" s="569">
        <f t="shared" si="9"/>
        <v>63000</v>
      </c>
      <c r="W28" s="570">
        <f t="shared" si="7"/>
        <v>60000</v>
      </c>
      <c r="X28" s="959">
        <f t="shared" si="3"/>
        <v>123000</v>
      </c>
      <c r="Y28" s="19"/>
      <c r="Z28" s="19"/>
    </row>
    <row r="29" spans="2:26" s="594" customFormat="1" ht="15">
      <c r="B29" s="513">
        <f t="shared" si="4"/>
        <v>21</v>
      </c>
      <c r="C29" s="514"/>
      <c r="D29" s="742"/>
      <c r="E29" s="755" t="s">
        <v>429</v>
      </c>
      <c r="F29" s="1072"/>
      <c r="G29" s="1073"/>
      <c r="H29" s="539"/>
      <c r="I29" s="1073"/>
      <c r="J29" s="549"/>
      <c r="K29" s="549">
        <v>28510</v>
      </c>
      <c r="L29" s="550">
        <f t="shared" si="1"/>
        <v>28510</v>
      </c>
      <c r="M29" s="1020"/>
      <c r="N29" s="701"/>
      <c r="O29" s="1092"/>
      <c r="P29" s="568"/>
      <c r="Q29" s="568">
        <f t="shared" si="8"/>
        <v>0</v>
      </c>
      <c r="R29" s="568"/>
      <c r="S29" s="1086">
        <f t="shared" si="2"/>
        <v>0</v>
      </c>
      <c r="T29" s="1020"/>
      <c r="U29" s="701"/>
      <c r="V29" s="569">
        <f t="shared" si="9"/>
        <v>0</v>
      </c>
      <c r="W29" s="570">
        <f t="shared" si="7"/>
        <v>28510</v>
      </c>
      <c r="X29" s="959">
        <f t="shared" si="3"/>
        <v>28510</v>
      </c>
      <c r="Y29" s="19"/>
      <c r="Z29" s="19"/>
    </row>
    <row r="30" spans="2:26" ht="15">
      <c r="B30" s="513">
        <f t="shared" si="4"/>
        <v>22</v>
      </c>
      <c r="C30" s="42">
        <v>3</v>
      </c>
      <c r="D30" s="38" t="s">
        <v>174</v>
      </c>
      <c r="E30" s="39"/>
      <c r="F30" s="336">
        <f>F31+F32+F34+F38+F43+F44+F45+F46+F47</f>
        <v>799950</v>
      </c>
      <c r="G30" s="336">
        <f>G31+G32+G34+G38+G43+G44+G45+G46+G47</f>
        <v>281540</v>
      </c>
      <c r="H30" s="336">
        <f>H31+H32+H34+H38+H43+H44+H45+H46+H47</f>
        <v>113220</v>
      </c>
      <c r="I30" s="336">
        <f>I31+I32+I34+I38+I43+I44+I45+I46+I47</f>
        <v>253570</v>
      </c>
      <c r="J30" s="1064">
        <f t="shared" si="0"/>
        <v>1448280</v>
      </c>
      <c r="K30" s="552">
        <f>K31+K32+K34+K38+K43+K44+K45+K46+K47</f>
        <v>33450</v>
      </c>
      <c r="L30" s="961">
        <f t="shared" si="1"/>
        <v>1481730</v>
      </c>
      <c r="M30" s="1022">
        <f>SUM(M31:M48)</f>
        <v>594080</v>
      </c>
      <c r="N30" s="736"/>
      <c r="O30" s="578"/>
      <c r="P30" s="337">
        <f>P31+P32+P34+P38+P43+P44+P45+P46+P47</f>
        <v>2246</v>
      </c>
      <c r="Q30" s="1064">
        <f aca="true" t="shared" si="10" ref="Q30:Q50">SUM(O30:P30)</f>
        <v>2246</v>
      </c>
      <c r="R30" s="552"/>
      <c r="S30" s="961">
        <f t="shared" si="2"/>
        <v>2246</v>
      </c>
      <c r="T30" s="1022">
        <v>374</v>
      </c>
      <c r="U30" s="605"/>
      <c r="V30" s="579">
        <f>J30+Q30</f>
        <v>1450526</v>
      </c>
      <c r="W30" s="552">
        <f t="shared" si="7"/>
        <v>33450</v>
      </c>
      <c r="X30" s="961">
        <f t="shared" si="3"/>
        <v>1483976</v>
      </c>
      <c r="Y30" s="19"/>
      <c r="Z30" s="19"/>
    </row>
    <row r="31" spans="2:26" ht="14.25">
      <c r="B31" s="513">
        <f t="shared" si="4"/>
        <v>23</v>
      </c>
      <c r="C31" s="136"/>
      <c r="D31" s="55"/>
      <c r="E31" s="281" t="s">
        <v>303</v>
      </c>
      <c r="F31" s="1074">
        <v>6400</v>
      </c>
      <c r="G31" s="426">
        <v>2250</v>
      </c>
      <c r="H31" s="427">
        <v>980</v>
      </c>
      <c r="I31" s="426"/>
      <c r="J31" s="426">
        <f t="shared" si="0"/>
        <v>9630</v>
      </c>
      <c r="K31" s="426"/>
      <c r="L31" s="547">
        <f t="shared" si="1"/>
        <v>9630</v>
      </c>
      <c r="M31" s="1020">
        <v>3277</v>
      </c>
      <c r="N31" s="740"/>
      <c r="O31" s="562"/>
      <c r="P31" s="563"/>
      <c r="Q31" s="563">
        <f t="shared" si="10"/>
        <v>0</v>
      </c>
      <c r="R31" s="563"/>
      <c r="S31" s="1095">
        <f t="shared" si="2"/>
        <v>0</v>
      </c>
      <c r="T31" s="1020"/>
      <c r="U31" s="611"/>
      <c r="V31" s="565">
        <f>J31+Q31</f>
        <v>9630</v>
      </c>
      <c r="W31" s="566">
        <f t="shared" si="7"/>
        <v>0</v>
      </c>
      <c r="X31" s="958">
        <f t="shared" si="3"/>
        <v>9630</v>
      </c>
      <c r="Y31" s="19"/>
      <c r="Z31" s="19"/>
    </row>
    <row r="32" spans="2:26" ht="14.25">
      <c r="B32" s="513">
        <f t="shared" si="4"/>
        <v>24</v>
      </c>
      <c r="C32" s="40"/>
      <c r="D32" s="55"/>
      <c r="E32" s="281" t="s">
        <v>304</v>
      </c>
      <c r="F32" s="1074">
        <v>324850</v>
      </c>
      <c r="G32" s="426">
        <v>114300</v>
      </c>
      <c r="H32" s="426">
        <v>24500</v>
      </c>
      <c r="I32" s="426"/>
      <c r="J32" s="426">
        <f t="shared" si="0"/>
        <v>463650</v>
      </c>
      <c r="K32" s="426">
        <v>27450</v>
      </c>
      <c r="L32" s="547">
        <f t="shared" si="1"/>
        <v>491100</v>
      </c>
      <c r="M32" s="1020">
        <v>182379</v>
      </c>
      <c r="N32" s="740"/>
      <c r="O32" s="562"/>
      <c r="P32" s="563"/>
      <c r="Q32" s="563">
        <f t="shared" si="10"/>
        <v>0</v>
      </c>
      <c r="R32" s="563"/>
      <c r="S32" s="1095">
        <f t="shared" si="2"/>
        <v>0</v>
      </c>
      <c r="T32" s="1020"/>
      <c r="U32" s="611"/>
      <c r="V32" s="565">
        <f>J32+Q32</f>
        <v>463650</v>
      </c>
      <c r="W32" s="566">
        <f t="shared" si="7"/>
        <v>27450</v>
      </c>
      <c r="X32" s="958">
        <f t="shared" si="3"/>
        <v>491100</v>
      </c>
      <c r="Y32" s="19"/>
      <c r="Z32" s="19"/>
    </row>
    <row r="33" spans="2:26" s="594" customFormat="1" ht="14.25">
      <c r="B33" s="513">
        <f t="shared" si="4"/>
        <v>25</v>
      </c>
      <c r="C33" s="514"/>
      <c r="D33" s="742"/>
      <c r="E33" s="756"/>
      <c r="F33" s="538"/>
      <c r="G33" s="539"/>
      <c r="H33" s="588"/>
      <c r="I33" s="539"/>
      <c r="J33" s="549"/>
      <c r="K33" s="549"/>
      <c r="L33" s="550"/>
      <c r="M33" s="1020"/>
      <c r="N33" s="611"/>
      <c r="O33" s="567"/>
      <c r="P33" s="568"/>
      <c r="Q33" s="568">
        <f t="shared" si="10"/>
        <v>0</v>
      </c>
      <c r="R33" s="568"/>
      <c r="S33" s="1086">
        <f t="shared" si="2"/>
        <v>0</v>
      </c>
      <c r="T33" s="1020"/>
      <c r="U33" s="611"/>
      <c r="V33" s="569"/>
      <c r="W33" s="570"/>
      <c r="X33" s="959"/>
      <c r="Y33" s="19"/>
      <c r="Z33" s="19"/>
    </row>
    <row r="34" spans="2:26" ht="14.25">
      <c r="B34" s="513">
        <f t="shared" si="4"/>
        <v>26</v>
      </c>
      <c r="C34" s="40"/>
      <c r="D34" s="14"/>
      <c r="E34" s="281" t="s">
        <v>140</v>
      </c>
      <c r="F34" s="1074">
        <v>419000</v>
      </c>
      <c r="G34" s="426">
        <v>147490</v>
      </c>
      <c r="H34" s="426">
        <v>73400</v>
      </c>
      <c r="I34" s="426"/>
      <c r="J34" s="426">
        <f t="shared" si="0"/>
        <v>639890</v>
      </c>
      <c r="K34" s="426">
        <v>6000</v>
      </c>
      <c r="L34" s="547">
        <f t="shared" si="1"/>
        <v>645890</v>
      </c>
      <c r="M34" s="1020">
        <v>301511</v>
      </c>
      <c r="N34" s="740"/>
      <c r="O34" s="562"/>
      <c r="P34" s="563">
        <f>SUM(P35:P37)</f>
        <v>2246</v>
      </c>
      <c r="Q34" s="563">
        <f t="shared" si="10"/>
        <v>2246</v>
      </c>
      <c r="R34" s="563"/>
      <c r="S34" s="1095">
        <f t="shared" si="2"/>
        <v>2246</v>
      </c>
      <c r="T34" s="1020"/>
      <c r="U34" s="611"/>
      <c r="V34" s="565">
        <f>J34+Q34</f>
        <v>642136</v>
      </c>
      <c r="W34" s="566">
        <f t="shared" si="7"/>
        <v>6000</v>
      </c>
      <c r="X34" s="958">
        <f t="shared" si="3"/>
        <v>648136</v>
      </c>
      <c r="Y34" s="19"/>
      <c r="Z34" s="19"/>
    </row>
    <row r="35" spans="2:26" s="594" customFormat="1" ht="14.25">
      <c r="B35" s="513">
        <f t="shared" si="4"/>
        <v>27</v>
      </c>
      <c r="C35" s="758"/>
      <c r="D35" s="742"/>
      <c r="E35" s="756" t="s">
        <v>242</v>
      </c>
      <c r="F35" s="538"/>
      <c r="G35" s="539"/>
      <c r="H35" s="588"/>
      <c r="I35" s="539"/>
      <c r="J35" s="549"/>
      <c r="K35" s="549"/>
      <c r="L35" s="550">
        <f t="shared" si="1"/>
        <v>0</v>
      </c>
      <c r="M35" s="1020"/>
      <c r="N35" s="611"/>
      <c r="O35" s="567"/>
      <c r="P35" s="568"/>
      <c r="Q35" s="568">
        <f t="shared" si="10"/>
        <v>0</v>
      </c>
      <c r="R35" s="568"/>
      <c r="S35" s="1086">
        <f t="shared" si="2"/>
        <v>0</v>
      </c>
      <c r="T35" s="1020"/>
      <c r="U35" s="611"/>
      <c r="V35" s="569"/>
      <c r="W35" s="570">
        <f t="shared" si="7"/>
        <v>0</v>
      </c>
      <c r="X35" s="959">
        <f t="shared" si="3"/>
        <v>0</v>
      </c>
      <c r="Y35" s="19"/>
      <c r="Z35" s="19"/>
    </row>
    <row r="36" spans="2:26" s="594" customFormat="1" ht="14.25">
      <c r="B36" s="513">
        <f t="shared" si="4"/>
        <v>28</v>
      </c>
      <c r="C36" s="514"/>
      <c r="D36" s="742"/>
      <c r="E36" s="755" t="s">
        <v>201</v>
      </c>
      <c r="F36" s="538"/>
      <c r="G36" s="539"/>
      <c r="H36" s="588"/>
      <c r="I36" s="539"/>
      <c r="J36" s="549">
        <f t="shared" si="0"/>
        <v>0</v>
      </c>
      <c r="K36" s="549"/>
      <c r="L36" s="550">
        <f t="shared" si="1"/>
        <v>0</v>
      </c>
      <c r="M36" s="1020"/>
      <c r="N36" s="611"/>
      <c r="O36" s="567"/>
      <c r="P36" s="568"/>
      <c r="Q36" s="568">
        <f t="shared" si="10"/>
        <v>0</v>
      </c>
      <c r="R36" s="568"/>
      <c r="S36" s="1086">
        <f t="shared" si="2"/>
        <v>0</v>
      </c>
      <c r="T36" s="1020"/>
      <c r="U36" s="611"/>
      <c r="V36" s="569">
        <f>J36+Q36</f>
        <v>0</v>
      </c>
      <c r="W36" s="570">
        <f t="shared" si="7"/>
        <v>0</v>
      </c>
      <c r="X36" s="959">
        <f t="shared" si="3"/>
        <v>0</v>
      </c>
      <c r="Y36" s="19"/>
      <c r="Z36" s="19"/>
    </row>
    <row r="37" spans="2:26" s="594" customFormat="1" ht="14.25">
      <c r="B37" s="513">
        <f t="shared" si="4"/>
        <v>29</v>
      </c>
      <c r="C37" s="514"/>
      <c r="D37" s="742"/>
      <c r="E37" s="526" t="s">
        <v>373</v>
      </c>
      <c r="F37" s="538"/>
      <c r="G37" s="539"/>
      <c r="H37" s="588"/>
      <c r="I37" s="539"/>
      <c r="J37" s="549"/>
      <c r="K37" s="549"/>
      <c r="L37" s="550">
        <f t="shared" si="1"/>
        <v>0</v>
      </c>
      <c r="M37" s="1020"/>
      <c r="N37" s="611"/>
      <c r="O37" s="567"/>
      <c r="P37" s="568">
        <v>2246</v>
      </c>
      <c r="Q37" s="568">
        <f t="shared" si="10"/>
        <v>2246</v>
      </c>
      <c r="R37" s="568"/>
      <c r="S37" s="1086">
        <f t="shared" si="2"/>
        <v>2246</v>
      </c>
      <c r="T37" s="1020"/>
      <c r="U37" s="611"/>
      <c r="V37" s="569">
        <f>J37+Q37</f>
        <v>2246</v>
      </c>
      <c r="W37" s="570">
        <f t="shared" si="7"/>
        <v>0</v>
      </c>
      <c r="X37" s="959">
        <f>V37+W37</f>
        <v>2246</v>
      </c>
      <c r="Y37" s="19"/>
      <c r="Z37" s="19"/>
    </row>
    <row r="38" spans="2:26" ht="14.25">
      <c r="B38" s="513">
        <f t="shared" si="4"/>
        <v>30</v>
      </c>
      <c r="C38" s="40"/>
      <c r="D38" s="14"/>
      <c r="E38" s="281" t="s">
        <v>204</v>
      </c>
      <c r="F38" s="1074">
        <v>49700</v>
      </c>
      <c r="G38" s="426">
        <v>17500</v>
      </c>
      <c r="H38" s="426">
        <v>14340</v>
      </c>
      <c r="I38" s="426"/>
      <c r="J38" s="426">
        <f t="shared" si="0"/>
        <v>81540</v>
      </c>
      <c r="K38" s="426"/>
      <c r="L38" s="547">
        <f t="shared" si="1"/>
        <v>81540</v>
      </c>
      <c r="M38" s="1020">
        <v>36753</v>
      </c>
      <c r="N38" s="740"/>
      <c r="O38" s="562"/>
      <c r="P38" s="563">
        <f>SUM(P39:P42)</f>
        <v>0</v>
      </c>
      <c r="Q38" s="563">
        <f t="shared" si="10"/>
        <v>0</v>
      </c>
      <c r="R38" s="563"/>
      <c r="S38" s="1095">
        <f t="shared" si="2"/>
        <v>0</v>
      </c>
      <c r="T38" s="1020"/>
      <c r="U38" s="611"/>
      <c r="V38" s="565">
        <f>J38+Q38</f>
        <v>81540</v>
      </c>
      <c r="W38" s="566">
        <f t="shared" si="7"/>
        <v>0</v>
      </c>
      <c r="X38" s="958">
        <f t="shared" si="3"/>
        <v>81540</v>
      </c>
      <c r="Y38" s="19"/>
      <c r="Z38" s="19"/>
    </row>
    <row r="39" spans="2:26" s="594" customFormat="1" ht="14.25">
      <c r="B39" s="513">
        <f t="shared" si="4"/>
        <v>31</v>
      </c>
      <c r="C39" s="758"/>
      <c r="D39" s="742"/>
      <c r="E39" s="756" t="s">
        <v>242</v>
      </c>
      <c r="F39" s="538"/>
      <c r="G39" s="539"/>
      <c r="H39" s="588"/>
      <c r="I39" s="539"/>
      <c r="J39" s="549"/>
      <c r="K39" s="549"/>
      <c r="L39" s="550">
        <f t="shared" si="1"/>
        <v>0</v>
      </c>
      <c r="M39" s="1020"/>
      <c r="N39" s="611"/>
      <c r="O39" s="567"/>
      <c r="P39" s="568"/>
      <c r="Q39" s="568">
        <f t="shared" si="10"/>
        <v>0</v>
      </c>
      <c r="R39" s="568"/>
      <c r="S39" s="1086">
        <f t="shared" si="2"/>
        <v>0</v>
      </c>
      <c r="T39" s="1020"/>
      <c r="U39" s="611"/>
      <c r="V39" s="569"/>
      <c r="W39" s="570">
        <f t="shared" si="7"/>
        <v>0</v>
      </c>
      <c r="X39" s="959">
        <f t="shared" si="3"/>
        <v>0</v>
      </c>
      <c r="Y39" s="19"/>
      <c r="Z39" s="19"/>
    </row>
    <row r="40" spans="2:26" s="594" customFormat="1" ht="14.25">
      <c r="B40" s="513">
        <f t="shared" si="4"/>
        <v>32</v>
      </c>
      <c r="C40" s="514"/>
      <c r="D40" s="742"/>
      <c r="E40" s="755" t="s">
        <v>201</v>
      </c>
      <c r="F40" s="538"/>
      <c r="G40" s="539"/>
      <c r="H40" s="588"/>
      <c r="I40" s="539"/>
      <c r="J40" s="549"/>
      <c r="K40" s="549"/>
      <c r="L40" s="550">
        <f t="shared" si="1"/>
        <v>0</v>
      </c>
      <c r="M40" s="1020"/>
      <c r="N40" s="611"/>
      <c r="O40" s="567"/>
      <c r="P40" s="568"/>
      <c r="Q40" s="568">
        <f t="shared" si="10"/>
        <v>0</v>
      </c>
      <c r="R40" s="568"/>
      <c r="S40" s="1086">
        <f t="shared" si="2"/>
        <v>0</v>
      </c>
      <c r="T40" s="1020"/>
      <c r="U40" s="611"/>
      <c r="V40" s="569">
        <f>J40+Q40</f>
        <v>0</v>
      </c>
      <c r="W40" s="570">
        <f t="shared" si="7"/>
        <v>0</v>
      </c>
      <c r="X40" s="959">
        <f t="shared" si="3"/>
        <v>0</v>
      </c>
      <c r="Y40" s="19"/>
      <c r="Z40" s="19"/>
    </row>
    <row r="41" spans="2:26" s="594" customFormat="1" ht="14.25">
      <c r="B41" s="513">
        <f t="shared" si="4"/>
        <v>33</v>
      </c>
      <c r="C41" s="514"/>
      <c r="D41" s="742"/>
      <c r="E41" s="759" t="s">
        <v>137</v>
      </c>
      <c r="F41" s="538"/>
      <c r="G41" s="539"/>
      <c r="H41" s="588">
        <v>340</v>
      </c>
      <c r="I41" s="539"/>
      <c r="J41" s="549">
        <f t="shared" si="0"/>
        <v>340</v>
      </c>
      <c r="K41" s="549"/>
      <c r="L41" s="550">
        <f t="shared" si="1"/>
        <v>340</v>
      </c>
      <c r="M41" s="1020"/>
      <c r="N41" s="611"/>
      <c r="O41" s="567"/>
      <c r="P41" s="568"/>
      <c r="Q41" s="568">
        <f t="shared" si="10"/>
        <v>0</v>
      </c>
      <c r="R41" s="568"/>
      <c r="S41" s="1086">
        <f t="shared" si="2"/>
        <v>0</v>
      </c>
      <c r="T41" s="1020"/>
      <c r="U41" s="611"/>
      <c r="V41" s="569">
        <f>J41+Q41</f>
        <v>340</v>
      </c>
      <c r="W41" s="570">
        <f t="shared" si="7"/>
        <v>0</v>
      </c>
      <c r="X41" s="959">
        <f t="shared" si="3"/>
        <v>340</v>
      </c>
      <c r="Y41" s="19"/>
      <c r="Z41" s="19"/>
    </row>
    <row r="42" spans="2:26" s="594" customFormat="1" ht="14.25">
      <c r="B42" s="513">
        <f t="shared" si="4"/>
        <v>34</v>
      </c>
      <c r="C42" s="514"/>
      <c r="D42" s="742"/>
      <c r="E42" s="760"/>
      <c r="F42" s="538"/>
      <c r="G42" s="539"/>
      <c r="H42" s="588"/>
      <c r="I42" s="539"/>
      <c r="J42" s="549">
        <f t="shared" si="0"/>
        <v>0</v>
      </c>
      <c r="K42" s="549"/>
      <c r="L42" s="550"/>
      <c r="M42" s="1020"/>
      <c r="N42" s="611"/>
      <c r="O42" s="567"/>
      <c r="P42" s="568"/>
      <c r="Q42" s="568">
        <f t="shared" si="10"/>
        <v>0</v>
      </c>
      <c r="R42" s="568"/>
      <c r="S42" s="1086">
        <f t="shared" si="2"/>
        <v>0</v>
      </c>
      <c r="T42" s="1020"/>
      <c r="U42" s="611"/>
      <c r="V42" s="569"/>
      <c r="W42" s="570">
        <f t="shared" si="7"/>
        <v>0</v>
      </c>
      <c r="X42" s="959">
        <f t="shared" si="3"/>
        <v>0</v>
      </c>
      <c r="Y42" s="19"/>
      <c r="Z42" s="19"/>
    </row>
    <row r="43" spans="2:26" ht="14.25">
      <c r="B43" s="513">
        <f t="shared" si="4"/>
        <v>35</v>
      </c>
      <c r="C43" s="31"/>
      <c r="D43" s="14"/>
      <c r="E43" s="283" t="s">
        <v>266</v>
      </c>
      <c r="F43" s="1067"/>
      <c r="G43" s="1068"/>
      <c r="H43" s="1069"/>
      <c r="I43" s="1068">
        <v>29740</v>
      </c>
      <c r="J43" s="426">
        <f t="shared" si="0"/>
        <v>29740</v>
      </c>
      <c r="K43" s="426"/>
      <c r="L43" s="547">
        <f t="shared" si="1"/>
        <v>29740</v>
      </c>
      <c r="M43" s="1020">
        <v>6030</v>
      </c>
      <c r="N43" s="740"/>
      <c r="O43" s="1087"/>
      <c r="P43" s="1088"/>
      <c r="Q43" s="1088">
        <f t="shared" si="10"/>
        <v>0</v>
      </c>
      <c r="R43" s="1088"/>
      <c r="S43" s="1089">
        <f t="shared" si="2"/>
        <v>0</v>
      </c>
      <c r="T43" s="1020"/>
      <c r="U43" s="611"/>
      <c r="V43" s="1103">
        <f>J43+Q43</f>
        <v>29740</v>
      </c>
      <c r="W43" s="1104">
        <f t="shared" si="7"/>
        <v>0</v>
      </c>
      <c r="X43" s="1105">
        <f t="shared" si="3"/>
        <v>29740</v>
      </c>
      <c r="Y43" s="19"/>
      <c r="Z43" s="19"/>
    </row>
    <row r="44" spans="2:26" ht="14.25">
      <c r="B44" s="133">
        <f t="shared" si="4"/>
        <v>36</v>
      </c>
      <c r="C44" s="135"/>
      <c r="D44" s="14"/>
      <c r="E44" s="283" t="s">
        <v>209</v>
      </c>
      <c r="F44" s="1067"/>
      <c r="G44" s="1068"/>
      <c r="H44" s="1069"/>
      <c r="I44" s="1068">
        <v>23895</v>
      </c>
      <c r="J44" s="426">
        <f t="shared" si="0"/>
        <v>23895</v>
      </c>
      <c r="K44" s="426"/>
      <c r="L44" s="547">
        <f t="shared" si="1"/>
        <v>23895</v>
      </c>
      <c r="M44" s="1020">
        <v>12350</v>
      </c>
      <c r="N44" s="740"/>
      <c r="O44" s="1087"/>
      <c r="P44" s="1088"/>
      <c r="Q44" s="1088">
        <f t="shared" si="10"/>
        <v>0</v>
      </c>
      <c r="R44" s="1088"/>
      <c r="S44" s="1089">
        <f t="shared" si="2"/>
        <v>0</v>
      </c>
      <c r="T44" s="1020"/>
      <c r="U44" s="611"/>
      <c r="V44" s="1103">
        <f>J44+Q44</f>
        <v>23895</v>
      </c>
      <c r="W44" s="1104">
        <f t="shared" si="7"/>
        <v>0</v>
      </c>
      <c r="X44" s="1105">
        <f t="shared" si="3"/>
        <v>23895</v>
      </c>
      <c r="Y44" s="19"/>
      <c r="Z44" s="19"/>
    </row>
    <row r="45" spans="2:26" ht="14.25">
      <c r="B45" s="133">
        <f t="shared" si="4"/>
        <v>37</v>
      </c>
      <c r="C45" s="135"/>
      <c r="D45" s="14"/>
      <c r="E45" s="283" t="s">
        <v>210</v>
      </c>
      <c r="F45" s="1067"/>
      <c r="G45" s="1068"/>
      <c r="H45" s="1069"/>
      <c r="I45" s="1068">
        <v>66985</v>
      </c>
      <c r="J45" s="426">
        <f t="shared" si="0"/>
        <v>66985</v>
      </c>
      <c r="K45" s="426"/>
      <c r="L45" s="547">
        <f t="shared" si="1"/>
        <v>66985</v>
      </c>
      <c r="M45" s="1020">
        <v>16525</v>
      </c>
      <c r="N45" s="740"/>
      <c r="O45" s="1087"/>
      <c r="P45" s="1088"/>
      <c r="Q45" s="1088">
        <f t="shared" si="10"/>
        <v>0</v>
      </c>
      <c r="R45" s="1088"/>
      <c r="S45" s="1089">
        <f t="shared" si="2"/>
        <v>0</v>
      </c>
      <c r="T45" s="1020"/>
      <c r="U45" s="611"/>
      <c r="V45" s="1103">
        <f>J45+Q45</f>
        <v>66985</v>
      </c>
      <c r="W45" s="1104">
        <f t="shared" si="7"/>
        <v>0</v>
      </c>
      <c r="X45" s="1105">
        <f t="shared" si="3"/>
        <v>66985</v>
      </c>
      <c r="Y45" s="19"/>
      <c r="Z45" s="19"/>
    </row>
    <row r="46" spans="2:26" ht="14.25">
      <c r="B46" s="133">
        <f t="shared" si="4"/>
        <v>38</v>
      </c>
      <c r="C46" s="135"/>
      <c r="D46" s="14"/>
      <c r="E46" s="283" t="s">
        <v>211</v>
      </c>
      <c r="F46" s="1067"/>
      <c r="G46" s="1068"/>
      <c r="H46" s="1069"/>
      <c r="I46" s="1068">
        <v>114730</v>
      </c>
      <c r="J46" s="426">
        <f t="shared" si="0"/>
        <v>114730</v>
      </c>
      <c r="K46" s="426"/>
      <c r="L46" s="547">
        <f t="shared" si="1"/>
        <v>114730</v>
      </c>
      <c r="M46" s="1020">
        <v>29035</v>
      </c>
      <c r="N46" s="740"/>
      <c r="O46" s="1087"/>
      <c r="P46" s="1088"/>
      <c r="Q46" s="1088">
        <f t="shared" si="10"/>
        <v>0</v>
      </c>
      <c r="R46" s="1088"/>
      <c r="S46" s="1089">
        <f t="shared" si="2"/>
        <v>0</v>
      </c>
      <c r="T46" s="1020"/>
      <c r="U46" s="611"/>
      <c r="V46" s="1103">
        <f>J46+Q46</f>
        <v>114730</v>
      </c>
      <c r="W46" s="1104">
        <f t="shared" si="7"/>
        <v>0</v>
      </c>
      <c r="X46" s="1105">
        <f t="shared" si="3"/>
        <v>114730</v>
      </c>
      <c r="Y46" s="19"/>
      <c r="Z46" s="19"/>
    </row>
    <row r="47" spans="2:26" ht="14.25">
      <c r="B47" s="133">
        <f t="shared" si="4"/>
        <v>39</v>
      </c>
      <c r="C47" s="135"/>
      <c r="D47" s="14"/>
      <c r="E47" s="283" t="s">
        <v>212</v>
      </c>
      <c r="F47" s="1067"/>
      <c r="G47" s="1068"/>
      <c r="H47" s="1069"/>
      <c r="I47" s="1068">
        <v>18220</v>
      </c>
      <c r="J47" s="426">
        <f t="shared" si="0"/>
        <v>18220</v>
      </c>
      <c r="K47" s="426"/>
      <c r="L47" s="547">
        <f t="shared" si="1"/>
        <v>18220</v>
      </c>
      <c r="M47" s="1020">
        <v>6220</v>
      </c>
      <c r="N47" s="740"/>
      <c r="O47" s="1087"/>
      <c r="P47" s="1088"/>
      <c r="Q47" s="1088">
        <f t="shared" si="10"/>
        <v>0</v>
      </c>
      <c r="R47" s="1088"/>
      <c r="S47" s="1089">
        <f t="shared" si="2"/>
        <v>0</v>
      </c>
      <c r="T47" s="1020"/>
      <c r="U47" s="611"/>
      <c r="V47" s="1103">
        <f>J47+Q47</f>
        <v>18220</v>
      </c>
      <c r="W47" s="1104">
        <f t="shared" si="7"/>
        <v>0</v>
      </c>
      <c r="X47" s="1105">
        <f t="shared" si="3"/>
        <v>18220</v>
      </c>
      <c r="Y47" s="19"/>
      <c r="Z47" s="19"/>
    </row>
    <row r="48" spans="2:26" s="594" customFormat="1" ht="14.25">
      <c r="B48" s="513">
        <f t="shared" si="4"/>
        <v>40</v>
      </c>
      <c r="C48" s="761"/>
      <c r="D48" s="742"/>
      <c r="E48" s="756"/>
      <c r="F48" s="538"/>
      <c r="G48" s="539"/>
      <c r="H48" s="588"/>
      <c r="I48" s="539"/>
      <c r="J48" s="549"/>
      <c r="K48" s="549"/>
      <c r="L48" s="550"/>
      <c r="M48" s="1020"/>
      <c r="N48" s="611"/>
      <c r="O48" s="573"/>
      <c r="P48" s="549"/>
      <c r="Q48" s="549"/>
      <c r="R48" s="549"/>
      <c r="S48" s="550"/>
      <c r="T48" s="1020"/>
      <c r="U48" s="611"/>
      <c r="V48" s="575"/>
      <c r="W48" s="576"/>
      <c r="X48" s="960"/>
      <c r="Y48" s="19"/>
      <c r="Z48" s="19"/>
    </row>
    <row r="49" spans="2:26" ht="15">
      <c r="B49" s="133">
        <f t="shared" si="4"/>
        <v>41</v>
      </c>
      <c r="C49" s="42">
        <v>4</v>
      </c>
      <c r="D49" s="43" t="s">
        <v>122</v>
      </c>
      <c r="E49" s="44"/>
      <c r="F49" s="316">
        <f>F50+F52+F54+F55+F56+F57</f>
        <v>487110</v>
      </c>
      <c r="G49" s="316">
        <f>G50+G52+G54+G55+G56+G57</f>
        <v>171630</v>
      </c>
      <c r="H49" s="316">
        <f>H50+H52+H54+H55+H56+H57</f>
        <v>31450</v>
      </c>
      <c r="I49" s="316">
        <v>131285</v>
      </c>
      <c r="J49" s="1064">
        <f>SUM(F49:I49)</f>
        <v>821475</v>
      </c>
      <c r="K49" s="552">
        <f>K50+K52+K54+K55+K56+K57</f>
        <v>79015</v>
      </c>
      <c r="L49" s="961">
        <f t="shared" si="1"/>
        <v>900490</v>
      </c>
      <c r="M49" s="1022">
        <f>SUM(M50:M57)</f>
        <v>324130</v>
      </c>
      <c r="N49" s="736"/>
      <c r="O49" s="578"/>
      <c r="P49" s="337"/>
      <c r="Q49" s="1065">
        <f t="shared" si="10"/>
        <v>0</v>
      </c>
      <c r="R49" s="559">
        <f>R59</f>
        <v>37000</v>
      </c>
      <c r="S49" s="957">
        <f t="shared" si="2"/>
        <v>37000</v>
      </c>
      <c r="T49" s="1022"/>
      <c r="U49" s="605"/>
      <c r="V49" s="561">
        <f>J49+Q49</f>
        <v>821475</v>
      </c>
      <c r="W49" s="559">
        <f t="shared" si="7"/>
        <v>116015</v>
      </c>
      <c r="X49" s="957">
        <f t="shared" si="3"/>
        <v>937490</v>
      </c>
      <c r="Y49" s="19"/>
      <c r="Z49" s="19"/>
    </row>
    <row r="50" spans="2:26" ht="14.25">
      <c r="B50" s="133">
        <f t="shared" si="4"/>
        <v>42</v>
      </c>
      <c r="C50" s="137"/>
      <c r="D50" s="2"/>
      <c r="E50" s="281" t="s">
        <v>306</v>
      </c>
      <c r="F50" s="1075">
        <v>208610</v>
      </c>
      <c r="G50" s="1070">
        <v>73600</v>
      </c>
      <c r="H50" s="1076">
        <v>10090</v>
      </c>
      <c r="I50" s="1070"/>
      <c r="J50" s="426">
        <f t="shared" si="0"/>
        <v>292300</v>
      </c>
      <c r="K50" s="426">
        <f>-17100-5900+5000</f>
        <v>-18000</v>
      </c>
      <c r="L50" s="547">
        <f t="shared" si="1"/>
        <v>274300</v>
      </c>
      <c r="M50" s="1020">
        <v>107881</v>
      </c>
      <c r="N50" s="740"/>
      <c r="O50" s="1087"/>
      <c r="P50" s="1088"/>
      <c r="Q50" s="1088">
        <f t="shared" si="10"/>
        <v>0</v>
      </c>
      <c r="R50" s="1088"/>
      <c r="S50" s="1089">
        <f t="shared" si="2"/>
        <v>0</v>
      </c>
      <c r="T50" s="1020"/>
      <c r="U50" s="611"/>
      <c r="V50" s="1103">
        <f>J50+Q50</f>
        <v>292300</v>
      </c>
      <c r="W50" s="1104">
        <f t="shared" si="7"/>
        <v>-18000</v>
      </c>
      <c r="X50" s="1105">
        <f t="shared" si="3"/>
        <v>274300</v>
      </c>
      <c r="Y50" s="19"/>
      <c r="Z50" s="19"/>
    </row>
    <row r="51" spans="2:26" s="594" customFormat="1" ht="14.25">
      <c r="B51" s="513">
        <f t="shared" si="4"/>
        <v>43</v>
      </c>
      <c r="C51" s="514"/>
      <c r="D51" s="742"/>
      <c r="E51" s="756"/>
      <c r="F51" s="538"/>
      <c r="G51" s="539"/>
      <c r="H51" s="588"/>
      <c r="I51" s="539"/>
      <c r="J51" s="549"/>
      <c r="K51" s="549"/>
      <c r="L51" s="550"/>
      <c r="M51" s="1020"/>
      <c r="N51" s="611"/>
      <c r="O51" s="567"/>
      <c r="P51" s="568"/>
      <c r="Q51" s="568"/>
      <c r="R51" s="568"/>
      <c r="S51" s="1086">
        <f t="shared" si="2"/>
        <v>0</v>
      </c>
      <c r="T51" s="1020"/>
      <c r="U51" s="611"/>
      <c r="V51" s="569"/>
      <c r="W51" s="570">
        <f t="shared" si="7"/>
        <v>0</v>
      </c>
      <c r="X51" s="959">
        <f t="shared" si="3"/>
        <v>0</v>
      </c>
      <c r="Y51" s="19"/>
      <c r="Z51" s="19"/>
    </row>
    <row r="52" spans="2:26" ht="14.25">
      <c r="B52" s="133">
        <f t="shared" si="4"/>
        <v>44</v>
      </c>
      <c r="C52" s="40"/>
      <c r="D52" s="2"/>
      <c r="E52" s="282" t="s">
        <v>305</v>
      </c>
      <c r="F52" s="1075">
        <v>278500</v>
      </c>
      <c r="G52" s="1070">
        <v>98030</v>
      </c>
      <c r="H52" s="1076">
        <v>21360</v>
      </c>
      <c r="I52" s="1070">
        <v>91825</v>
      </c>
      <c r="J52" s="426">
        <f t="shared" si="0"/>
        <v>489715</v>
      </c>
      <c r="K52" s="426">
        <v>97015</v>
      </c>
      <c r="L52" s="547">
        <f>J52+K52</f>
        <v>586730</v>
      </c>
      <c r="M52" s="1020">
        <f>162384+39150</f>
        <v>201534</v>
      </c>
      <c r="N52" s="740"/>
      <c r="O52" s="1096"/>
      <c r="P52" s="1070"/>
      <c r="Q52" s="1088">
        <f>SUM(O52:P52)</f>
        <v>0</v>
      </c>
      <c r="R52" s="1088"/>
      <c r="S52" s="1089">
        <f t="shared" si="2"/>
        <v>0</v>
      </c>
      <c r="T52" s="1020"/>
      <c r="U52" s="611"/>
      <c r="V52" s="1103">
        <f>J52+Q52</f>
        <v>489715</v>
      </c>
      <c r="W52" s="1104">
        <f t="shared" si="7"/>
        <v>97015</v>
      </c>
      <c r="X52" s="1105">
        <f t="shared" si="3"/>
        <v>586730</v>
      </c>
      <c r="Y52" s="19"/>
      <c r="Z52" s="19"/>
    </row>
    <row r="53" spans="2:26" s="594" customFormat="1" ht="15">
      <c r="B53" s="513">
        <f t="shared" si="4"/>
        <v>45</v>
      </c>
      <c r="C53" s="514"/>
      <c r="D53" s="762"/>
      <c r="E53" s="756" t="s">
        <v>244</v>
      </c>
      <c r="F53" s="1072"/>
      <c r="G53" s="1073"/>
      <c r="H53" s="1077"/>
      <c r="I53" s="1073"/>
      <c r="J53" s="1078"/>
      <c r="K53" s="1078"/>
      <c r="L53" s="1079"/>
      <c r="M53" s="1020"/>
      <c r="N53" s="701"/>
      <c r="O53" s="1092"/>
      <c r="P53" s="1093"/>
      <c r="Q53" s="1093">
        <f>SUM(O53:P53)</f>
        <v>0</v>
      </c>
      <c r="R53" s="1093"/>
      <c r="S53" s="1094">
        <f t="shared" si="2"/>
        <v>0</v>
      </c>
      <c r="T53" s="1020"/>
      <c r="U53" s="701"/>
      <c r="V53" s="1110"/>
      <c r="W53" s="1111">
        <f t="shared" si="7"/>
        <v>0</v>
      </c>
      <c r="X53" s="1112">
        <f t="shared" si="3"/>
        <v>0</v>
      </c>
      <c r="Y53" s="19"/>
      <c r="Z53" s="19"/>
    </row>
    <row r="54" spans="2:26" s="45" customFormat="1" ht="15">
      <c r="B54" s="133">
        <f t="shared" si="4"/>
        <v>46</v>
      </c>
      <c r="C54" s="40"/>
      <c r="D54" s="134"/>
      <c r="E54" s="284" t="s">
        <v>213</v>
      </c>
      <c r="F54" s="1067"/>
      <c r="G54" s="1068"/>
      <c r="H54" s="1069"/>
      <c r="I54" s="1068">
        <v>20725</v>
      </c>
      <c r="J54" s="426">
        <f t="shared" si="0"/>
        <v>20725</v>
      </c>
      <c r="K54" s="426"/>
      <c r="L54" s="547">
        <f t="shared" si="1"/>
        <v>20725</v>
      </c>
      <c r="M54" s="1020">
        <v>7825</v>
      </c>
      <c r="N54" s="740"/>
      <c r="O54" s="1097"/>
      <c r="P54" s="1088"/>
      <c r="Q54" s="1088">
        <f>SUM(O54:P54)</f>
        <v>0</v>
      </c>
      <c r="R54" s="1088"/>
      <c r="S54" s="1089">
        <f t="shared" si="2"/>
        <v>0</v>
      </c>
      <c r="T54" s="1020"/>
      <c r="U54" s="701"/>
      <c r="V54" s="1103">
        <f>J54+Q54</f>
        <v>20725</v>
      </c>
      <c r="W54" s="1104">
        <f t="shared" si="7"/>
        <v>0</v>
      </c>
      <c r="X54" s="1105">
        <f t="shared" si="3"/>
        <v>20725</v>
      </c>
      <c r="Y54" s="19"/>
      <c r="Z54" s="19"/>
    </row>
    <row r="55" spans="2:26" s="45" customFormat="1" ht="15">
      <c r="B55" s="133">
        <f t="shared" si="4"/>
        <v>47</v>
      </c>
      <c r="C55" s="40"/>
      <c r="D55" s="134"/>
      <c r="E55" s="284" t="s">
        <v>214</v>
      </c>
      <c r="F55" s="1067"/>
      <c r="G55" s="1068"/>
      <c r="H55" s="1069"/>
      <c r="I55" s="1068">
        <v>15910</v>
      </c>
      <c r="J55" s="426">
        <f t="shared" si="0"/>
        <v>15910</v>
      </c>
      <c r="K55" s="426"/>
      <c r="L55" s="547">
        <f t="shared" si="1"/>
        <v>15910</v>
      </c>
      <c r="M55" s="1020">
        <v>6790</v>
      </c>
      <c r="N55" s="740"/>
      <c r="O55" s="1097"/>
      <c r="P55" s="1088"/>
      <c r="Q55" s="1088">
        <f>SUM(O55:P55)</f>
        <v>0</v>
      </c>
      <c r="R55" s="1088"/>
      <c r="S55" s="1089">
        <f t="shared" si="2"/>
        <v>0</v>
      </c>
      <c r="T55" s="1020"/>
      <c r="U55" s="701"/>
      <c r="V55" s="1103">
        <f>J55+Q55</f>
        <v>15910</v>
      </c>
      <c r="W55" s="1104">
        <f t="shared" si="7"/>
        <v>0</v>
      </c>
      <c r="X55" s="1105">
        <f t="shared" si="3"/>
        <v>15910</v>
      </c>
      <c r="Y55" s="19"/>
      <c r="Z55" s="19"/>
    </row>
    <row r="56" spans="2:26" s="45" customFormat="1" ht="15">
      <c r="B56" s="513">
        <f t="shared" si="4"/>
        <v>48</v>
      </c>
      <c r="C56" s="40"/>
      <c r="D56" s="134"/>
      <c r="E56" s="284" t="s">
        <v>334</v>
      </c>
      <c r="F56" s="1067"/>
      <c r="G56" s="1068"/>
      <c r="H56" s="1069"/>
      <c r="I56" s="1068">
        <v>2095</v>
      </c>
      <c r="J56" s="426">
        <f t="shared" si="0"/>
        <v>2095</v>
      </c>
      <c r="K56" s="426"/>
      <c r="L56" s="547">
        <f t="shared" si="1"/>
        <v>2095</v>
      </c>
      <c r="M56" s="1020"/>
      <c r="N56" s="740"/>
      <c r="O56" s="1097"/>
      <c r="P56" s="1088"/>
      <c r="Q56" s="1088"/>
      <c r="R56" s="1088"/>
      <c r="S56" s="1089">
        <f t="shared" si="2"/>
        <v>0</v>
      </c>
      <c r="T56" s="1020"/>
      <c r="U56" s="701"/>
      <c r="V56" s="1103">
        <f>J56+Q56</f>
        <v>2095</v>
      </c>
      <c r="W56" s="1104">
        <f t="shared" si="7"/>
        <v>0</v>
      </c>
      <c r="X56" s="1105">
        <f t="shared" si="3"/>
        <v>2095</v>
      </c>
      <c r="Y56" s="19"/>
      <c r="Z56" s="19"/>
    </row>
    <row r="57" spans="2:26" s="45" customFormat="1" ht="15">
      <c r="B57" s="133">
        <f t="shared" si="4"/>
        <v>49</v>
      </c>
      <c r="C57" s="40"/>
      <c r="D57" s="134"/>
      <c r="E57" s="284" t="s">
        <v>335</v>
      </c>
      <c r="F57" s="1067"/>
      <c r="G57" s="1068"/>
      <c r="H57" s="1069"/>
      <c r="I57" s="1068">
        <v>730</v>
      </c>
      <c r="J57" s="426">
        <f t="shared" si="0"/>
        <v>730</v>
      </c>
      <c r="K57" s="426"/>
      <c r="L57" s="547">
        <f t="shared" si="1"/>
        <v>730</v>
      </c>
      <c r="M57" s="1020">
        <v>100</v>
      </c>
      <c r="N57" s="782"/>
      <c r="O57" s="1098"/>
      <c r="P57" s="1070"/>
      <c r="Q57" s="1070">
        <f>SUM(O57:P57)</f>
        <v>0</v>
      </c>
      <c r="R57" s="1070"/>
      <c r="S57" s="1071">
        <f t="shared" si="2"/>
        <v>0</v>
      </c>
      <c r="T57" s="1020"/>
      <c r="U57" s="701"/>
      <c r="V57" s="1103">
        <f>J57+Q57</f>
        <v>730</v>
      </c>
      <c r="W57" s="1104">
        <f t="shared" si="7"/>
        <v>0</v>
      </c>
      <c r="X57" s="1105">
        <f t="shared" si="3"/>
        <v>730</v>
      </c>
      <c r="Y57" s="19"/>
      <c r="Z57" s="19"/>
    </row>
    <row r="58" spans="2:26" s="594" customFormat="1" ht="15">
      <c r="B58" s="513">
        <f t="shared" si="4"/>
        <v>50</v>
      </c>
      <c r="C58" s="518"/>
      <c r="D58" s="762"/>
      <c r="E58" s="526"/>
      <c r="F58" s="538"/>
      <c r="G58" s="539"/>
      <c r="H58" s="588"/>
      <c r="I58" s="539"/>
      <c r="J58" s="549"/>
      <c r="K58" s="549"/>
      <c r="L58" s="550"/>
      <c r="M58" s="1050"/>
      <c r="N58" s="701"/>
      <c r="O58" s="1099"/>
      <c r="P58" s="539"/>
      <c r="Q58" s="539"/>
      <c r="R58" s="539"/>
      <c r="S58" s="540"/>
      <c r="T58" s="1050"/>
      <c r="U58" s="701"/>
      <c r="V58" s="569"/>
      <c r="W58" s="570"/>
      <c r="X58" s="959"/>
      <c r="Y58" s="19"/>
      <c r="Z58" s="19"/>
    </row>
    <row r="59" spans="2:26" s="594" customFormat="1" ht="15">
      <c r="B59" s="133">
        <f t="shared" si="4"/>
        <v>51</v>
      </c>
      <c r="C59" s="514"/>
      <c r="D59" s="742"/>
      <c r="E59" s="755" t="s">
        <v>433</v>
      </c>
      <c r="F59" s="1072"/>
      <c r="G59" s="1073"/>
      <c r="H59" s="539"/>
      <c r="I59" s="1073"/>
      <c r="J59" s="549"/>
      <c r="K59" s="549"/>
      <c r="L59" s="550"/>
      <c r="M59" s="1020"/>
      <c r="N59" s="701"/>
      <c r="O59" s="567"/>
      <c r="P59" s="568"/>
      <c r="Q59" s="568">
        <f aca="true" t="shared" si="11" ref="Q59:Q64">SUM(O59:P59)</f>
        <v>0</v>
      </c>
      <c r="R59" s="568">
        <v>37000</v>
      </c>
      <c r="S59" s="1086">
        <f>Q59+R59</f>
        <v>37000</v>
      </c>
      <c r="T59" s="1020"/>
      <c r="U59" s="701"/>
      <c r="V59" s="569">
        <f>J59+Q59</f>
        <v>0</v>
      </c>
      <c r="W59" s="570">
        <f>K59+R59</f>
        <v>37000</v>
      </c>
      <c r="X59" s="959">
        <f>V59+W59</f>
        <v>37000</v>
      </c>
      <c r="Y59" s="19"/>
      <c r="Z59" s="19"/>
    </row>
    <row r="60" spans="2:26" ht="15">
      <c r="B60" s="133">
        <f t="shared" si="4"/>
        <v>52</v>
      </c>
      <c r="C60" s="42">
        <v>5</v>
      </c>
      <c r="D60" s="43" t="s">
        <v>205</v>
      </c>
      <c r="E60" s="44"/>
      <c r="F60" s="316">
        <f>F61+F62+F63+F64</f>
        <v>109660</v>
      </c>
      <c r="G60" s="316">
        <f>G61+G62+G63+G64</f>
        <v>38565</v>
      </c>
      <c r="H60" s="316">
        <f>H61+H62+H63+H64</f>
        <v>28077</v>
      </c>
      <c r="I60" s="316"/>
      <c r="J60" s="1064">
        <f>SUM(F60:I60)</f>
        <v>176302</v>
      </c>
      <c r="K60" s="552">
        <f>SUM(K61:K64)</f>
        <v>20000</v>
      </c>
      <c r="L60" s="961">
        <f t="shared" si="1"/>
        <v>196302</v>
      </c>
      <c r="M60" s="1022">
        <f>SUM(M61:M64)</f>
        <v>76308</v>
      </c>
      <c r="N60" s="736"/>
      <c r="O60" s="557"/>
      <c r="P60" s="317"/>
      <c r="Q60" s="1065">
        <f t="shared" si="11"/>
        <v>0</v>
      </c>
      <c r="R60" s="559"/>
      <c r="S60" s="957">
        <f t="shared" si="2"/>
        <v>0</v>
      </c>
      <c r="T60" s="1022"/>
      <c r="U60" s="605"/>
      <c r="V60" s="561">
        <f>J60+Q60</f>
        <v>176302</v>
      </c>
      <c r="W60" s="559">
        <f t="shared" si="7"/>
        <v>20000</v>
      </c>
      <c r="X60" s="957">
        <f t="shared" si="3"/>
        <v>196302</v>
      </c>
      <c r="Y60" s="19"/>
      <c r="Z60" s="19"/>
    </row>
    <row r="61" spans="2:26" s="594" customFormat="1" ht="14.25">
      <c r="B61" s="513">
        <f t="shared" si="4"/>
        <v>53</v>
      </c>
      <c r="C61" s="763"/>
      <c r="D61" s="586"/>
      <c r="E61" s="764" t="s">
        <v>96</v>
      </c>
      <c r="F61" s="685">
        <v>20160</v>
      </c>
      <c r="G61" s="549">
        <v>7045</v>
      </c>
      <c r="H61" s="576">
        <v>9962</v>
      </c>
      <c r="I61" s="549"/>
      <c r="J61" s="549">
        <f>SUM(F61:I61)</f>
        <v>37167</v>
      </c>
      <c r="K61" s="549"/>
      <c r="L61" s="550">
        <f t="shared" si="1"/>
        <v>37167</v>
      </c>
      <c r="M61" s="1020">
        <v>9348</v>
      </c>
      <c r="N61" s="611"/>
      <c r="O61" s="567"/>
      <c r="P61" s="568"/>
      <c r="Q61" s="568">
        <f t="shared" si="11"/>
        <v>0</v>
      </c>
      <c r="R61" s="568"/>
      <c r="S61" s="1086">
        <f t="shared" si="2"/>
        <v>0</v>
      </c>
      <c r="T61" s="1020"/>
      <c r="U61" s="611"/>
      <c r="V61" s="569">
        <f>J61+Q61</f>
        <v>37167</v>
      </c>
      <c r="W61" s="570">
        <f t="shared" si="7"/>
        <v>0</v>
      </c>
      <c r="X61" s="959">
        <f t="shared" si="3"/>
        <v>37167</v>
      </c>
      <c r="Y61" s="19"/>
      <c r="Z61" s="19"/>
    </row>
    <row r="62" spans="2:26" s="594" customFormat="1" ht="14.25">
      <c r="B62" s="133">
        <f t="shared" si="4"/>
        <v>54</v>
      </c>
      <c r="C62" s="514"/>
      <c r="D62" s="742"/>
      <c r="E62" s="755" t="s">
        <v>419</v>
      </c>
      <c r="F62" s="538"/>
      <c r="G62" s="539"/>
      <c r="H62" s="588">
        <v>3100</v>
      </c>
      <c r="I62" s="539"/>
      <c r="J62" s="549">
        <f>SUM(F62:I62)</f>
        <v>3100</v>
      </c>
      <c r="K62" s="549">
        <v>-3000</v>
      </c>
      <c r="L62" s="550">
        <f t="shared" si="1"/>
        <v>100</v>
      </c>
      <c r="M62" s="1020"/>
      <c r="N62" s="611"/>
      <c r="O62" s="567"/>
      <c r="P62" s="568"/>
      <c r="Q62" s="568">
        <f t="shared" si="11"/>
        <v>0</v>
      </c>
      <c r="R62" s="568"/>
      <c r="S62" s="1086">
        <f t="shared" si="2"/>
        <v>0</v>
      </c>
      <c r="T62" s="1020"/>
      <c r="U62" s="611"/>
      <c r="V62" s="569">
        <f>J62+Q62</f>
        <v>3100</v>
      </c>
      <c r="W62" s="570">
        <f t="shared" si="7"/>
        <v>-3000</v>
      </c>
      <c r="X62" s="959">
        <f t="shared" si="3"/>
        <v>100</v>
      </c>
      <c r="Y62" s="19"/>
      <c r="Z62" s="19"/>
    </row>
    <row r="63" spans="2:26" s="594" customFormat="1" ht="12.75" customHeight="1">
      <c r="B63" s="513">
        <f t="shared" si="4"/>
        <v>55</v>
      </c>
      <c r="C63" s="514"/>
      <c r="D63" s="765"/>
      <c r="E63" s="766" t="s">
        <v>420</v>
      </c>
      <c r="F63" s="779"/>
      <c r="G63" s="568"/>
      <c r="H63" s="570"/>
      <c r="I63" s="568"/>
      <c r="J63" s="549">
        <f>SUM(F63:I63)</f>
        <v>0</v>
      </c>
      <c r="K63" s="549"/>
      <c r="L63" s="550">
        <f t="shared" si="1"/>
        <v>0</v>
      </c>
      <c r="M63" s="1020"/>
      <c r="N63" s="611"/>
      <c r="O63" s="567"/>
      <c r="P63" s="568"/>
      <c r="Q63" s="568">
        <f t="shared" si="11"/>
        <v>0</v>
      </c>
      <c r="R63" s="568"/>
      <c r="S63" s="1086">
        <f t="shared" si="2"/>
        <v>0</v>
      </c>
      <c r="T63" s="1020"/>
      <c r="U63" s="611"/>
      <c r="V63" s="569">
        <f>J63+Q63</f>
        <v>0</v>
      </c>
      <c r="W63" s="570">
        <f t="shared" si="7"/>
        <v>0</v>
      </c>
      <c r="X63" s="959">
        <f t="shared" si="3"/>
        <v>0</v>
      </c>
      <c r="Y63" s="19"/>
      <c r="Z63" s="19"/>
    </row>
    <row r="64" spans="2:26" s="594" customFormat="1" ht="15" thickBot="1">
      <c r="B64" s="1049">
        <f t="shared" si="4"/>
        <v>56</v>
      </c>
      <c r="C64" s="745"/>
      <c r="D64" s="598"/>
      <c r="E64" s="767" t="s">
        <v>206</v>
      </c>
      <c r="F64" s="1080">
        <v>89500</v>
      </c>
      <c r="G64" s="1081">
        <v>31520</v>
      </c>
      <c r="H64" s="1081">
        <v>15015</v>
      </c>
      <c r="I64" s="1081"/>
      <c r="J64" s="1081">
        <f>SUM(F64:I64)</f>
        <v>136035</v>
      </c>
      <c r="K64" s="1081">
        <v>23000</v>
      </c>
      <c r="L64" s="1082">
        <f t="shared" si="1"/>
        <v>159035</v>
      </c>
      <c r="M64" s="1021">
        <v>66960</v>
      </c>
      <c r="N64" s="783"/>
      <c r="O64" s="1100"/>
      <c r="P64" s="1081"/>
      <c r="Q64" s="1081">
        <f t="shared" si="11"/>
        <v>0</v>
      </c>
      <c r="R64" s="1081"/>
      <c r="S64" s="1082">
        <f t="shared" si="2"/>
        <v>0</v>
      </c>
      <c r="T64" s="1020"/>
      <c r="U64" s="611"/>
      <c r="V64" s="1113">
        <f>J64+Q64</f>
        <v>136035</v>
      </c>
      <c r="W64" s="1114">
        <f t="shared" si="7"/>
        <v>23000</v>
      </c>
      <c r="X64" s="1115">
        <f t="shared" si="3"/>
        <v>159035</v>
      </c>
      <c r="Y64" s="19"/>
      <c r="Z64" s="19"/>
    </row>
    <row r="65" spans="2:21" ht="12.75">
      <c r="B65" s="124"/>
      <c r="C65" s="141"/>
      <c r="U65" s="156"/>
    </row>
    <row r="68" ht="12.75">
      <c r="L68" s="19"/>
    </row>
    <row r="121" ht="12.75" customHeight="1"/>
    <row r="185" ht="12.75" customHeight="1"/>
    <row r="249" ht="12.75" customHeight="1"/>
    <row r="313" ht="12.75" customHeight="1"/>
    <row r="377" ht="12.75" customHeight="1"/>
    <row r="441" ht="12.75" customHeight="1"/>
    <row r="505" ht="12.75" customHeight="1"/>
    <row r="569" ht="12.75" customHeight="1"/>
    <row r="633" ht="12.75" customHeight="1"/>
    <row r="697" ht="12.75" customHeight="1"/>
    <row r="761" ht="12.75" customHeight="1"/>
    <row r="825" ht="12.75" customHeight="1"/>
    <row r="889" ht="12.75" customHeight="1"/>
    <row r="953" ht="12.75" customHeight="1"/>
    <row r="1017" ht="12.75" customHeight="1"/>
    <row r="1081" ht="12.75" customHeight="1"/>
    <row r="1145" ht="12.75" customHeight="1"/>
    <row r="1209" ht="12.75" customHeight="1"/>
    <row r="1273" ht="12.75" customHeight="1"/>
    <row r="1337" ht="12.75" customHeight="1"/>
    <row r="1401" ht="12.75" customHeight="1"/>
    <row r="1465" ht="12.75" customHeight="1"/>
    <row r="1529" ht="12.75" customHeight="1"/>
    <row r="1593" ht="12.75" customHeight="1"/>
    <row r="1657" ht="12.75" customHeight="1"/>
    <row r="1721" ht="12.75" customHeight="1"/>
    <row r="1785" ht="12.75" customHeight="1"/>
    <row r="1849" ht="12.75" customHeight="1"/>
    <row r="1913" ht="12.75" customHeight="1"/>
    <row r="1977" ht="12.75" customHeight="1"/>
    <row r="2041" ht="12.75" customHeight="1"/>
    <row r="2105" ht="12.75" customHeight="1"/>
    <row r="2169" ht="12.75" customHeight="1"/>
    <row r="2233" ht="12.75" customHeight="1"/>
    <row r="2297" ht="12.75" customHeight="1"/>
    <row r="2361" ht="12.75" customHeight="1"/>
    <row r="2425" ht="12.75" customHeight="1"/>
    <row r="2489" ht="12.75" customHeight="1"/>
    <row r="2553" ht="12.75" customHeight="1"/>
    <row r="2617" ht="12.75" customHeight="1"/>
    <row r="2681" ht="12.75" customHeight="1"/>
    <row r="2745" ht="12.75" customHeight="1"/>
    <row r="2809" ht="12.75" customHeight="1"/>
    <row r="2873" ht="12.75" customHeight="1"/>
    <row r="2937" ht="12.75" customHeight="1"/>
    <row r="3001" ht="12.75" customHeight="1"/>
    <row r="3065" ht="12.75" customHeight="1"/>
    <row r="3129" ht="12.75" customHeight="1"/>
    <row r="3193" ht="12.75" customHeight="1"/>
    <row r="3257" ht="12.75" customHeight="1"/>
    <row r="3321" ht="12.75" customHeight="1"/>
    <row r="3385" ht="12.75" customHeight="1"/>
    <row r="3449" ht="12.75" customHeight="1"/>
    <row r="3513" ht="12.75" customHeight="1"/>
    <row r="3577" ht="12.75" customHeight="1"/>
    <row r="3641" ht="12.75" customHeight="1"/>
    <row r="3705" ht="12.75" customHeight="1"/>
    <row r="3769" ht="12.75" customHeight="1"/>
    <row r="3833" ht="12.75" customHeight="1"/>
    <row r="3897" ht="12.75" customHeight="1"/>
    <row r="3961" ht="12.75" customHeight="1"/>
    <row r="4025" ht="12.75" customHeight="1"/>
    <row r="4089" ht="12.75" customHeight="1"/>
    <row r="4153" ht="12.75" customHeight="1"/>
    <row r="4217" ht="12.75" customHeight="1"/>
    <row r="4281" ht="12.75" customHeight="1"/>
    <row r="4345" ht="12.75" customHeight="1"/>
    <row r="4409" ht="12.75" customHeight="1"/>
    <row r="4473" ht="12.75" customHeight="1"/>
    <row r="4537" ht="12.75" customHeight="1"/>
    <row r="4601" ht="12.75" customHeight="1"/>
    <row r="4665" ht="12.75" customHeight="1"/>
    <row r="4729" ht="12.75" customHeight="1"/>
    <row r="4793" ht="12.75" customHeight="1"/>
    <row r="4857" ht="12.75" customHeight="1"/>
    <row r="4921" ht="12.75" customHeight="1"/>
    <row r="4985" ht="12.75" customHeight="1"/>
    <row r="5049" ht="12.75" customHeight="1"/>
    <row r="5113" ht="12.75" customHeight="1"/>
    <row r="5177" ht="12.75" customHeight="1"/>
    <row r="5241" ht="12.75" customHeight="1"/>
    <row r="5305" ht="12.75" customHeight="1"/>
    <row r="5369" ht="12.75" customHeight="1"/>
    <row r="5433" ht="12.75" customHeight="1"/>
    <row r="5497" ht="12.75" customHeight="1"/>
    <row r="5561" ht="12.75" customHeight="1"/>
    <row r="5625" ht="12.75" customHeight="1"/>
    <row r="5689" ht="12.75" customHeight="1"/>
    <row r="5753" ht="12.75" customHeight="1"/>
    <row r="5817" ht="12.75" customHeight="1"/>
    <row r="5881" ht="12.75" customHeight="1"/>
    <row r="5945" ht="12.75" customHeight="1"/>
    <row r="6009" ht="12.75" customHeight="1"/>
    <row r="6073" ht="12.75" customHeight="1"/>
    <row r="6137" ht="12.75" customHeight="1"/>
    <row r="6201" ht="12.75" customHeight="1"/>
    <row r="6265" ht="12.75" customHeight="1"/>
    <row r="6329" ht="12.75" customHeight="1"/>
    <row r="6393" ht="12.75" customHeight="1"/>
    <row r="6457" ht="12.75" customHeight="1"/>
    <row r="6521" ht="12.75" customHeight="1"/>
    <row r="6585" ht="12.75" customHeight="1"/>
    <row r="6649" ht="12.75" customHeight="1"/>
    <row r="6713" ht="12.75" customHeight="1"/>
    <row r="6777" ht="12.75" customHeight="1"/>
    <row r="6841" ht="12.75" customHeight="1"/>
    <row r="6905" ht="12.75" customHeight="1"/>
    <row r="6969" ht="12.75" customHeight="1"/>
    <row r="7033" ht="12.75" customHeight="1"/>
    <row r="7097" ht="12.75" customHeight="1"/>
    <row r="7161" ht="12.75" customHeight="1"/>
    <row r="7225" ht="12.75" customHeight="1"/>
    <row r="7289" ht="12.75" customHeight="1"/>
    <row r="7353" ht="12.75" customHeight="1"/>
    <row r="7417" ht="12.75" customHeight="1"/>
    <row r="7481" ht="12.75" customHeight="1"/>
    <row r="7545" ht="12.75" customHeight="1"/>
    <row r="7609" ht="12.75" customHeight="1"/>
    <row r="7673" ht="12.75" customHeight="1"/>
    <row r="7737" ht="12.75" customHeight="1"/>
    <row r="7801" ht="12.75" customHeight="1"/>
    <row r="7865" ht="12.75" customHeight="1"/>
    <row r="7929" ht="12.75" customHeight="1"/>
    <row r="7993" ht="12.75" customHeight="1"/>
    <row r="8057" ht="12.75" customHeight="1"/>
    <row r="8121" ht="12.75" customHeight="1"/>
    <row r="8185" ht="12.75" customHeight="1"/>
    <row r="8249" ht="12.75" customHeight="1"/>
    <row r="8313" ht="12.75" customHeight="1"/>
    <row r="8377" ht="12.75" customHeight="1"/>
    <row r="8441" ht="12.75" customHeight="1"/>
    <row r="8505" ht="12.75" customHeight="1"/>
    <row r="8569" ht="12.75" customHeight="1"/>
    <row r="8633" ht="12.75" customHeight="1"/>
    <row r="8697" ht="12.75" customHeight="1"/>
    <row r="8761" ht="12.75" customHeight="1"/>
    <row r="8825" ht="12.75" customHeight="1"/>
    <row r="8889" ht="12.75" customHeight="1"/>
    <row r="8953" ht="12.75" customHeight="1"/>
    <row r="9017" ht="12.75" customHeight="1"/>
    <row r="9081" ht="12.75" customHeight="1"/>
    <row r="9145" ht="12.75" customHeight="1"/>
    <row r="9209" ht="12.75" customHeight="1"/>
    <row r="9273" ht="12.75" customHeight="1"/>
    <row r="9337" ht="12.75" customHeight="1"/>
    <row r="9401" ht="12.75" customHeight="1"/>
    <row r="9465" ht="12.75" customHeight="1"/>
    <row r="9529" ht="12.75" customHeight="1"/>
    <row r="9593" ht="12.75" customHeight="1"/>
    <row r="9657" ht="12.75" customHeight="1"/>
    <row r="9721" ht="12.75" customHeight="1"/>
    <row r="9785" ht="12.75" customHeight="1"/>
    <row r="9849" ht="12.75" customHeight="1"/>
    <row r="9913" ht="12.75" customHeight="1"/>
    <row r="9977" ht="12.75" customHeight="1"/>
    <row r="10041" ht="12.75" customHeight="1"/>
    <row r="10105" ht="12.75" customHeight="1"/>
    <row r="10169" ht="12.75" customHeight="1"/>
    <row r="10233" ht="12.75" customHeight="1"/>
    <row r="10297" ht="12.75" customHeight="1"/>
    <row r="10361" ht="12.75" customHeight="1"/>
    <row r="10425" ht="12.75" customHeight="1"/>
    <row r="10489" ht="12.75" customHeight="1"/>
    <row r="10553" ht="12.75" customHeight="1"/>
    <row r="10617" ht="12.75" customHeight="1"/>
    <row r="10681" ht="12.75" customHeight="1"/>
    <row r="10745" ht="12.75" customHeight="1"/>
    <row r="10809" ht="12.75" customHeight="1"/>
    <row r="10873" ht="12.75" customHeight="1"/>
    <row r="10937" ht="12.75" customHeight="1"/>
    <row r="11001" ht="12.75" customHeight="1"/>
    <row r="11065" ht="12.75" customHeight="1"/>
    <row r="11129" ht="12.75" customHeight="1"/>
    <row r="11193" ht="12.75" customHeight="1"/>
    <row r="11257" ht="12.75" customHeight="1"/>
    <row r="11321" ht="12.75" customHeight="1"/>
    <row r="11385" ht="12.75" customHeight="1"/>
    <row r="11449" ht="12.75" customHeight="1"/>
    <row r="11513" ht="12.75" customHeight="1"/>
    <row r="11577" ht="12.75" customHeight="1"/>
    <row r="11641" ht="12.75" customHeight="1"/>
    <row r="11705" ht="12.75" customHeight="1"/>
    <row r="11769" ht="12.75" customHeight="1"/>
    <row r="11833" ht="12.75" customHeight="1"/>
    <row r="11897" ht="12.75" customHeight="1"/>
    <row r="11961" ht="12.75" customHeight="1"/>
    <row r="12025" ht="12.75" customHeight="1"/>
    <row r="12089" ht="12.75" customHeight="1"/>
    <row r="12153" ht="12.75" customHeight="1"/>
    <row r="12217" ht="12.75" customHeight="1"/>
    <row r="12281" ht="12.75" customHeight="1"/>
    <row r="12345" ht="12.75" customHeight="1"/>
    <row r="12409" ht="12.75" customHeight="1"/>
    <row r="12473" ht="12.75" customHeight="1"/>
    <row r="12537" ht="12.75" customHeight="1"/>
    <row r="12601" ht="12.75" customHeight="1"/>
    <row r="12665" ht="12.75" customHeight="1"/>
    <row r="12729" ht="12.75" customHeight="1"/>
    <row r="12793" ht="12.75" customHeight="1"/>
    <row r="12857" ht="12.75" customHeight="1"/>
    <row r="12921" ht="12.75" customHeight="1"/>
    <row r="12985" ht="12.75" customHeight="1"/>
    <row r="13049" ht="12.75" customHeight="1"/>
    <row r="13113" ht="12.75" customHeight="1"/>
    <row r="13177" ht="12.75" customHeight="1"/>
    <row r="13241" ht="12.75" customHeight="1"/>
    <row r="13305" ht="12.75" customHeight="1"/>
    <row r="13369" ht="12.75" customHeight="1"/>
    <row r="13433" ht="12.75" customHeight="1"/>
    <row r="13497" ht="12.75" customHeight="1"/>
    <row r="13561" ht="12.75" customHeight="1"/>
    <row r="13625" ht="12.75" customHeight="1"/>
    <row r="13689" ht="12.75" customHeight="1"/>
    <row r="13753" ht="12.75" customHeight="1"/>
    <row r="13817" ht="12.75" customHeight="1"/>
    <row r="13881" ht="12.75" customHeight="1"/>
    <row r="13945" ht="12.75" customHeight="1"/>
    <row r="14009" ht="12.75" customHeight="1"/>
    <row r="14073" ht="12.75" customHeight="1"/>
    <row r="14137" ht="12.75" customHeight="1"/>
    <row r="14201" ht="12.75" customHeight="1"/>
    <row r="14265" ht="12.75" customHeight="1"/>
    <row r="14329" ht="12.75" customHeight="1"/>
    <row r="14393" ht="12.75" customHeight="1"/>
    <row r="14457" ht="12.75" customHeight="1"/>
    <row r="14521" ht="12.75" customHeight="1"/>
    <row r="14585" ht="12.75" customHeight="1"/>
    <row r="14649" ht="12.75" customHeight="1"/>
    <row r="14713" ht="12.75" customHeight="1"/>
    <row r="14777" ht="12.75" customHeight="1"/>
    <row r="14841" ht="12.75" customHeight="1"/>
    <row r="14905" ht="12.75" customHeight="1"/>
    <row r="14969" ht="12.75" customHeight="1"/>
    <row r="15033" ht="12.75" customHeight="1"/>
    <row r="15097" ht="12.75" customHeight="1"/>
    <row r="15161" ht="12.75" customHeight="1"/>
    <row r="15225" ht="12.75" customHeight="1"/>
    <row r="15289" ht="12.75" customHeight="1"/>
    <row r="15353" ht="12.75" customHeight="1"/>
    <row r="15417" ht="12.75" customHeight="1"/>
    <row r="15481" ht="12.75" customHeight="1"/>
    <row r="15545" ht="12.75" customHeight="1"/>
    <row r="15609" ht="12.75" customHeight="1"/>
    <row r="15673" ht="12.75" customHeight="1"/>
    <row r="15737" ht="12.75" customHeight="1"/>
    <row r="15801" ht="12.75" customHeight="1"/>
    <row r="15865" ht="12.75" customHeight="1"/>
    <row r="15929" ht="12.75" customHeight="1"/>
    <row r="15993" ht="12.75" customHeight="1"/>
    <row r="16057" ht="12.75" customHeight="1"/>
    <row r="16121" ht="12.75" customHeight="1"/>
    <row r="16185" ht="12.75" customHeight="1"/>
    <row r="16249" ht="12.75" customHeight="1"/>
    <row r="16313" ht="12.75" customHeight="1"/>
    <row r="16377" ht="12.75" customHeight="1"/>
    <row r="16441" ht="12.75" customHeight="1"/>
    <row r="16505" ht="12.75" customHeight="1"/>
    <row r="16569" ht="12.75" customHeight="1"/>
    <row r="16633" ht="12.75" customHeight="1"/>
    <row r="16697" ht="12.75" customHeight="1"/>
    <row r="16761" ht="12.75" customHeight="1"/>
    <row r="16825" ht="12.75" customHeight="1"/>
    <row r="16889" ht="12.75" customHeight="1"/>
    <row r="16953" ht="12.75" customHeight="1"/>
    <row r="17017" ht="12.75" customHeight="1"/>
    <row r="17081" ht="12.75" customHeight="1"/>
    <row r="17145" ht="12.75" customHeight="1"/>
    <row r="17209" ht="12.75" customHeight="1"/>
    <row r="17273" ht="12.75" customHeight="1"/>
    <row r="17337" ht="12.75" customHeight="1"/>
    <row r="17401" ht="12.75" customHeight="1"/>
    <row r="17465" ht="12.75" customHeight="1"/>
    <row r="17529" ht="12.75" customHeight="1"/>
    <row r="17593" ht="12.75" customHeight="1"/>
    <row r="17657" ht="12.75" customHeight="1"/>
    <row r="17721" ht="12.75" customHeight="1"/>
    <row r="17785" ht="12.75" customHeight="1"/>
    <row r="17849" ht="12.75" customHeight="1"/>
    <row r="17913" ht="12.75" customHeight="1"/>
    <row r="17977" ht="12.75" customHeight="1"/>
    <row r="18041" ht="12.75" customHeight="1"/>
    <row r="18105" ht="12.75" customHeight="1"/>
    <row r="18169" ht="12.75" customHeight="1"/>
    <row r="18233" ht="12.75" customHeight="1"/>
    <row r="18297" ht="12.75" customHeight="1"/>
    <row r="18361" ht="12.75" customHeight="1"/>
    <row r="18425" ht="12.75" customHeight="1"/>
    <row r="18489" ht="12.75" customHeight="1"/>
    <row r="18553" ht="12.75" customHeight="1"/>
    <row r="18617" ht="12.75" customHeight="1"/>
    <row r="18681" ht="12.75" customHeight="1"/>
    <row r="18745" ht="12.75" customHeight="1"/>
    <row r="18809" ht="12.75" customHeight="1"/>
    <row r="18873" ht="12.75" customHeight="1"/>
    <row r="18937" ht="12.75" customHeight="1"/>
    <row r="19001" ht="12.75" customHeight="1"/>
    <row r="19065" ht="12.75" customHeight="1"/>
    <row r="19129" ht="12.75" customHeight="1"/>
    <row r="19193" ht="12.75" customHeight="1"/>
    <row r="19257" ht="12.75" customHeight="1"/>
    <row r="19321" ht="12.75" customHeight="1"/>
    <row r="19385" ht="12.75" customHeight="1"/>
    <row r="19449" ht="12.75" customHeight="1"/>
    <row r="19513" ht="12.75" customHeight="1"/>
    <row r="19577" ht="12.75" customHeight="1"/>
    <row r="19641" ht="12.75" customHeight="1"/>
    <row r="19705" ht="12.75" customHeight="1"/>
    <row r="19769" ht="12.75" customHeight="1"/>
    <row r="19833" ht="12.75" customHeight="1"/>
    <row r="19897" ht="12.75" customHeight="1"/>
    <row r="19961" ht="12.75" customHeight="1"/>
    <row r="20025" ht="12.75" customHeight="1"/>
    <row r="20089" ht="12.75" customHeight="1"/>
    <row r="20153" ht="12.75" customHeight="1"/>
    <row r="20217" ht="12.75" customHeight="1"/>
    <row r="20281" ht="12.75" customHeight="1"/>
    <row r="20345" ht="12.75" customHeight="1"/>
    <row r="20409" ht="12.75" customHeight="1"/>
    <row r="20473" ht="12.75" customHeight="1"/>
    <row r="20537" ht="12.75" customHeight="1"/>
    <row r="20601" ht="12.75" customHeight="1"/>
    <row r="20665" ht="12.75" customHeight="1"/>
    <row r="20729" ht="12.75" customHeight="1"/>
    <row r="20793" ht="12.75" customHeight="1"/>
    <row r="20857" ht="12.75" customHeight="1"/>
    <row r="20921" ht="12.75" customHeight="1"/>
    <row r="20985" ht="12.75" customHeight="1"/>
    <row r="21049" ht="12.75" customHeight="1"/>
    <row r="21113" ht="12.75" customHeight="1"/>
    <row r="21177" ht="12.75" customHeight="1"/>
    <row r="21241" ht="12.75" customHeight="1"/>
    <row r="21305" ht="12.75" customHeight="1"/>
    <row r="21369" ht="12.75" customHeight="1"/>
    <row r="21433" ht="12.75" customHeight="1"/>
    <row r="21497" ht="12.75" customHeight="1"/>
    <row r="21561" ht="12.75" customHeight="1"/>
    <row r="21625" ht="12.75" customHeight="1"/>
    <row r="21689" ht="12.75" customHeight="1"/>
    <row r="21753" ht="12.75" customHeight="1"/>
    <row r="21817" ht="12.75" customHeight="1"/>
    <row r="21881" ht="12.75" customHeight="1"/>
    <row r="21945" ht="12.75" customHeight="1"/>
    <row r="22009" ht="12.75" customHeight="1"/>
    <row r="22073" ht="12.75" customHeight="1"/>
    <row r="22137" ht="12.75" customHeight="1"/>
    <row r="22201" ht="12.75" customHeight="1"/>
    <row r="22265" ht="12.75" customHeight="1"/>
    <row r="22329" ht="12.75" customHeight="1"/>
    <row r="22393" ht="12.75" customHeight="1"/>
    <row r="22457" ht="12.75" customHeight="1"/>
    <row r="22521" ht="12.75" customHeight="1"/>
    <row r="22585" ht="12.75" customHeight="1"/>
    <row r="22649" ht="12.75" customHeight="1"/>
    <row r="22713" ht="12.75" customHeight="1"/>
    <row r="22777" ht="12.75" customHeight="1"/>
    <row r="22841" ht="12.75" customHeight="1"/>
    <row r="22905" ht="12.75" customHeight="1"/>
    <row r="22969" ht="12.75" customHeight="1"/>
    <row r="23033" ht="12.75" customHeight="1"/>
    <row r="23097" ht="12.75" customHeight="1"/>
    <row r="23161" ht="12.75" customHeight="1"/>
    <row r="23225" ht="12.75" customHeight="1"/>
    <row r="23289" ht="12.75" customHeight="1"/>
    <row r="23353" ht="12.75" customHeight="1"/>
    <row r="23417" ht="12.75" customHeight="1"/>
    <row r="23481" ht="12.75" customHeight="1"/>
    <row r="23545" ht="12.75" customHeight="1"/>
    <row r="23609" ht="12.75" customHeight="1"/>
    <row r="23673" ht="12.75" customHeight="1"/>
    <row r="23737" ht="12.75" customHeight="1"/>
    <row r="23801" ht="12.75" customHeight="1"/>
    <row r="23865" ht="12.75" customHeight="1"/>
    <row r="23929" ht="12.75" customHeight="1"/>
    <row r="23993" ht="12.75" customHeight="1"/>
    <row r="24057" ht="12.75" customHeight="1"/>
    <row r="24121" ht="12.75" customHeight="1"/>
    <row r="24185" ht="12.75" customHeight="1"/>
    <row r="24249" ht="12.75" customHeight="1"/>
    <row r="24313" ht="12.75" customHeight="1"/>
    <row r="24377" ht="12.75" customHeight="1"/>
    <row r="24441" ht="12.75" customHeight="1"/>
    <row r="24505" ht="12.75" customHeight="1"/>
    <row r="24569" ht="12.75" customHeight="1"/>
    <row r="24633" ht="12.75" customHeight="1"/>
    <row r="24697" ht="12.75" customHeight="1"/>
    <row r="24761" ht="12.75" customHeight="1"/>
    <row r="24825" ht="12.75" customHeight="1"/>
    <row r="24889" ht="12.75" customHeight="1"/>
    <row r="24953" ht="12.75" customHeight="1"/>
    <row r="25017" ht="12.75" customHeight="1"/>
    <row r="25081" ht="12.75" customHeight="1"/>
    <row r="25145" ht="12.75" customHeight="1"/>
    <row r="25209" ht="12.75" customHeight="1"/>
    <row r="25273" ht="12.75" customHeight="1"/>
    <row r="25337" ht="12.75" customHeight="1"/>
    <row r="25401" ht="12.75" customHeight="1"/>
    <row r="25465" ht="12.75" customHeight="1"/>
    <row r="25529" ht="12.75" customHeight="1"/>
    <row r="25593" ht="12.75" customHeight="1"/>
    <row r="25657" ht="12.75" customHeight="1"/>
    <row r="25721" ht="12.75" customHeight="1"/>
    <row r="25785" ht="12.75" customHeight="1"/>
    <row r="25849" ht="12.75" customHeight="1"/>
    <row r="25913" ht="12.75" customHeight="1"/>
    <row r="25977" ht="12.75" customHeight="1"/>
    <row r="26041" ht="12.75" customHeight="1"/>
    <row r="26105" ht="12.75" customHeight="1"/>
    <row r="26169" ht="12.75" customHeight="1"/>
    <row r="26233" ht="12.75" customHeight="1"/>
    <row r="26297" ht="12.75" customHeight="1"/>
    <row r="26361" ht="12.75" customHeight="1"/>
    <row r="26425" ht="12.75" customHeight="1"/>
    <row r="26489" ht="12.75" customHeight="1"/>
    <row r="26553" ht="12.75" customHeight="1"/>
    <row r="26617" ht="12.75" customHeight="1"/>
    <row r="26681" ht="12.75" customHeight="1"/>
    <row r="26745" ht="12.75" customHeight="1"/>
    <row r="26809" ht="12.75" customHeight="1"/>
    <row r="26873" ht="12.75" customHeight="1"/>
    <row r="26937" ht="12.75" customHeight="1"/>
    <row r="27001" ht="12.75" customHeight="1"/>
    <row r="27065" ht="12.75" customHeight="1"/>
    <row r="27129" ht="12.75" customHeight="1"/>
    <row r="27193" ht="12.75" customHeight="1"/>
    <row r="27257" ht="12.75" customHeight="1"/>
    <row r="27321" ht="12.75" customHeight="1"/>
    <row r="27385" ht="12.75" customHeight="1"/>
    <row r="27449" ht="12.75" customHeight="1"/>
    <row r="27513" ht="12.75" customHeight="1"/>
    <row r="27577" ht="12.75" customHeight="1"/>
    <row r="27641" ht="12.75" customHeight="1"/>
    <row r="27705" ht="12.75" customHeight="1"/>
    <row r="27769" ht="12.75" customHeight="1"/>
    <row r="27833" ht="12.75" customHeight="1"/>
    <row r="27897" ht="12.75" customHeight="1"/>
    <row r="27961" ht="12.75" customHeight="1"/>
    <row r="28025" ht="12.75" customHeight="1"/>
    <row r="28089" ht="12.75" customHeight="1"/>
    <row r="28153" ht="12.75" customHeight="1"/>
    <row r="28217" ht="12.75" customHeight="1"/>
    <row r="28281" ht="12.75" customHeight="1"/>
    <row r="28345" ht="12.75" customHeight="1"/>
    <row r="28409" ht="12.75" customHeight="1"/>
    <row r="28473" ht="12.75" customHeight="1"/>
    <row r="28537" ht="12.75" customHeight="1"/>
    <row r="28601" ht="12.75" customHeight="1"/>
    <row r="28665" ht="12.75" customHeight="1"/>
    <row r="28729" ht="12.75" customHeight="1"/>
    <row r="28793" ht="12.75" customHeight="1"/>
    <row r="28857" ht="12.75" customHeight="1"/>
    <row r="28921" ht="12.75" customHeight="1"/>
    <row r="28985" ht="12.75" customHeight="1"/>
    <row r="29049" ht="12.75" customHeight="1"/>
    <row r="29113" ht="12.75" customHeight="1"/>
    <row r="29177" ht="12.75" customHeight="1"/>
    <row r="29241" ht="12.75" customHeight="1"/>
    <row r="29305" ht="12.75" customHeight="1"/>
    <row r="29369" ht="12.75" customHeight="1"/>
    <row r="29433" ht="12.75" customHeight="1"/>
    <row r="29497" ht="12.75" customHeight="1"/>
    <row r="29561" ht="12.75" customHeight="1"/>
    <row r="29625" ht="12.75" customHeight="1"/>
    <row r="29689" ht="12.75" customHeight="1"/>
    <row r="29753" ht="12.75" customHeight="1"/>
    <row r="29817" ht="12.75" customHeight="1"/>
    <row r="29881" ht="12.75" customHeight="1"/>
    <row r="29945" ht="12.75" customHeight="1"/>
    <row r="30009" ht="12.75" customHeight="1"/>
    <row r="30073" ht="12.75" customHeight="1"/>
    <row r="30137" ht="12.75" customHeight="1"/>
    <row r="30201" ht="12.75" customHeight="1"/>
    <row r="30265" ht="12.75" customHeight="1"/>
    <row r="30329" ht="12.75" customHeight="1"/>
    <row r="30393" ht="12.75" customHeight="1"/>
    <row r="30457" ht="12.75" customHeight="1"/>
    <row r="30521" ht="12.75" customHeight="1"/>
    <row r="30585" ht="12.75" customHeight="1"/>
    <row r="30649" ht="12.75" customHeight="1"/>
    <row r="30713" ht="12.75" customHeight="1"/>
    <row r="30777" ht="12.75" customHeight="1"/>
    <row r="30841" ht="12.75" customHeight="1"/>
    <row r="30905" ht="12.75" customHeight="1"/>
    <row r="30969" ht="12.75" customHeight="1"/>
    <row r="31033" ht="12.75" customHeight="1"/>
    <row r="31097" ht="12.75" customHeight="1"/>
    <row r="31161" ht="12.75" customHeight="1"/>
    <row r="31225" ht="12.75" customHeight="1"/>
    <row r="31289" ht="12.75" customHeight="1"/>
    <row r="31353" ht="12.75" customHeight="1"/>
    <row r="31417" ht="12.75" customHeight="1"/>
    <row r="31481" ht="12.75" customHeight="1"/>
    <row r="31545" ht="12.75" customHeight="1"/>
    <row r="31609" ht="12.75" customHeight="1"/>
    <row r="31673" ht="12.75" customHeight="1"/>
    <row r="31737" ht="12.75" customHeight="1"/>
    <row r="31801" ht="12.75" customHeight="1"/>
    <row r="31865" ht="12.75" customHeight="1"/>
    <row r="31929" ht="12.75" customHeight="1"/>
    <row r="31993" ht="12.75" customHeight="1"/>
    <row r="32057" ht="12.75" customHeight="1"/>
    <row r="32121" ht="12.75" customHeight="1"/>
    <row r="32185" ht="12.75" customHeight="1"/>
    <row r="32249" ht="12.75" customHeight="1"/>
    <row r="32313" ht="12.75" customHeight="1"/>
    <row r="32377" ht="12.75" customHeight="1"/>
    <row r="32441" ht="12.75" customHeight="1"/>
    <row r="32505" ht="12.75" customHeight="1"/>
    <row r="32569" ht="12.75" customHeight="1"/>
    <row r="32633" ht="12.75" customHeight="1"/>
    <row r="32697" ht="12.75" customHeight="1"/>
    <row r="32761" ht="12.75" customHeight="1"/>
    <row r="32825" ht="12.75" customHeight="1"/>
    <row r="32889" ht="12.75" customHeight="1"/>
    <row r="32953" ht="12.75" customHeight="1"/>
    <row r="33017" ht="12.75" customHeight="1"/>
    <row r="33081" ht="12.75" customHeight="1"/>
    <row r="33145" ht="12.75" customHeight="1"/>
    <row r="33209" ht="12.75" customHeight="1"/>
    <row r="33273" ht="12.75" customHeight="1"/>
    <row r="33337" ht="12.75" customHeight="1"/>
    <row r="33401" ht="12.75" customHeight="1"/>
    <row r="33465" ht="12.75" customHeight="1"/>
    <row r="33529" ht="12.75" customHeight="1"/>
    <row r="33593" ht="12.75" customHeight="1"/>
    <row r="33657" ht="12.75" customHeight="1"/>
    <row r="33721" ht="12.75" customHeight="1"/>
    <row r="33785" ht="12.75" customHeight="1"/>
    <row r="33849" ht="12.75" customHeight="1"/>
    <row r="33913" ht="12.75" customHeight="1"/>
    <row r="33977" ht="12.75" customHeight="1"/>
    <row r="34041" ht="12.75" customHeight="1"/>
    <row r="34105" ht="12.75" customHeight="1"/>
    <row r="34169" ht="12.75" customHeight="1"/>
    <row r="34233" ht="12.75" customHeight="1"/>
    <row r="34297" ht="12.75" customHeight="1"/>
    <row r="34361" ht="12.75" customHeight="1"/>
    <row r="34425" ht="12.75" customHeight="1"/>
    <row r="34489" ht="12.75" customHeight="1"/>
    <row r="34553" ht="12.75" customHeight="1"/>
    <row r="34617" ht="12.75" customHeight="1"/>
    <row r="34681" ht="12.75" customHeight="1"/>
    <row r="34745" ht="12.75" customHeight="1"/>
    <row r="34809" ht="12.75" customHeight="1"/>
    <row r="34873" ht="12.75" customHeight="1"/>
    <row r="34937" ht="12.75" customHeight="1"/>
    <row r="35001" ht="12.75" customHeight="1"/>
    <row r="35065" ht="12.75" customHeight="1"/>
    <row r="35129" ht="12.75" customHeight="1"/>
    <row r="35193" ht="12.75" customHeight="1"/>
    <row r="35257" ht="12.75" customHeight="1"/>
    <row r="35321" ht="12.75" customHeight="1"/>
    <row r="35385" ht="12.75" customHeight="1"/>
    <row r="35449" ht="12.75" customHeight="1"/>
    <row r="35513" ht="12.75" customHeight="1"/>
    <row r="35577" ht="12.75" customHeight="1"/>
    <row r="35641" ht="12.75" customHeight="1"/>
    <row r="35705" ht="12.75" customHeight="1"/>
    <row r="35769" ht="12.75" customHeight="1"/>
    <row r="35833" ht="12.75" customHeight="1"/>
    <row r="35897" ht="12.75" customHeight="1"/>
    <row r="35961" ht="12.75" customHeight="1"/>
    <row r="36025" ht="12.75" customHeight="1"/>
    <row r="36089" ht="12.75" customHeight="1"/>
    <row r="36153" ht="12.75" customHeight="1"/>
    <row r="36217" ht="12.75" customHeight="1"/>
    <row r="36281" ht="12.75" customHeight="1"/>
    <row r="36345" ht="12.75" customHeight="1"/>
    <row r="36409" ht="12.75" customHeight="1"/>
    <row r="36473" ht="12.75" customHeight="1"/>
    <row r="36537" ht="12.75" customHeight="1"/>
    <row r="36601" ht="12.75" customHeight="1"/>
    <row r="36665" ht="12.75" customHeight="1"/>
    <row r="36729" ht="12.75" customHeight="1"/>
    <row r="36793" ht="12.75" customHeight="1"/>
    <row r="36857" ht="12.75" customHeight="1"/>
    <row r="36921" ht="12.75" customHeight="1"/>
    <row r="36985" ht="12.75" customHeight="1"/>
    <row r="37049" ht="12.75" customHeight="1"/>
    <row r="37113" ht="12.75" customHeight="1"/>
    <row r="37177" ht="12.75" customHeight="1"/>
    <row r="37241" ht="12.75" customHeight="1"/>
    <row r="37305" ht="12.75" customHeight="1"/>
    <row r="37369" ht="12.75" customHeight="1"/>
    <row r="37433" ht="12.75" customHeight="1"/>
    <row r="37497" ht="12.75" customHeight="1"/>
    <row r="37561" ht="12.75" customHeight="1"/>
    <row r="37625" ht="12.75" customHeight="1"/>
    <row r="37689" ht="12.75" customHeight="1"/>
    <row r="37753" ht="12.75" customHeight="1"/>
    <row r="37817" ht="12.75" customHeight="1"/>
    <row r="37881" ht="12.75" customHeight="1"/>
    <row r="37945" ht="12.75" customHeight="1"/>
    <row r="38009" ht="12.75" customHeight="1"/>
    <row r="38073" ht="12.75" customHeight="1"/>
    <row r="38137" ht="12.75" customHeight="1"/>
    <row r="38201" ht="12.75" customHeight="1"/>
    <row r="38265" ht="12.75" customHeight="1"/>
    <row r="38329" ht="12.75" customHeight="1"/>
    <row r="38393" ht="12.75" customHeight="1"/>
    <row r="38457" ht="12.75" customHeight="1"/>
    <row r="38521" ht="12.75" customHeight="1"/>
    <row r="38585" ht="12.75" customHeight="1"/>
    <row r="38649" ht="12.75" customHeight="1"/>
    <row r="38713" ht="12.75" customHeight="1"/>
    <row r="38777" ht="12.75" customHeight="1"/>
    <row r="38841" ht="12.75" customHeight="1"/>
    <row r="38905" ht="12.75" customHeight="1"/>
    <row r="38969" ht="12.75" customHeight="1"/>
    <row r="39033" ht="12.75" customHeight="1"/>
    <row r="39097" ht="12.75" customHeight="1"/>
    <row r="39161" ht="12.75" customHeight="1"/>
    <row r="39225" ht="12.75" customHeight="1"/>
    <row r="39289" ht="12.75" customHeight="1"/>
    <row r="39353" ht="12.75" customHeight="1"/>
    <row r="39417" ht="12.75" customHeight="1"/>
    <row r="39481" ht="12.75" customHeight="1"/>
    <row r="39545" ht="12.75" customHeight="1"/>
    <row r="39609" ht="12.75" customHeight="1"/>
    <row r="39673" ht="12.75" customHeight="1"/>
    <row r="39737" ht="12.75" customHeight="1"/>
    <row r="39801" ht="12.75" customHeight="1"/>
    <row r="39865" ht="12.75" customHeight="1"/>
    <row r="39929" ht="12.75" customHeight="1"/>
    <row r="39993" ht="12.75" customHeight="1"/>
    <row r="40057" ht="12.75" customHeight="1"/>
    <row r="40121" ht="12.75" customHeight="1"/>
    <row r="40185" ht="12.75" customHeight="1"/>
    <row r="40249" ht="12.75" customHeight="1"/>
    <row r="40313" ht="12.75" customHeight="1"/>
    <row r="40377" ht="12.75" customHeight="1"/>
    <row r="40441" ht="12.75" customHeight="1"/>
    <row r="40505" ht="12.75" customHeight="1"/>
    <row r="40569" ht="12.75" customHeight="1"/>
    <row r="40633" ht="12.75" customHeight="1"/>
    <row r="40697" ht="12.75" customHeight="1"/>
    <row r="40761" ht="12.75" customHeight="1"/>
    <row r="40825" ht="12.75" customHeight="1"/>
    <row r="40889" ht="12.75" customHeight="1"/>
    <row r="40953" ht="12.75" customHeight="1"/>
    <row r="41017" ht="12.75" customHeight="1"/>
    <row r="41081" ht="12.75" customHeight="1"/>
    <row r="41145" ht="12.75" customHeight="1"/>
    <row r="41209" ht="12.75" customHeight="1"/>
    <row r="41273" ht="12.75" customHeight="1"/>
    <row r="41337" ht="12.75" customHeight="1"/>
    <row r="41401" ht="12.75" customHeight="1"/>
    <row r="41465" ht="12.75" customHeight="1"/>
    <row r="41529" ht="12.75" customHeight="1"/>
    <row r="41593" ht="12.75" customHeight="1"/>
    <row r="41657" ht="12.75" customHeight="1"/>
    <row r="41721" ht="12.75" customHeight="1"/>
    <row r="41785" ht="12.75" customHeight="1"/>
    <row r="41849" ht="12.75" customHeight="1"/>
    <row r="41913" ht="12.75" customHeight="1"/>
    <row r="41977" ht="12.75" customHeight="1"/>
    <row r="42041" ht="12.75" customHeight="1"/>
    <row r="42105" ht="12.75" customHeight="1"/>
    <row r="42169" ht="12.75" customHeight="1"/>
    <row r="42233" ht="12.75" customHeight="1"/>
    <row r="42297" ht="12.75" customHeight="1"/>
    <row r="42361" ht="12.75" customHeight="1"/>
    <row r="42425" ht="12.75" customHeight="1"/>
    <row r="42489" ht="12.75" customHeight="1"/>
    <row r="42553" ht="12.75" customHeight="1"/>
    <row r="42617" ht="12.75" customHeight="1"/>
    <row r="42681" ht="12.75" customHeight="1"/>
    <row r="42745" ht="12.75" customHeight="1"/>
    <row r="42809" ht="12.75" customHeight="1"/>
    <row r="42873" ht="12.75" customHeight="1"/>
    <row r="42937" ht="12.75" customHeight="1"/>
    <row r="43001" ht="12.75" customHeight="1"/>
    <row r="43065" ht="12.75" customHeight="1"/>
    <row r="43129" ht="12.75" customHeight="1"/>
    <row r="43193" ht="12.75" customHeight="1"/>
    <row r="43257" ht="12.75" customHeight="1"/>
    <row r="43321" ht="12.75" customHeight="1"/>
    <row r="43385" ht="12.75" customHeight="1"/>
    <row r="43449" ht="12.75" customHeight="1"/>
    <row r="43513" ht="12.75" customHeight="1"/>
    <row r="43577" ht="12.75" customHeight="1"/>
    <row r="43641" ht="12.75" customHeight="1"/>
    <row r="43705" ht="12.75" customHeight="1"/>
    <row r="43769" ht="12.75" customHeight="1"/>
    <row r="43833" ht="12.75" customHeight="1"/>
    <row r="43897" ht="12.75" customHeight="1"/>
    <row r="43961" ht="12.75" customHeight="1"/>
    <row r="44025" ht="12.75" customHeight="1"/>
    <row r="44089" ht="12.75" customHeight="1"/>
    <row r="44153" ht="12.75" customHeight="1"/>
    <row r="44217" ht="12.75" customHeight="1"/>
    <row r="44281" ht="12.75" customHeight="1"/>
    <row r="44345" ht="12.75" customHeight="1"/>
    <row r="44409" ht="12.75" customHeight="1"/>
    <row r="44473" ht="12.75" customHeight="1"/>
    <row r="44537" ht="12.75" customHeight="1"/>
    <row r="44601" ht="12.75" customHeight="1"/>
    <row r="44665" ht="12.75" customHeight="1"/>
    <row r="44729" ht="12.75" customHeight="1"/>
    <row r="44793" ht="12.75" customHeight="1"/>
    <row r="44857" ht="12.75" customHeight="1"/>
    <row r="44921" ht="12.75" customHeight="1"/>
    <row r="44985" ht="12.75" customHeight="1"/>
    <row r="45049" ht="12.75" customHeight="1"/>
    <row r="45113" ht="12.75" customHeight="1"/>
    <row r="45177" ht="12.75" customHeight="1"/>
    <row r="45241" ht="12.75" customHeight="1"/>
    <row r="45305" ht="12.75" customHeight="1"/>
    <row r="45369" ht="12.75" customHeight="1"/>
    <row r="45433" ht="12.75" customHeight="1"/>
    <row r="45497" ht="12.75" customHeight="1"/>
    <row r="45561" ht="12.75" customHeight="1"/>
    <row r="45625" ht="12.75" customHeight="1"/>
    <row r="45689" ht="12.75" customHeight="1"/>
    <row r="45753" ht="12.75" customHeight="1"/>
    <row r="45817" ht="12.75" customHeight="1"/>
    <row r="45881" ht="12.75" customHeight="1"/>
    <row r="45945" ht="12.75" customHeight="1"/>
    <row r="46009" ht="12.75" customHeight="1"/>
    <row r="46073" ht="12.75" customHeight="1"/>
    <row r="46137" ht="12.75" customHeight="1"/>
    <row r="46201" ht="12.75" customHeight="1"/>
    <row r="46265" ht="12.75" customHeight="1"/>
    <row r="46329" ht="12.75" customHeight="1"/>
    <row r="46393" ht="12.75" customHeight="1"/>
    <row r="46457" ht="12.75" customHeight="1"/>
    <row r="46521" ht="12.75" customHeight="1"/>
    <row r="46585" ht="12.75" customHeight="1"/>
    <row r="46649" ht="12.75" customHeight="1"/>
    <row r="46713" ht="12.75" customHeight="1"/>
    <row r="46777" ht="12.75" customHeight="1"/>
    <row r="46841" ht="12.75" customHeight="1"/>
    <row r="46905" ht="12.75" customHeight="1"/>
    <row r="46969" ht="12.75" customHeight="1"/>
    <row r="47033" ht="12.75" customHeight="1"/>
    <row r="47097" ht="12.75" customHeight="1"/>
    <row r="47161" ht="12.75" customHeight="1"/>
    <row r="47225" ht="12.75" customHeight="1"/>
    <row r="47289" ht="12.75" customHeight="1"/>
    <row r="47353" ht="12.75" customHeight="1"/>
    <row r="47417" ht="12.75" customHeight="1"/>
    <row r="47481" ht="12.75" customHeight="1"/>
    <row r="47545" ht="12.75" customHeight="1"/>
    <row r="47609" ht="12.75" customHeight="1"/>
    <row r="47673" ht="12.75" customHeight="1"/>
    <row r="47737" ht="12.75" customHeight="1"/>
    <row r="47801" ht="12.75" customHeight="1"/>
    <row r="47865" ht="12.75" customHeight="1"/>
    <row r="47929" ht="12.75" customHeight="1"/>
    <row r="47993" ht="12.75" customHeight="1"/>
    <row r="48057" ht="12.75" customHeight="1"/>
    <row r="48121" ht="12.75" customHeight="1"/>
    <row r="48185" ht="12.75" customHeight="1"/>
    <row r="48249" ht="12.75" customHeight="1"/>
    <row r="48313" ht="12.75" customHeight="1"/>
    <row r="48377" ht="12.75" customHeight="1"/>
    <row r="48441" ht="12.75" customHeight="1"/>
    <row r="48505" ht="12.75" customHeight="1"/>
    <row r="48569" ht="12.75" customHeight="1"/>
    <row r="48633" ht="12.75" customHeight="1"/>
    <row r="48697" ht="12.75" customHeight="1"/>
    <row r="48761" ht="12.75" customHeight="1"/>
    <row r="48825" ht="12.75" customHeight="1"/>
    <row r="48889" ht="12.75" customHeight="1"/>
    <row r="48953" ht="12.75" customHeight="1"/>
    <row r="49017" ht="12.75" customHeight="1"/>
    <row r="49081" ht="12.75" customHeight="1"/>
    <row r="49145" ht="12.75" customHeight="1"/>
    <row r="49209" ht="12.75" customHeight="1"/>
    <row r="49273" ht="12.75" customHeight="1"/>
    <row r="49337" ht="12.75" customHeight="1"/>
    <row r="49401" ht="12.75" customHeight="1"/>
    <row r="49465" ht="12.75" customHeight="1"/>
    <row r="49529" ht="12.75" customHeight="1"/>
    <row r="49593" ht="12.75" customHeight="1"/>
    <row r="49657" ht="12.75" customHeight="1"/>
    <row r="49721" ht="12.75" customHeight="1"/>
    <row r="49785" ht="12.75" customHeight="1"/>
    <row r="49849" ht="12.75" customHeight="1"/>
    <row r="49913" ht="12.75" customHeight="1"/>
    <row r="49977" ht="12.75" customHeight="1"/>
    <row r="50041" ht="12.75" customHeight="1"/>
    <row r="50105" ht="12.75" customHeight="1"/>
    <row r="50169" ht="12.75" customHeight="1"/>
    <row r="50233" ht="12.75" customHeight="1"/>
    <row r="50297" ht="12.75" customHeight="1"/>
    <row r="50361" ht="12.75" customHeight="1"/>
    <row r="50425" ht="12.75" customHeight="1"/>
    <row r="50489" ht="12.75" customHeight="1"/>
    <row r="50553" ht="12.75" customHeight="1"/>
    <row r="50617" ht="12.75" customHeight="1"/>
    <row r="50681" ht="12.75" customHeight="1"/>
    <row r="50745" ht="12.75" customHeight="1"/>
    <row r="50809" ht="12.75" customHeight="1"/>
    <row r="50873" ht="12.75" customHeight="1"/>
    <row r="50937" ht="12.75" customHeight="1"/>
    <row r="51001" ht="12.75" customHeight="1"/>
    <row r="51065" ht="12.75" customHeight="1"/>
    <row r="51129" ht="12.75" customHeight="1"/>
    <row r="51193" ht="12.75" customHeight="1"/>
    <row r="51257" ht="12.75" customHeight="1"/>
    <row r="51321" ht="12.75" customHeight="1"/>
    <row r="51385" ht="12.75" customHeight="1"/>
    <row r="51449" ht="12.75" customHeight="1"/>
    <row r="51513" ht="12.75" customHeight="1"/>
    <row r="51577" ht="12.75" customHeight="1"/>
    <row r="51641" ht="12.75" customHeight="1"/>
    <row r="51705" ht="12.75" customHeight="1"/>
    <row r="51769" ht="12.75" customHeight="1"/>
    <row r="51833" ht="12.75" customHeight="1"/>
    <row r="51897" ht="12.75" customHeight="1"/>
    <row r="51961" ht="12.75" customHeight="1"/>
    <row r="52025" ht="12.75" customHeight="1"/>
    <row r="52089" ht="12.75" customHeight="1"/>
    <row r="52153" ht="12.75" customHeight="1"/>
    <row r="52217" ht="12.75" customHeight="1"/>
    <row r="52281" ht="12.75" customHeight="1"/>
    <row r="52345" ht="12.75" customHeight="1"/>
    <row r="52409" ht="12.75" customHeight="1"/>
    <row r="52473" ht="12.75" customHeight="1"/>
    <row r="52537" ht="12.75" customHeight="1"/>
    <row r="52601" ht="12.75" customHeight="1"/>
    <row r="52665" ht="12.75" customHeight="1"/>
    <row r="52729" ht="12.75" customHeight="1"/>
    <row r="52793" ht="12.75" customHeight="1"/>
    <row r="52857" ht="12.75" customHeight="1"/>
    <row r="52921" ht="12.75" customHeight="1"/>
    <row r="52985" ht="12.75" customHeight="1"/>
    <row r="53049" ht="12.75" customHeight="1"/>
    <row r="53113" ht="12.75" customHeight="1"/>
    <row r="53177" ht="12.75" customHeight="1"/>
    <row r="53241" ht="12.75" customHeight="1"/>
    <row r="53305" ht="12.75" customHeight="1"/>
    <row r="53369" ht="12.75" customHeight="1"/>
    <row r="53433" ht="12.75" customHeight="1"/>
    <row r="53497" ht="12.75" customHeight="1"/>
    <row r="53561" ht="12.75" customHeight="1"/>
    <row r="53625" ht="12.75" customHeight="1"/>
    <row r="53689" ht="12.75" customHeight="1"/>
    <row r="53753" ht="12.75" customHeight="1"/>
    <row r="53817" ht="12.75" customHeight="1"/>
    <row r="53881" ht="12.75" customHeight="1"/>
    <row r="53945" ht="12.75" customHeight="1"/>
    <row r="54009" ht="12.75" customHeight="1"/>
    <row r="54073" ht="12.75" customHeight="1"/>
    <row r="54137" ht="12.75" customHeight="1"/>
    <row r="54201" ht="12.75" customHeight="1"/>
    <row r="54265" ht="12.75" customHeight="1"/>
    <row r="54329" ht="12.75" customHeight="1"/>
    <row r="54393" ht="12.75" customHeight="1"/>
    <row r="54457" ht="12.75" customHeight="1"/>
    <row r="54521" ht="12.75" customHeight="1"/>
    <row r="54585" ht="12.75" customHeight="1"/>
    <row r="54649" ht="12.75" customHeight="1"/>
    <row r="54713" ht="12.75" customHeight="1"/>
    <row r="54777" ht="12.75" customHeight="1"/>
    <row r="54841" ht="12.75" customHeight="1"/>
    <row r="54905" ht="12.75" customHeight="1"/>
    <row r="54969" ht="12.75" customHeight="1"/>
    <row r="55033" ht="12.75" customHeight="1"/>
    <row r="55097" ht="12.75" customHeight="1"/>
    <row r="55161" ht="12.75" customHeight="1"/>
    <row r="55225" ht="12.75" customHeight="1"/>
    <row r="55289" ht="12.75" customHeight="1"/>
    <row r="55353" ht="12.75" customHeight="1"/>
    <row r="55417" ht="12.75" customHeight="1"/>
    <row r="55481" ht="12.75" customHeight="1"/>
    <row r="55545" ht="12.75" customHeight="1"/>
    <row r="55609" ht="12.75" customHeight="1"/>
    <row r="55673" ht="12.75" customHeight="1"/>
    <row r="55737" ht="12.75" customHeight="1"/>
    <row r="55801" ht="12.75" customHeight="1"/>
    <row r="55865" ht="12.75" customHeight="1"/>
    <row r="55929" ht="12.75" customHeight="1"/>
    <row r="55993" ht="12.75" customHeight="1"/>
    <row r="56057" ht="12.75" customHeight="1"/>
    <row r="56121" ht="12.75" customHeight="1"/>
    <row r="56185" ht="12.75" customHeight="1"/>
    <row r="56249" ht="12.75" customHeight="1"/>
    <row r="56313" ht="12.75" customHeight="1"/>
    <row r="56377" ht="12.75" customHeight="1"/>
    <row r="56441" ht="12.75" customHeight="1"/>
    <row r="56505" ht="12.75" customHeight="1"/>
    <row r="56569" ht="12.75" customHeight="1"/>
    <row r="56633" ht="12.75" customHeight="1"/>
    <row r="56697" ht="12.75" customHeight="1"/>
    <row r="56761" ht="12.75" customHeight="1"/>
    <row r="56825" ht="12.75" customHeight="1"/>
    <row r="56889" ht="12.75" customHeight="1"/>
    <row r="56953" ht="12.75" customHeight="1"/>
    <row r="57017" ht="12.75" customHeight="1"/>
    <row r="57081" ht="12.75" customHeight="1"/>
    <row r="57145" ht="12.75" customHeight="1"/>
    <row r="57209" ht="12.75" customHeight="1"/>
    <row r="57273" ht="12.75" customHeight="1"/>
    <row r="57337" ht="12.75" customHeight="1"/>
    <row r="57401" ht="12.75" customHeight="1"/>
    <row r="57465" ht="12.75" customHeight="1"/>
    <row r="57529" ht="12.75" customHeight="1"/>
    <row r="57593" ht="12.75" customHeight="1"/>
    <row r="57657" ht="12.75" customHeight="1"/>
    <row r="57721" ht="12.75" customHeight="1"/>
    <row r="57785" ht="12.75" customHeight="1"/>
    <row r="57849" ht="12.75" customHeight="1"/>
    <row r="57913" ht="12.75" customHeight="1"/>
    <row r="57977" ht="12.75" customHeight="1"/>
    <row r="58041" ht="12.75" customHeight="1"/>
    <row r="58105" ht="12.75" customHeight="1"/>
    <row r="58169" ht="12.75" customHeight="1"/>
    <row r="58233" ht="12.75" customHeight="1"/>
    <row r="58297" ht="12.75" customHeight="1"/>
    <row r="58361" ht="12.75" customHeight="1"/>
    <row r="58425" ht="12.75" customHeight="1"/>
    <row r="58489" ht="12.75" customHeight="1"/>
    <row r="58553" ht="12.75" customHeight="1"/>
    <row r="58617" ht="12.75" customHeight="1"/>
    <row r="58681" ht="12.75" customHeight="1"/>
    <row r="58745" ht="12.75" customHeight="1"/>
    <row r="58809" ht="12.75" customHeight="1"/>
    <row r="58873" ht="12.75" customHeight="1"/>
    <row r="58937" ht="12.75" customHeight="1"/>
    <row r="59001" ht="12.75" customHeight="1"/>
    <row r="59065" ht="12.75" customHeight="1"/>
    <row r="59129" ht="12.75" customHeight="1"/>
    <row r="59193" ht="12.75" customHeight="1"/>
    <row r="59257" ht="12.75" customHeight="1"/>
    <row r="59321" ht="12.75" customHeight="1"/>
    <row r="59385" ht="12.75" customHeight="1"/>
    <row r="59449" ht="12.75" customHeight="1"/>
    <row r="59513" ht="12.75" customHeight="1"/>
    <row r="59577" ht="12.75" customHeight="1"/>
    <row r="59641" ht="12.75" customHeight="1"/>
    <row r="59705" ht="12.75" customHeight="1"/>
    <row r="59769" ht="12.75" customHeight="1"/>
    <row r="59833" ht="12.75" customHeight="1"/>
    <row r="59897" ht="12.75" customHeight="1"/>
    <row r="59961" ht="12.75" customHeight="1"/>
    <row r="60025" ht="12.75" customHeight="1"/>
    <row r="60089" ht="12.75" customHeight="1"/>
    <row r="60153" ht="12.75" customHeight="1"/>
    <row r="60217" ht="12.75" customHeight="1"/>
    <row r="60281" ht="12.75" customHeight="1"/>
    <row r="60345" ht="12.75" customHeight="1"/>
    <row r="60409" ht="12.75" customHeight="1"/>
    <row r="60473" ht="12.75" customHeight="1"/>
    <row r="60537" ht="12.75" customHeight="1"/>
    <row r="60601" ht="12.75" customHeight="1"/>
    <row r="60665" ht="12.75" customHeight="1"/>
    <row r="60729" ht="12.75" customHeight="1"/>
    <row r="60793" ht="12.75" customHeight="1"/>
    <row r="60857" ht="12.75" customHeight="1"/>
    <row r="60921" ht="12.75" customHeight="1"/>
    <row r="60985" ht="12.75" customHeight="1"/>
    <row r="61049" ht="12.75" customHeight="1"/>
    <row r="61113" ht="12.75" customHeight="1"/>
    <row r="61177" ht="12.75" customHeight="1"/>
    <row r="61241" ht="12.75" customHeight="1"/>
    <row r="61305" ht="12.75" customHeight="1"/>
    <row r="61369" ht="12.75" customHeight="1"/>
    <row r="61433" ht="12.75" customHeight="1"/>
    <row r="61497" ht="12.75" customHeight="1"/>
    <row r="61561" ht="12.75" customHeight="1"/>
    <row r="61625" ht="12.75" customHeight="1"/>
    <row r="61689" ht="12.75" customHeight="1"/>
    <row r="61753" ht="12.75" customHeight="1"/>
    <row r="61817" ht="12.75" customHeight="1"/>
    <row r="61881" ht="12.75" customHeight="1"/>
    <row r="61945" ht="12.75" customHeight="1"/>
    <row r="62009" ht="12.75" customHeight="1"/>
    <row r="62073" ht="12.75" customHeight="1"/>
    <row r="62137" ht="12.75" customHeight="1"/>
    <row r="62201" ht="12.75" customHeight="1"/>
    <row r="62265" ht="12.75" customHeight="1"/>
    <row r="62329" ht="12.75" customHeight="1"/>
    <row r="62393" ht="12.75" customHeight="1"/>
    <row r="62457" ht="12.75" customHeight="1"/>
    <row r="62521" ht="12.75" customHeight="1"/>
    <row r="62585" ht="12.75" customHeight="1"/>
    <row r="62649" ht="12.75" customHeight="1"/>
    <row r="62713" ht="12.75" customHeight="1"/>
    <row r="62777" ht="12.75" customHeight="1"/>
    <row r="62841" ht="12.75" customHeight="1"/>
    <row r="62905" ht="12.75" customHeight="1"/>
    <row r="62969" ht="12.75" customHeight="1"/>
    <row r="63033" ht="12.75" customHeight="1"/>
    <row r="63097" ht="12.75" customHeight="1"/>
    <row r="63161" ht="12.75" customHeight="1"/>
    <row r="63225" ht="12.75" customHeight="1"/>
    <row r="63289" ht="12.75" customHeight="1"/>
    <row r="63353" ht="12.75" customHeight="1"/>
    <row r="63417" ht="12.75" customHeight="1"/>
    <row r="63481" ht="12.75" customHeight="1"/>
    <row r="63545" ht="12.75" customHeight="1"/>
    <row r="63609" ht="12.75" customHeight="1"/>
    <row r="63673" ht="12.75" customHeight="1"/>
    <row r="63737" ht="12.75" customHeight="1"/>
    <row r="63801" ht="12.75" customHeight="1"/>
    <row r="63865" ht="12.75" customHeight="1"/>
    <row r="63929" ht="12.75" customHeight="1"/>
    <row r="63993" ht="12.75" customHeight="1"/>
    <row r="64057" ht="12.75" customHeight="1"/>
    <row r="64121" ht="12.75" customHeight="1"/>
    <row r="64185" ht="12.75" customHeight="1"/>
    <row r="64249" ht="12.75" customHeight="1"/>
    <row r="64313" ht="12.75" customHeight="1"/>
    <row r="64377" ht="12.75" customHeight="1"/>
    <row r="64441" ht="12.75" customHeight="1"/>
    <row r="64505" ht="12.75" customHeight="1"/>
    <row r="64569" ht="12.75" customHeight="1"/>
    <row r="64633" ht="12.75" customHeight="1"/>
    <row r="64697" ht="12.75" customHeight="1"/>
    <row r="64761" ht="12.75" customHeight="1"/>
    <row r="64825" ht="12.75" customHeight="1"/>
    <row r="64889" ht="12.75" customHeight="1"/>
    <row r="64953" ht="12.75" customHeight="1"/>
    <row r="65017" ht="12.75" customHeight="1"/>
    <row r="65081" ht="12.75" customHeight="1"/>
    <row r="65145" ht="12.75" customHeight="1"/>
  </sheetData>
  <sheetProtection/>
  <mergeCells count="24">
    <mergeCell ref="X4:X8"/>
    <mergeCell ref="L7:L8"/>
    <mergeCell ref="B5:L5"/>
    <mergeCell ref="E6:L6"/>
    <mergeCell ref="R7:R8"/>
    <mergeCell ref="V4:V8"/>
    <mergeCell ref="C6:C8"/>
    <mergeCell ref="O6:S6"/>
    <mergeCell ref="J7:J8"/>
    <mergeCell ref="B4:T4"/>
    <mergeCell ref="O7:O8"/>
    <mergeCell ref="I7:I8"/>
    <mergeCell ref="K7:K8"/>
    <mergeCell ref="M7:M8"/>
    <mergeCell ref="O5:T5"/>
    <mergeCell ref="T7:T8"/>
    <mergeCell ref="Q7:Q8"/>
    <mergeCell ref="F7:F8"/>
    <mergeCell ref="D6:D8"/>
    <mergeCell ref="H7:H8"/>
    <mergeCell ref="W4:W8"/>
    <mergeCell ref="G7:G8"/>
    <mergeCell ref="P7:P8"/>
    <mergeCell ref="S7:S8"/>
  </mergeCells>
  <printOptions/>
  <pageMargins left="0.15748031496062992" right="0.15748031496062992" top="0.1968503937007874" bottom="0.15748031496062992" header="0.11811023622047245" footer="0.1574803149606299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Capova</cp:lastModifiedBy>
  <cp:lastPrinted>2011-07-20T11:51:06Z</cp:lastPrinted>
  <dcterms:created xsi:type="dcterms:W3CDTF">2006-06-21T07:20:26Z</dcterms:created>
  <dcterms:modified xsi:type="dcterms:W3CDTF">2011-08-03T13:36:25Z</dcterms:modified>
  <cp:category/>
  <cp:version/>
  <cp:contentType/>
  <cp:contentStatus/>
</cp:coreProperties>
</file>