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meny rozpočtu\Zmena rozpočtu máj 2017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Príjmy!$B$2:$J$450</definedName>
    <definedName name="_xlnm.Print_Area" localSheetId="2">Sumarizácia!$B$2:$L$41</definedName>
    <definedName name="_xlnm.Print_Area" localSheetId="1">Výdavky!$B$2:$S$1841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3" i="2" l="1"/>
  <c r="I49" i="1" l="1"/>
  <c r="R471" i="2" l="1"/>
  <c r="R472" i="2"/>
  <c r="R473" i="2"/>
  <c r="R474" i="2"/>
  <c r="R475" i="2"/>
  <c r="R476" i="2"/>
  <c r="R477" i="2"/>
  <c r="O477" i="2"/>
  <c r="S477" i="2" s="1"/>
  <c r="Q477" i="2"/>
  <c r="O476" i="2"/>
  <c r="S476" i="2" s="1"/>
  <c r="Q476" i="2"/>
  <c r="O475" i="2"/>
  <c r="S475" i="2" s="1"/>
  <c r="Q475" i="2"/>
  <c r="O474" i="2"/>
  <c r="S474" i="2" s="1"/>
  <c r="Q474" i="2"/>
  <c r="O473" i="2"/>
  <c r="S473" i="2" s="1"/>
  <c r="Q473" i="2"/>
  <c r="O472" i="2"/>
  <c r="S472" i="2" s="1"/>
  <c r="Q472" i="2"/>
  <c r="O471" i="2"/>
  <c r="S471" i="2" s="1"/>
  <c r="Q471" i="2"/>
  <c r="N466" i="2" l="1"/>
  <c r="R495" i="2"/>
  <c r="O495" i="2"/>
  <c r="Q495" i="2"/>
  <c r="K495" i="2"/>
  <c r="S495" i="2" l="1"/>
  <c r="N1448" i="2"/>
  <c r="O1453" i="2"/>
  <c r="Q1453" i="2"/>
  <c r="R1453" i="2"/>
  <c r="S1453" i="2"/>
  <c r="J132" i="2"/>
  <c r="K134" i="2"/>
  <c r="O134" i="2"/>
  <c r="Q134" i="2"/>
  <c r="R134" i="2"/>
  <c r="N125" i="2"/>
  <c r="S134" i="2" l="1"/>
  <c r="J358" i="2"/>
  <c r="Q360" i="2"/>
  <c r="R360" i="2"/>
  <c r="O360" i="2"/>
  <c r="K360" i="2"/>
  <c r="S360" i="2" l="1"/>
  <c r="B438" i="1"/>
  <c r="B439" i="1" s="1"/>
  <c r="B440" i="1" s="1"/>
  <c r="B441" i="1" s="1"/>
  <c r="B442" i="1" s="1"/>
  <c r="B437" i="1"/>
  <c r="B436" i="1"/>
  <c r="B435" i="1"/>
  <c r="L37" i="3"/>
  <c r="L36" i="3"/>
  <c r="L35" i="3"/>
  <c r="L34" i="3"/>
  <c r="L33" i="3"/>
  <c r="L32" i="3"/>
  <c r="L27" i="3"/>
  <c r="L28" i="3"/>
  <c r="L29" i="3"/>
  <c r="L30" i="3"/>
  <c r="J261" i="2"/>
  <c r="O266" i="2"/>
  <c r="Q266" i="2"/>
  <c r="R266" i="2"/>
  <c r="K266" i="2"/>
  <c r="J249" i="2"/>
  <c r="O255" i="2"/>
  <c r="Q255" i="2"/>
  <c r="R255" i="2"/>
  <c r="K255" i="2"/>
  <c r="J1833" i="2"/>
  <c r="R1838" i="2"/>
  <c r="O1838" i="2"/>
  <c r="K1838" i="2"/>
  <c r="Q1838" i="2"/>
  <c r="J600" i="2"/>
  <c r="O602" i="2"/>
  <c r="Q602" i="2"/>
  <c r="R602" i="2"/>
  <c r="K602" i="2"/>
  <c r="Q1324" i="2"/>
  <c r="R1324" i="2"/>
  <c r="Q1325" i="2"/>
  <c r="R1325" i="2"/>
  <c r="O1324" i="2"/>
  <c r="O1325" i="2"/>
  <c r="J1319" i="2"/>
  <c r="K1324" i="2"/>
  <c r="K1325" i="2"/>
  <c r="O966" i="2"/>
  <c r="Q966" i="2"/>
  <c r="R966" i="2"/>
  <c r="K966" i="2"/>
  <c r="K942" i="2"/>
  <c r="O942" i="2"/>
  <c r="Q942" i="2"/>
  <c r="R942" i="2"/>
  <c r="Q914" i="2"/>
  <c r="R914" i="2"/>
  <c r="O914" i="2"/>
  <c r="K914" i="2"/>
  <c r="Q858" i="2"/>
  <c r="R858" i="2"/>
  <c r="O858" i="2"/>
  <c r="K858" i="2"/>
  <c r="Q812" i="2"/>
  <c r="R812" i="2"/>
  <c r="O812" i="2"/>
  <c r="K812" i="2"/>
  <c r="Q792" i="2"/>
  <c r="R792" i="2"/>
  <c r="O792" i="2"/>
  <c r="K792" i="2"/>
  <c r="Q767" i="2"/>
  <c r="R767" i="2"/>
  <c r="O767" i="2"/>
  <c r="J761" i="2"/>
  <c r="K767" i="2"/>
  <c r="J592" i="2"/>
  <c r="S1324" i="2" l="1"/>
  <c r="S1838" i="2"/>
  <c r="S266" i="2"/>
  <c r="S966" i="2"/>
  <c r="S255" i="2"/>
  <c r="S942" i="2"/>
  <c r="S1325" i="2"/>
  <c r="S602" i="2"/>
  <c r="S812" i="2"/>
  <c r="S914" i="2"/>
  <c r="S792" i="2"/>
  <c r="S858" i="2"/>
  <c r="S767" i="2"/>
  <c r="K23" i="3"/>
  <c r="L26" i="3"/>
  <c r="L25" i="3"/>
  <c r="Q1452" i="2"/>
  <c r="R1452" i="2"/>
  <c r="O1452" i="2"/>
  <c r="S1452" i="2" s="1"/>
  <c r="N1547" i="2"/>
  <c r="Q1551" i="2"/>
  <c r="R1551" i="2"/>
  <c r="O1551" i="2"/>
  <c r="S1551" i="2" s="1"/>
  <c r="N496" i="2"/>
  <c r="K526" i="2"/>
  <c r="O526" i="2"/>
  <c r="Q526" i="2"/>
  <c r="R526" i="2"/>
  <c r="N862" i="2"/>
  <c r="Q866" i="2"/>
  <c r="R866" i="2"/>
  <c r="O866" i="2"/>
  <c r="S866" i="2" s="1"/>
  <c r="I1606" i="2"/>
  <c r="R1607" i="2"/>
  <c r="Q1607" i="2"/>
  <c r="O1607" i="2"/>
  <c r="K1607" i="2"/>
  <c r="O1606" i="2"/>
  <c r="O1605" i="2"/>
  <c r="N1513" i="2"/>
  <c r="Q1517" i="2"/>
  <c r="R1517" i="2"/>
  <c r="O1517" i="2"/>
  <c r="K1517" i="2"/>
  <c r="S1517" i="2" s="1"/>
  <c r="N1389" i="2"/>
  <c r="N1388" i="2" s="1"/>
  <c r="R1388" i="2" s="1"/>
  <c r="Q1388" i="2"/>
  <c r="Q1389" i="2"/>
  <c r="Q1390" i="2"/>
  <c r="R1390" i="2"/>
  <c r="O1390" i="2"/>
  <c r="K1388" i="2"/>
  <c r="K1389" i="2"/>
  <c r="K1390" i="2"/>
  <c r="S1607" i="2" l="1"/>
  <c r="S526" i="2"/>
  <c r="S1390" i="2"/>
  <c r="O1389" i="2"/>
  <c r="S1389" i="2" s="1"/>
  <c r="R1389" i="2"/>
  <c r="O1388" i="2"/>
  <c r="S1388" i="2" s="1"/>
  <c r="K525" i="2" l="1"/>
  <c r="O525" i="2"/>
  <c r="Q525" i="2"/>
  <c r="R525" i="2"/>
  <c r="S525" i="2" l="1"/>
  <c r="J1697" i="2" l="1"/>
  <c r="J1696" i="2" s="1"/>
  <c r="Q1710" i="2"/>
  <c r="R1710" i="2"/>
  <c r="K1710" i="2"/>
  <c r="S1710" i="2" s="1"/>
  <c r="J1488" i="2"/>
  <c r="Q1499" i="2"/>
  <c r="K1498" i="2"/>
  <c r="K1499" i="2"/>
  <c r="Q1498" i="2"/>
  <c r="O1497" i="2"/>
  <c r="O1498" i="2"/>
  <c r="O1499" i="2"/>
  <c r="R1497" i="2"/>
  <c r="R1498" i="2"/>
  <c r="R1499" i="2"/>
  <c r="K1497" i="2"/>
  <c r="Q1497" i="2"/>
  <c r="J1621" i="2"/>
  <c r="S1498" i="2" l="1"/>
  <c r="S1497" i="2"/>
  <c r="S1499" i="2"/>
  <c r="N376" i="2"/>
  <c r="Q378" i="2"/>
  <c r="R378" i="2"/>
  <c r="O378" i="2"/>
  <c r="S378" i="2" s="1"/>
  <c r="R463" i="2"/>
  <c r="Q463" i="2"/>
  <c r="O463" i="2"/>
  <c r="K463" i="2"/>
  <c r="N462" i="2"/>
  <c r="R462" i="2" s="1"/>
  <c r="M462" i="2"/>
  <c r="K462" i="2"/>
  <c r="R1371" i="2"/>
  <c r="R1372" i="2"/>
  <c r="K1372" i="2"/>
  <c r="S1372" i="2" s="1"/>
  <c r="J1355" i="2"/>
  <c r="Q1372" i="2"/>
  <c r="K1371" i="2"/>
  <c r="S1371" i="2" s="1"/>
  <c r="Q1371" i="2"/>
  <c r="Q1360" i="2"/>
  <c r="R1360" i="2"/>
  <c r="Q1361" i="2"/>
  <c r="R1361" i="2"/>
  <c r="Q1362" i="2"/>
  <c r="R1362" i="2"/>
  <c r="O1360" i="2"/>
  <c r="O1361" i="2"/>
  <c r="O1362" i="2"/>
  <c r="K1360" i="2"/>
  <c r="K1361" i="2"/>
  <c r="K1362" i="2"/>
  <c r="N1444" i="2"/>
  <c r="M1444" i="2"/>
  <c r="J1329" i="2"/>
  <c r="I1329" i="2"/>
  <c r="J755" i="2"/>
  <c r="I755" i="2"/>
  <c r="I600" i="2"/>
  <c r="N449" i="2"/>
  <c r="M449" i="2"/>
  <c r="M124" i="2"/>
  <c r="M1577" i="2"/>
  <c r="K1581" i="2"/>
  <c r="O1581" i="2"/>
  <c r="Q1581" i="2"/>
  <c r="R1581" i="2"/>
  <c r="N77" i="2"/>
  <c r="H7" i="3" s="1"/>
  <c r="O77" i="2"/>
  <c r="K31" i="3"/>
  <c r="R1825" i="2"/>
  <c r="R1826" i="2"/>
  <c r="R1828" i="2"/>
  <c r="R1829" i="2"/>
  <c r="R1831" i="2"/>
  <c r="R1832" i="2"/>
  <c r="R1834" i="2"/>
  <c r="R1835" i="2"/>
  <c r="R1836" i="2"/>
  <c r="R1837" i="2"/>
  <c r="R1841" i="2"/>
  <c r="R1681" i="2"/>
  <c r="R1682" i="2"/>
  <c r="R1684" i="2"/>
  <c r="R1685" i="2"/>
  <c r="R1686" i="2"/>
  <c r="R1687" i="2"/>
  <c r="R1688" i="2"/>
  <c r="R1691" i="2"/>
  <c r="R1694" i="2"/>
  <c r="R1697" i="2"/>
  <c r="R1698" i="2"/>
  <c r="R1699" i="2"/>
  <c r="R1700" i="2"/>
  <c r="R1702" i="2"/>
  <c r="R1703" i="2"/>
  <c r="R1704" i="2"/>
  <c r="R1705" i="2"/>
  <c r="R1706" i="2"/>
  <c r="R1707" i="2"/>
  <c r="R1708" i="2"/>
  <c r="R1709" i="2"/>
  <c r="R1711" i="2"/>
  <c r="R1714" i="2"/>
  <c r="R1715" i="2"/>
  <c r="R1717" i="2"/>
  <c r="R1718" i="2"/>
  <c r="R1719" i="2"/>
  <c r="R1720" i="2"/>
  <c r="R1724" i="2"/>
  <c r="R1725" i="2"/>
  <c r="R1726" i="2"/>
  <c r="R1729" i="2"/>
  <c r="R1730" i="2"/>
  <c r="R1731" i="2"/>
  <c r="R1734" i="2"/>
  <c r="R1735" i="2"/>
  <c r="R1737" i="2"/>
  <c r="R1738" i="2"/>
  <c r="R1739" i="2"/>
  <c r="R1740" i="2"/>
  <c r="R1741" i="2"/>
  <c r="R1742" i="2"/>
  <c r="R1743" i="2"/>
  <c r="R1746" i="2"/>
  <c r="R1747" i="2"/>
  <c r="R1748" i="2"/>
  <c r="R1751" i="2"/>
  <c r="R1752" i="2"/>
  <c r="R1753" i="2"/>
  <c r="R1754" i="2"/>
  <c r="R1756" i="2"/>
  <c r="R1757" i="2"/>
  <c r="R1758" i="2"/>
  <c r="R1760" i="2"/>
  <c r="R1762" i="2"/>
  <c r="R1763" i="2"/>
  <c r="R1765" i="2"/>
  <c r="R1766" i="2"/>
  <c r="R1767" i="2"/>
  <c r="R1768" i="2"/>
  <c r="R1769" i="2"/>
  <c r="R1770" i="2"/>
  <c r="R1771" i="2"/>
  <c r="R1774" i="2"/>
  <c r="R1775" i="2"/>
  <c r="R1777" i="2"/>
  <c r="R1778" i="2"/>
  <c r="R1779" i="2"/>
  <c r="R1780" i="2"/>
  <c r="R1781" i="2"/>
  <c r="R1784" i="2"/>
  <c r="R1787" i="2"/>
  <c r="R1789" i="2"/>
  <c r="R1792" i="2"/>
  <c r="R1793" i="2"/>
  <c r="R1795" i="2"/>
  <c r="R1796" i="2"/>
  <c r="R1797" i="2"/>
  <c r="R1798" i="2"/>
  <c r="R1799" i="2"/>
  <c r="R1802" i="2"/>
  <c r="R1803" i="2"/>
  <c r="R1805" i="2"/>
  <c r="R1806" i="2"/>
  <c r="R1807" i="2"/>
  <c r="R1808" i="2"/>
  <c r="R1809" i="2"/>
  <c r="R1810" i="2"/>
  <c r="R1539" i="2"/>
  <c r="R1541" i="2"/>
  <c r="R1542" i="2"/>
  <c r="R1545" i="2"/>
  <c r="R1548" i="2"/>
  <c r="R1549" i="2"/>
  <c r="R1550" i="2"/>
  <c r="R1553" i="2"/>
  <c r="R1554" i="2"/>
  <c r="R1556" i="2"/>
  <c r="R1557" i="2"/>
  <c r="R1558" i="2"/>
  <c r="R1559" i="2"/>
  <c r="R1560" i="2"/>
  <c r="R1561" i="2"/>
  <c r="R1562" i="2"/>
  <c r="R1563" i="2"/>
  <c r="R1564" i="2"/>
  <c r="R1566" i="2"/>
  <c r="R1567" i="2"/>
  <c r="R1568" i="2"/>
  <c r="R1569" i="2"/>
  <c r="R1570" i="2"/>
  <c r="R1571" i="2"/>
  <c r="R1572" i="2"/>
  <c r="R1573" i="2"/>
  <c r="R1574" i="2"/>
  <c r="R1576" i="2"/>
  <c r="R1578" i="2"/>
  <c r="R1579" i="2"/>
  <c r="R1580" i="2"/>
  <c r="R1585" i="2"/>
  <c r="R1586" i="2"/>
  <c r="R1589" i="2"/>
  <c r="R1592" i="2"/>
  <c r="R1595" i="2"/>
  <c r="R1596" i="2"/>
  <c r="R1598" i="2"/>
  <c r="R1599" i="2"/>
  <c r="R1601" i="2"/>
  <c r="R1604" i="2"/>
  <c r="R1611" i="2"/>
  <c r="R1615" i="2"/>
  <c r="R1616" i="2"/>
  <c r="R1617" i="2"/>
  <c r="R1618" i="2"/>
  <c r="R1621" i="2"/>
  <c r="R1622" i="2"/>
  <c r="R1624" i="2"/>
  <c r="R1625" i="2"/>
  <c r="R1626" i="2"/>
  <c r="R1627" i="2"/>
  <c r="R1628" i="2"/>
  <c r="R1629" i="2"/>
  <c r="R1630" i="2"/>
  <c r="R1489" i="2"/>
  <c r="R1490" i="2"/>
  <c r="R1491" i="2"/>
  <c r="R1492" i="2"/>
  <c r="R1493" i="2"/>
  <c r="R1494" i="2"/>
  <c r="R1495" i="2"/>
  <c r="R1496" i="2"/>
  <c r="R1502" i="2"/>
  <c r="R1503" i="2"/>
  <c r="R1504" i="2"/>
  <c r="R1505" i="2"/>
  <c r="R1507" i="2"/>
  <c r="R1509" i="2"/>
  <c r="R1510" i="2"/>
  <c r="R1511" i="2"/>
  <c r="R1514" i="2"/>
  <c r="R1515" i="2"/>
  <c r="R1516" i="2"/>
  <c r="R1520" i="2"/>
  <c r="R1521" i="2"/>
  <c r="R1522" i="2"/>
  <c r="R1523" i="2"/>
  <c r="R1526" i="2"/>
  <c r="R1351" i="2"/>
  <c r="R1352" i="2"/>
  <c r="R1353" i="2"/>
  <c r="R1356" i="2"/>
  <c r="R1357" i="2"/>
  <c r="R1358" i="2"/>
  <c r="R1359" i="2"/>
  <c r="R1363" i="2"/>
  <c r="R1364" i="2"/>
  <c r="R1365" i="2"/>
  <c r="R1366" i="2"/>
  <c r="R1367" i="2"/>
  <c r="R1368" i="2"/>
  <c r="R1369" i="2"/>
  <c r="R1370" i="2"/>
  <c r="R1376" i="2"/>
  <c r="R1377" i="2"/>
  <c r="R1380" i="2"/>
  <c r="R1381" i="2"/>
  <c r="R1382" i="2"/>
  <c r="R1385" i="2"/>
  <c r="R1387" i="2"/>
  <c r="R1393" i="2"/>
  <c r="R1396" i="2"/>
  <c r="R1398" i="2"/>
  <c r="R1400" i="2"/>
  <c r="R1401" i="2"/>
  <c r="R1403" i="2"/>
  <c r="R1404" i="2"/>
  <c r="R1405" i="2"/>
  <c r="R1406" i="2"/>
  <c r="R1407" i="2"/>
  <c r="R1408" i="2"/>
  <c r="R1411" i="2"/>
  <c r="R1412" i="2"/>
  <c r="R1415" i="2"/>
  <c r="R1417" i="2"/>
  <c r="R1418" i="2"/>
  <c r="R1420" i="2"/>
  <c r="R1421" i="2"/>
  <c r="R1423" i="2"/>
  <c r="R1424" i="2"/>
  <c r="R1425" i="2"/>
  <c r="R1426" i="2"/>
  <c r="R1427" i="2"/>
  <c r="R1429" i="2"/>
  <c r="R1430" i="2"/>
  <c r="R1431" i="2"/>
  <c r="R1432" i="2"/>
  <c r="R1434" i="2"/>
  <c r="R1435" i="2"/>
  <c r="R1437" i="2"/>
  <c r="R1438" i="2"/>
  <c r="R1439" i="2"/>
  <c r="R1440" i="2"/>
  <c r="R1441" i="2"/>
  <c r="R1445" i="2"/>
  <c r="R1446" i="2"/>
  <c r="R1447" i="2"/>
  <c r="R1449" i="2"/>
  <c r="R1450" i="2"/>
  <c r="R1451" i="2"/>
  <c r="R1455" i="2"/>
  <c r="R1456" i="2"/>
  <c r="R1458" i="2"/>
  <c r="R1459" i="2"/>
  <c r="R1460" i="2"/>
  <c r="R1461" i="2"/>
  <c r="R1462" i="2"/>
  <c r="R1463" i="2"/>
  <c r="R1464" i="2"/>
  <c r="R1465" i="2"/>
  <c r="R1466" i="2"/>
  <c r="R1467" i="2"/>
  <c r="R1470" i="2"/>
  <c r="R580" i="2"/>
  <c r="R581" i="2"/>
  <c r="R582" i="2"/>
  <c r="R583" i="2"/>
  <c r="R584" i="2"/>
  <c r="R585" i="2"/>
  <c r="R586" i="2"/>
  <c r="R587" i="2"/>
  <c r="R588" i="2"/>
  <c r="R590" i="2"/>
  <c r="R591" i="2"/>
  <c r="R593" i="2"/>
  <c r="R594" i="2"/>
  <c r="R595" i="2"/>
  <c r="R596" i="2"/>
  <c r="R597" i="2"/>
  <c r="R598" i="2"/>
  <c r="R601" i="2"/>
  <c r="R604" i="2"/>
  <c r="R605" i="2"/>
  <c r="R607" i="2"/>
  <c r="R608" i="2"/>
  <c r="R609" i="2"/>
  <c r="R610" i="2"/>
  <c r="R612" i="2"/>
  <c r="R613" i="2"/>
  <c r="R615" i="2"/>
  <c r="R616" i="2"/>
  <c r="R617" i="2"/>
  <c r="R618" i="2"/>
  <c r="R619" i="2"/>
  <c r="R621" i="2"/>
  <c r="R622" i="2"/>
  <c r="R624" i="2"/>
  <c r="R625" i="2"/>
  <c r="R626" i="2"/>
  <c r="R627" i="2"/>
  <c r="R630" i="2"/>
  <c r="R632" i="2"/>
  <c r="R633" i="2"/>
  <c r="R635" i="2"/>
  <c r="R636" i="2"/>
  <c r="R637" i="2"/>
  <c r="R638" i="2"/>
  <c r="R641" i="2"/>
  <c r="R643" i="2"/>
  <c r="R645" i="2"/>
  <c r="R646" i="2"/>
  <c r="R648" i="2"/>
  <c r="R649" i="2"/>
  <c r="R650" i="2"/>
  <c r="R651" i="2"/>
  <c r="R652" i="2"/>
  <c r="R654" i="2"/>
  <c r="R655" i="2"/>
  <c r="R657" i="2"/>
  <c r="R658" i="2"/>
  <c r="R659" i="2"/>
  <c r="R660" i="2"/>
  <c r="R661" i="2"/>
  <c r="R664" i="2"/>
  <c r="R666" i="2"/>
  <c r="R667" i="2"/>
  <c r="R669" i="2"/>
  <c r="R670" i="2"/>
  <c r="R671" i="2"/>
  <c r="R672" i="2"/>
  <c r="R673" i="2"/>
  <c r="R676" i="2"/>
  <c r="R678" i="2"/>
  <c r="R679" i="2"/>
  <c r="R681" i="2"/>
  <c r="R682" i="2"/>
  <c r="R683" i="2"/>
  <c r="R684" i="2"/>
  <c r="R685" i="2"/>
  <c r="R687" i="2"/>
  <c r="R688" i="2"/>
  <c r="R690" i="2"/>
  <c r="R691" i="2"/>
  <c r="R692" i="2"/>
  <c r="R693" i="2"/>
  <c r="R695" i="2"/>
  <c r="R696" i="2"/>
  <c r="R698" i="2"/>
  <c r="R699" i="2"/>
  <c r="R700" i="2"/>
  <c r="R701" i="2"/>
  <c r="R702" i="2"/>
  <c r="R705" i="2"/>
  <c r="R707" i="2"/>
  <c r="R708" i="2"/>
  <c r="R710" i="2"/>
  <c r="R711" i="2"/>
  <c r="R712" i="2"/>
  <c r="R713" i="2"/>
  <c r="R714" i="2"/>
  <c r="R716" i="2"/>
  <c r="R717" i="2"/>
  <c r="R719" i="2"/>
  <c r="R720" i="2"/>
  <c r="R721" i="2"/>
  <c r="R722" i="2"/>
  <c r="R724" i="2"/>
  <c r="R725" i="2"/>
  <c r="R727" i="2"/>
  <c r="R728" i="2"/>
  <c r="R729" i="2"/>
  <c r="R730" i="2"/>
  <c r="R731" i="2"/>
  <c r="R733" i="2"/>
  <c r="R734" i="2"/>
  <c r="R736" i="2"/>
  <c r="R737" i="2"/>
  <c r="R738" i="2"/>
  <c r="R739" i="2"/>
  <c r="R740" i="2"/>
  <c r="R743" i="2"/>
  <c r="R745" i="2"/>
  <c r="R746" i="2"/>
  <c r="R748" i="2"/>
  <c r="R749" i="2"/>
  <c r="R750" i="2"/>
  <c r="R751" i="2"/>
  <c r="R752" i="2"/>
  <c r="R753" i="2"/>
  <c r="R756" i="2"/>
  <c r="R759" i="2"/>
  <c r="R760" i="2"/>
  <c r="R762" i="2"/>
  <c r="R763" i="2"/>
  <c r="R764" i="2"/>
  <c r="R765" i="2"/>
  <c r="R766" i="2"/>
  <c r="R770" i="2"/>
  <c r="R772" i="2"/>
  <c r="R773" i="2"/>
  <c r="R775" i="2"/>
  <c r="R776" i="2"/>
  <c r="R777" i="2"/>
  <c r="R778" i="2"/>
  <c r="R779" i="2"/>
  <c r="R780" i="2"/>
  <c r="R781" i="2"/>
  <c r="R782" i="2"/>
  <c r="R783" i="2"/>
  <c r="R785" i="2"/>
  <c r="R786" i="2"/>
  <c r="R787" i="2"/>
  <c r="R788" i="2"/>
  <c r="R789" i="2"/>
  <c r="R790" i="2"/>
  <c r="R791" i="2"/>
  <c r="R794" i="2"/>
  <c r="R795" i="2"/>
  <c r="R797" i="2"/>
  <c r="R798" i="2"/>
  <c r="R799" i="2"/>
  <c r="R800" i="2"/>
  <c r="R801" i="2"/>
  <c r="R802" i="2"/>
  <c r="R803" i="2"/>
  <c r="R804" i="2"/>
  <c r="R806" i="2"/>
  <c r="R807" i="2"/>
  <c r="R808" i="2"/>
  <c r="R809" i="2"/>
  <c r="R810" i="2"/>
  <c r="R811" i="2"/>
  <c r="R815" i="2"/>
  <c r="R816" i="2"/>
  <c r="R818" i="2"/>
  <c r="R820" i="2"/>
  <c r="R821" i="2"/>
  <c r="R823" i="2"/>
  <c r="R824" i="2"/>
  <c r="R825" i="2"/>
  <c r="R826" i="2"/>
  <c r="R827" i="2"/>
  <c r="R828" i="2"/>
  <c r="R829" i="2"/>
  <c r="R830" i="2"/>
  <c r="R832" i="2"/>
  <c r="R833" i="2"/>
  <c r="R834" i="2"/>
  <c r="R835" i="2"/>
  <c r="R836" i="2"/>
  <c r="R837" i="2"/>
  <c r="R838" i="2"/>
  <c r="R840" i="2"/>
  <c r="R841" i="2"/>
  <c r="R843" i="2"/>
  <c r="R844" i="2"/>
  <c r="R845" i="2"/>
  <c r="R846" i="2"/>
  <c r="R847" i="2"/>
  <c r="R848" i="2"/>
  <c r="R849" i="2"/>
  <c r="R850" i="2"/>
  <c r="R852" i="2"/>
  <c r="R853" i="2"/>
  <c r="R854" i="2"/>
  <c r="R855" i="2"/>
  <c r="R856" i="2"/>
  <c r="R857" i="2"/>
  <c r="R861" i="2"/>
  <c r="R863" i="2"/>
  <c r="R864" i="2"/>
  <c r="R865" i="2"/>
  <c r="R868" i="2"/>
  <c r="R869" i="2"/>
  <c r="R871" i="2"/>
  <c r="R872" i="2"/>
  <c r="R873" i="2"/>
  <c r="R874" i="2"/>
  <c r="R875" i="2"/>
  <c r="R876" i="2"/>
  <c r="R877" i="2"/>
  <c r="R878" i="2"/>
  <c r="R880" i="2"/>
  <c r="R881" i="2"/>
  <c r="R882" i="2"/>
  <c r="R883" i="2"/>
  <c r="R884" i="2"/>
  <c r="R885" i="2"/>
  <c r="R888" i="2"/>
  <c r="R889" i="2"/>
  <c r="R891" i="2"/>
  <c r="R892" i="2"/>
  <c r="R894" i="2"/>
  <c r="R895" i="2"/>
  <c r="R897" i="2"/>
  <c r="R898" i="2"/>
  <c r="R899" i="2"/>
  <c r="R900" i="2"/>
  <c r="R901" i="2"/>
  <c r="R902" i="2"/>
  <c r="R903" i="2"/>
  <c r="R904" i="2"/>
  <c r="R905" i="2"/>
  <c r="R907" i="2"/>
  <c r="R908" i="2"/>
  <c r="R909" i="2"/>
  <c r="R910" i="2"/>
  <c r="R911" i="2"/>
  <c r="R912" i="2"/>
  <c r="R913" i="2"/>
  <c r="R917" i="2"/>
  <c r="R919" i="2"/>
  <c r="R920" i="2"/>
  <c r="R922" i="2"/>
  <c r="R923" i="2"/>
  <c r="R925" i="2"/>
  <c r="R926" i="2"/>
  <c r="R927" i="2"/>
  <c r="R928" i="2"/>
  <c r="R929" i="2"/>
  <c r="R930" i="2"/>
  <c r="R931" i="2"/>
  <c r="R932" i="2"/>
  <c r="R933" i="2"/>
  <c r="R935" i="2"/>
  <c r="R936" i="2"/>
  <c r="R937" i="2"/>
  <c r="R938" i="2"/>
  <c r="R939" i="2"/>
  <c r="R940" i="2"/>
  <c r="R941" i="2"/>
  <c r="R945" i="2"/>
  <c r="R947" i="2"/>
  <c r="R949" i="2"/>
  <c r="R950" i="2"/>
  <c r="R952" i="2"/>
  <c r="R953" i="2"/>
  <c r="R954" i="2"/>
  <c r="R955" i="2"/>
  <c r="R956" i="2"/>
  <c r="R957" i="2"/>
  <c r="R958" i="2"/>
  <c r="R960" i="2"/>
  <c r="R961" i="2"/>
  <c r="R962" i="2"/>
  <c r="R963" i="2"/>
  <c r="R964" i="2"/>
  <c r="R965" i="2"/>
  <c r="R969" i="2"/>
  <c r="R970" i="2"/>
  <c r="R974" i="2"/>
  <c r="R975" i="2"/>
  <c r="R976" i="2"/>
  <c r="R977" i="2"/>
  <c r="R978" i="2"/>
  <c r="R979" i="2"/>
  <c r="R980" i="2"/>
  <c r="R982" i="2"/>
  <c r="R983" i="2"/>
  <c r="R985" i="2"/>
  <c r="R986" i="2"/>
  <c r="R987" i="2"/>
  <c r="R988" i="2"/>
  <c r="R989" i="2"/>
  <c r="R990" i="2"/>
  <c r="R993" i="2"/>
  <c r="R994" i="2"/>
  <c r="R996" i="2"/>
  <c r="R997" i="2"/>
  <c r="R998" i="2"/>
  <c r="R1000" i="2"/>
  <c r="R1001" i="2"/>
  <c r="R1003" i="2"/>
  <c r="R1004" i="2"/>
  <c r="R1005" i="2"/>
  <c r="R1006" i="2"/>
  <c r="R1008" i="2"/>
  <c r="R1009" i="2"/>
  <c r="R1011" i="2"/>
  <c r="R1012" i="2"/>
  <c r="R1013" i="2"/>
  <c r="R1014" i="2"/>
  <c r="R1016" i="2"/>
  <c r="R1017" i="2"/>
  <c r="R1019" i="2"/>
  <c r="R1020" i="2"/>
  <c r="R1021" i="2"/>
  <c r="R1022" i="2"/>
  <c r="R1024" i="2"/>
  <c r="R1025" i="2"/>
  <c r="R1027" i="2"/>
  <c r="R1028" i="2"/>
  <c r="R1029" i="2"/>
  <c r="R1030" i="2"/>
  <c r="R1032" i="2"/>
  <c r="R1033" i="2"/>
  <c r="R1035" i="2"/>
  <c r="R1036" i="2"/>
  <c r="R1037" i="2"/>
  <c r="R1038" i="2"/>
  <c r="R1040" i="2"/>
  <c r="R1041" i="2"/>
  <c r="R1043" i="2"/>
  <c r="R1044" i="2"/>
  <c r="R1045" i="2"/>
  <c r="R1046" i="2"/>
  <c r="R1048" i="2"/>
  <c r="R1049" i="2"/>
  <c r="R1051" i="2"/>
  <c r="R1052" i="2"/>
  <c r="R1053" i="2"/>
  <c r="R1054" i="2"/>
  <c r="R1056" i="2"/>
  <c r="R1057" i="2"/>
  <c r="R1059" i="2"/>
  <c r="R1060" i="2"/>
  <c r="R1061" i="2"/>
  <c r="R1062" i="2"/>
  <c r="R1064" i="2"/>
  <c r="R1065" i="2"/>
  <c r="R1067" i="2"/>
  <c r="R1068" i="2"/>
  <c r="R1069" i="2"/>
  <c r="R1070" i="2"/>
  <c r="R1071" i="2"/>
  <c r="R1072" i="2"/>
  <c r="R1073" i="2"/>
  <c r="R1077" i="2"/>
  <c r="R1078" i="2"/>
  <c r="R1079" i="2"/>
  <c r="R1080" i="2"/>
  <c r="R1081" i="2"/>
  <c r="R1084" i="2"/>
  <c r="R1085" i="2"/>
  <c r="R1087" i="2"/>
  <c r="R1088" i="2"/>
  <c r="R1089" i="2"/>
  <c r="R1091" i="2"/>
  <c r="R1092" i="2"/>
  <c r="R1094" i="2"/>
  <c r="R1095" i="2"/>
  <c r="R1096" i="2"/>
  <c r="R1098" i="2"/>
  <c r="R1099" i="2"/>
  <c r="R1101" i="2"/>
  <c r="R1102" i="2"/>
  <c r="R1103" i="2"/>
  <c r="R1105" i="2"/>
  <c r="R1106" i="2"/>
  <c r="R1108" i="2"/>
  <c r="R1109" i="2"/>
  <c r="R1110" i="2"/>
  <c r="R1112" i="2"/>
  <c r="R1113" i="2"/>
  <c r="R1115" i="2"/>
  <c r="R1116" i="2"/>
  <c r="R1117" i="2"/>
  <c r="R1119" i="2"/>
  <c r="R1120" i="2"/>
  <c r="R1122" i="2"/>
  <c r="R1123" i="2"/>
  <c r="R1124" i="2"/>
  <c r="R1126" i="2"/>
  <c r="R1127" i="2"/>
  <c r="R1129" i="2"/>
  <c r="R1130" i="2"/>
  <c r="R1131" i="2"/>
  <c r="R1133" i="2"/>
  <c r="R1134" i="2"/>
  <c r="R1136" i="2"/>
  <c r="R1137" i="2"/>
  <c r="R1138" i="2"/>
  <c r="R1140" i="2"/>
  <c r="R1141" i="2"/>
  <c r="R1143" i="2"/>
  <c r="R1144" i="2"/>
  <c r="R1145" i="2"/>
  <c r="R1147" i="2"/>
  <c r="R1148" i="2"/>
  <c r="R1150" i="2"/>
  <c r="R1151" i="2"/>
  <c r="R1152" i="2"/>
  <c r="R1154" i="2"/>
  <c r="R1155" i="2"/>
  <c r="R1157" i="2"/>
  <c r="R1158" i="2"/>
  <c r="R1159" i="2"/>
  <c r="R1161" i="2"/>
  <c r="R1162" i="2"/>
  <c r="R1164" i="2"/>
  <c r="R1165" i="2"/>
  <c r="R1166" i="2"/>
  <c r="R1167" i="2"/>
  <c r="R1169" i="2"/>
  <c r="R1170" i="2"/>
  <c r="R1172" i="2"/>
  <c r="R1173" i="2"/>
  <c r="R1174" i="2"/>
  <c r="R1176" i="2"/>
  <c r="R1177" i="2"/>
  <c r="R1179" i="2"/>
  <c r="R1180" i="2"/>
  <c r="R1181" i="2"/>
  <c r="R1182" i="2"/>
  <c r="R1184" i="2"/>
  <c r="R1185" i="2"/>
  <c r="R1187" i="2"/>
  <c r="R1188" i="2"/>
  <c r="R1189" i="2"/>
  <c r="R1190" i="2"/>
  <c r="R1191" i="2"/>
  <c r="R1192" i="2"/>
  <c r="R1193" i="2"/>
  <c r="R1195" i="2"/>
  <c r="R1196" i="2"/>
  <c r="R1197" i="2"/>
  <c r="R1198" i="2"/>
  <c r="R1199" i="2"/>
  <c r="R1201" i="2"/>
  <c r="R1202" i="2"/>
  <c r="R1204" i="2"/>
  <c r="R1205" i="2"/>
  <c r="R1206" i="2"/>
  <c r="R1207" i="2"/>
  <c r="R1208" i="2"/>
  <c r="R1209" i="2"/>
  <c r="R1210" i="2"/>
  <c r="R1212" i="2"/>
  <c r="R1213" i="2"/>
  <c r="R1214" i="2"/>
  <c r="R1215" i="2"/>
  <c r="R1216" i="2"/>
  <c r="R1219" i="2"/>
  <c r="R1221" i="2"/>
  <c r="R1223" i="2"/>
  <c r="R1224" i="2"/>
  <c r="R1226" i="2"/>
  <c r="R1227" i="2"/>
  <c r="R1228" i="2"/>
  <c r="R1229" i="2"/>
  <c r="R1230" i="2"/>
  <c r="R1231" i="2"/>
  <c r="R1233" i="2"/>
  <c r="R1234" i="2"/>
  <c r="R1235" i="2"/>
  <c r="R1236" i="2"/>
  <c r="R1238" i="2"/>
  <c r="R1239" i="2"/>
  <c r="R1241" i="2"/>
  <c r="R1242" i="2"/>
  <c r="R1243" i="2"/>
  <c r="R1244" i="2"/>
  <c r="R1245" i="2"/>
  <c r="R1246" i="2"/>
  <c r="R1247" i="2"/>
  <c r="R1249" i="2"/>
  <c r="R1250" i="2"/>
  <c r="R1251" i="2"/>
  <c r="R1252" i="2"/>
  <c r="R1253" i="2"/>
  <c r="R1255" i="2"/>
  <c r="R1256" i="2"/>
  <c r="R1258" i="2"/>
  <c r="R1259" i="2"/>
  <c r="R1260" i="2"/>
  <c r="R1261" i="2"/>
  <c r="R1262" i="2"/>
  <c r="R1263" i="2"/>
  <c r="R1264" i="2"/>
  <c r="R1265" i="2"/>
  <c r="R1267" i="2"/>
  <c r="R1268" i="2"/>
  <c r="R1269" i="2"/>
  <c r="R1270" i="2"/>
  <c r="R1271" i="2"/>
  <c r="R1272" i="2"/>
  <c r="R1274" i="2"/>
  <c r="R1275" i="2"/>
  <c r="R1277" i="2"/>
  <c r="R1278" i="2"/>
  <c r="R1279" i="2"/>
  <c r="R1280" i="2"/>
  <c r="R1281" i="2"/>
  <c r="R1282" i="2"/>
  <c r="R1283" i="2"/>
  <c r="R1285" i="2"/>
  <c r="R1286" i="2"/>
  <c r="R1287" i="2"/>
  <c r="R1288" i="2"/>
  <c r="R1289" i="2"/>
  <c r="R1292" i="2"/>
  <c r="R1294" i="2"/>
  <c r="R1295" i="2"/>
  <c r="R1297" i="2"/>
  <c r="R1298" i="2"/>
  <c r="R1299" i="2"/>
  <c r="R1300" i="2"/>
  <c r="R1301" i="2"/>
  <c r="R1302" i="2"/>
  <c r="R1304" i="2"/>
  <c r="R1305" i="2"/>
  <c r="R1306" i="2"/>
  <c r="R1307" i="2"/>
  <c r="R1308" i="2"/>
  <c r="R1309" i="2"/>
  <c r="R1313" i="2"/>
  <c r="R1315" i="2"/>
  <c r="R1317" i="2"/>
  <c r="R1318" i="2"/>
  <c r="R1320" i="2"/>
  <c r="R1321" i="2"/>
  <c r="R1322" i="2"/>
  <c r="R1323" i="2"/>
  <c r="R1327" i="2"/>
  <c r="R1328" i="2"/>
  <c r="R1330" i="2"/>
  <c r="R1331" i="2"/>
  <c r="R1332" i="2"/>
  <c r="R1333" i="2"/>
  <c r="R1334" i="2"/>
  <c r="R1335" i="2"/>
  <c r="R1336" i="2"/>
  <c r="R434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50" i="2"/>
  <c r="R452" i="2"/>
  <c r="R453" i="2"/>
  <c r="R455" i="2"/>
  <c r="R456" i="2"/>
  <c r="R457" i="2"/>
  <c r="R458" i="2"/>
  <c r="R459" i="2"/>
  <c r="R461" i="2"/>
  <c r="R467" i="2"/>
  <c r="R468" i="2"/>
  <c r="R469" i="2"/>
  <c r="R470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338" i="2"/>
  <c r="R339" i="2"/>
  <c r="R341" i="2"/>
  <c r="R342" i="2"/>
  <c r="R343" i="2"/>
  <c r="R344" i="2"/>
  <c r="R345" i="2"/>
  <c r="R346" i="2"/>
  <c r="R347" i="2"/>
  <c r="R349" i="2"/>
  <c r="R351" i="2"/>
  <c r="R353" i="2"/>
  <c r="R354" i="2"/>
  <c r="R356" i="2"/>
  <c r="R359" i="2"/>
  <c r="R363" i="2"/>
  <c r="R366" i="2"/>
  <c r="R367" i="2"/>
  <c r="R369" i="2"/>
  <c r="R370" i="2"/>
  <c r="R371" i="2"/>
  <c r="R372" i="2"/>
  <c r="R373" i="2"/>
  <c r="R375" i="2"/>
  <c r="R377" i="2"/>
  <c r="R381" i="2"/>
  <c r="R383" i="2"/>
  <c r="R386" i="2"/>
  <c r="R389" i="2"/>
  <c r="R390" i="2"/>
  <c r="R393" i="2"/>
  <c r="R394" i="2"/>
  <c r="R395" i="2"/>
  <c r="R242" i="2"/>
  <c r="R244" i="2"/>
  <c r="R245" i="2"/>
  <c r="R247" i="2"/>
  <c r="R248" i="2"/>
  <c r="R250" i="2"/>
  <c r="R251" i="2"/>
  <c r="R252" i="2"/>
  <c r="R253" i="2"/>
  <c r="R254" i="2"/>
  <c r="R257" i="2"/>
  <c r="R259" i="2"/>
  <c r="R260" i="2"/>
  <c r="R262" i="2"/>
  <c r="R263" i="2"/>
  <c r="R264" i="2"/>
  <c r="R265" i="2"/>
  <c r="R268" i="2"/>
  <c r="R271" i="2"/>
  <c r="R272" i="2"/>
  <c r="R274" i="2"/>
  <c r="R275" i="2"/>
  <c r="R276" i="2"/>
  <c r="R277" i="2"/>
  <c r="R278" i="2"/>
  <c r="R281" i="2"/>
  <c r="R282" i="2"/>
  <c r="R284" i="2"/>
  <c r="R285" i="2"/>
  <c r="R286" i="2"/>
  <c r="R287" i="2"/>
  <c r="R288" i="2"/>
  <c r="R289" i="2"/>
  <c r="R292" i="2"/>
  <c r="R293" i="2"/>
  <c r="R294" i="2"/>
  <c r="R295" i="2"/>
  <c r="R298" i="2"/>
  <c r="R300" i="2"/>
  <c r="R304" i="2"/>
  <c r="R305" i="2"/>
  <c r="R306" i="2"/>
  <c r="R307" i="2"/>
  <c r="R103" i="2"/>
  <c r="R107" i="2"/>
  <c r="R110" i="2"/>
  <c r="R111" i="2"/>
  <c r="R114" i="2"/>
  <c r="R115" i="2"/>
  <c r="R117" i="2"/>
  <c r="R120" i="2"/>
  <c r="R121" i="2"/>
  <c r="R124" i="2"/>
  <c r="R126" i="2"/>
  <c r="R129" i="2"/>
  <c r="R130" i="2"/>
  <c r="R133" i="2"/>
  <c r="R137" i="2"/>
  <c r="R138" i="2"/>
  <c r="R140" i="2"/>
  <c r="R141" i="2"/>
  <c r="R142" i="2"/>
  <c r="R143" i="2"/>
  <c r="R145" i="2"/>
  <c r="R146" i="2"/>
  <c r="R148" i="2"/>
  <c r="R149" i="2"/>
  <c r="R150" i="2"/>
  <c r="R151" i="2"/>
  <c r="R152" i="2"/>
  <c r="R153" i="2"/>
  <c r="R154" i="2"/>
  <c r="R156" i="2"/>
  <c r="R158" i="2"/>
  <c r="R159" i="2"/>
  <c r="R161" i="2"/>
  <c r="R162" i="2"/>
  <c r="R163" i="2"/>
  <c r="R164" i="2"/>
  <c r="R166" i="2"/>
  <c r="R167" i="2"/>
  <c r="R170" i="2"/>
  <c r="R172" i="2"/>
  <c r="R173" i="2"/>
  <c r="R176" i="2"/>
  <c r="R178" i="2"/>
  <c r="R181" i="2"/>
  <c r="R182" i="2"/>
  <c r="R183" i="2"/>
  <c r="R184" i="2"/>
  <c r="R185" i="2"/>
  <c r="R187" i="2"/>
  <c r="R188" i="2"/>
  <c r="R189" i="2"/>
  <c r="R191" i="2"/>
  <c r="R194" i="2"/>
  <c r="R195" i="2"/>
  <c r="R198" i="2"/>
  <c r="R80" i="2"/>
  <c r="S80" i="2"/>
  <c r="R82" i="2"/>
  <c r="S82" i="2"/>
  <c r="R85" i="2"/>
  <c r="S85" i="2"/>
  <c r="R88" i="2"/>
  <c r="S88" i="2"/>
  <c r="R12" i="2"/>
  <c r="R13" i="2"/>
  <c r="R14" i="2"/>
  <c r="R15" i="2"/>
  <c r="R16" i="2"/>
  <c r="R19" i="2"/>
  <c r="R22" i="2"/>
  <c r="R25" i="2"/>
  <c r="R27" i="2"/>
  <c r="R29" i="2"/>
  <c r="R30" i="2"/>
  <c r="R32" i="2"/>
  <c r="R34" i="2"/>
  <c r="R35" i="2"/>
  <c r="R36" i="2"/>
  <c r="R37" i="2"/>
  <c r="R38" i="2"/>
  <c r="R41" i="2"/>
  <c r="R42" i="2"/>
  <c r="R44" i="2"/>
  <c r="R47" i="2"/>
  <c r="R50" i="2"/>
  <c r="R52" i="2"/>
  <c r="R53" i="2"/>
  <c r="R54" i="2"/>
  <c r="R55" i="2"/>
  <c r="R57" i="2"/>
  <c r="R59" i="2"/>
  <c r="R60" i="2"/>
  <c r="R61" i="2"/>
  <c r="R63" i="2"/>
  <c r="R67" i="2"/>
  <c r="R68" i="2"/>
  <c r="O1841" i="2"/>
  <c r="O1837" i="2"/>
  <c r="O1836" i="2"/>
  <c r="O1835" i="2"/>
  <c r="O1834" i="2"/>
  <c r="O1833" i="2"/>
  <c r="O1832" i="2"/>
  <c r="O1831" i="2"/>
  <c r="O1829" i="2"/>
  <c r="O1828" i="2"/>
  <c r="O1827" i="2"/>
  <c r="O1826" i="2"/>
  <c r="O1825" i="2"/>
  <c r="O1824" i="2"/>
  <c r="O1823" i="2"/>
  <c r="N1840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88" i="2"/>
  <c r="O1687" i="2"/>
  <c r="O1686" i="2"/>
  <c r="O1685" i="2"/>
  <c r="O1684" i="2"/>
  <c r="O1683" i="2"/>
  <c r="O1682" i="2"/>
  <c r="O1681" i="2"/>
  <c r="N1690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1" i="2"/>
  <c r="O1610" i="2"/>
  <c r="O1609" i="2"/>
  <c r="O1608" i="2"/>
  <c r="O1604" i="2"/>
  <c r="O1601" i="2"/>
  <c r="O1600" i="2"/>
  <c r="O1599" i="2"/>
  <c r="O1598" i="2"/>
  <c r="O1597" i="2"/>
  <c r="O1596" i="2"/>
  <c r="O1595" i="2"/>
  <c r="O1594" i="2"/>
  <c r="O1592" i="2"/>
  <c r="O1589" i="2"/>
  <c r="O1588" i="2"/>
  <c r="O1586" i="2"/>
  <c r="O1585" i="2"/>
  <c r="O1584" i="2"/>
  <c r="O1583" i="2"/>
  <c r="O1580" i="2"/>
  <c r="O1579" i="2"/>
  <c r="O1578" i="2"/>
  <c r="O1576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0" i="2"/>
  <c r="O1549" i="2"/>
  <c r="O1548" i="2"/>
  <c r="O1545" i="2"/>
  <c r="O1542" i="2"/>
  <c r="O1541" i="2"/>
  <c r="O1540" i="2"/>
  <c r="O1539" i="2"/>
  <c r="O1538" i="2"/>
  <c r="N1544" i="2"/>
  <c r="N1575" i="2"/>
  <c r="R1575" i="2" s="1"/>
  <c r="N1577" i="2"/>
  <c r="R1577" i="2" s="1"/>
  <c r="N1591" i="2"/>
  <c r="R1591" i="2" s="1"/>
  <c r="N1603" i="2"/>
  <c r="N1612" i="2"/>
  <c r="N451" i="2" l="1"/>
  <c r="S1362" i="2"/>
  <c r="O462" i="2"/>
  <c r="S462" i="2" s="1"/>
  <c r="S463" i="2"/>
  <c r="Q462" i="2"/>
  <c r="S1360" i="2"/>
  <c r="S1361" i="2"/>
  <c r="S1581" i="2"/>
  <c r="N1602" i="2"/>
  <c r="R1603" i="2"/>
  <c r="N1546" i="2"/>
  <c r="R1546" i="2" s="1"/>
  <c r="R1547" i="2"/>
  <c r="N1689" i="2"/>
  <c r="R1690" i="2"/>
  <c r="N1590" i="2"/>
  <c r="N1543" i="2"/>
  <c r="R1543" i="2" s="1"/>
  <c r="R1544" i="2"/>
  <c r="N1839" i="2"/>
  <c r="R1840" i="2"/>
  <c r="O1577" i="2"/>
  <c r="N1552" i="2"/>
  <c r="N1537" i="2" l="1"/>
  <c r="N1830" i="2"/>
  <c r="R1839" i="2"/>
  <c r="N1680" i="2"/>
  <c r="N1679" i="2" s="1"/>
  <c r="N1678" i="2" s="1"/>
  <c r="H16" i="3" s="1"/>
  <c r="R1689" i="2"/>
  <c r="N1587" i="2"/>
  <c r="N1582" i="2" s="1"/>
  <c r="R1590" i="2"/>
  <c r="N1593" i="2"/>
  <c r="R1602" i="2"/>
  <c r="O1526" i="2"/>
  <c r="O1523" i="2"/>
  <c r="O1522" i="2"/>
  <c r="O1521" i="2"/>
  <c r="O1520" i="2"/>
  <c r="O1519" i="2"/>
  <c r="O1518" i="2"/>
  <c r="O1515" i="2"/>
  <c r="O1514" i="2"/>
  <c r="O1511" i="2"/>
  <c r="O1510" i="2"/>
  <c r="O1509" i="2"/>
  <c r="O1508" i="2"/>
  <c r="O1507" i="2"/>
  <c r="O1505" i="2"/>
  <c r="O1504" i="2"/>
  <c r="O1503" i="2"/>
  <c r="O1502" i="2"/>
  <c r="O1501" i="2"/>
  <c r="O1500" i="2"/>
  <c r="O1496" i="2"/>
  <c r="O1495" i="2"/>
  <c r="O1494" i="2"/>
  <c r="O1493" i="2"/>
  <c r="O1492" i="2"/>
  <c r="O1491" i="2"/>
  <c r="O1490" i="2"/>
  <c r="O1489" i="2"/>
  <c r="O1488" i="2"/>
  <c r="O1487" i="2"/>
  <c r="N1525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0" i="2"/>
  <c r="O1447" i="2"/>
  <c r="O1446" i="2"/>
  <c r="O1445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7" i="2"/>
  <c r="O1426" i="2"/>
  <c r="O1425" i="2"/>
  <c r="O1424" i="2"/>
  <c r="O1423" i="2"/>
  <c r="O1422" i="2"/>
  <c r="O1421" i="2"/>
  <c r="O1420" i="2"/>
  <c r="O1418" i="2"/>
  <c r="O1417" i="2"/>
  <c r="O1412" i="2"/>
  <c r="O1411" i="2"/>
  <c r="O1410" i="2"/>
  <c r="O1408" i="2"/>
  <c r="O1407" i="2"/>
  <c r="O1406" i="2"/>
  <c r="O1405" i="2"/>
  <c r="O1404" i="2"/>
  <c r="O1403" i="2"/>
  <c r="O1402" i="2"/>
  <c r="O1401" i="2"/>
  <c r="O1400" i="2"/>
  <c r="O1399" i="2"/>
  <c r="O1398" i="2"/>
  <c r="O1393" i="2"/>
  <c r="O1392" i="2"/>
  <c r="O1385" i="2"/>
  <c r="O1382" i="2"/>
  <c r="O1381" i="2"/>
  <c r="O1380" i="2"/>
  <c r="O1379" i="2"/>
  <c r="O1377" i="2"/>
  <c r="O1376" i="2"/>
  <c r="O1375" i="2"/>
  <c r="O1370" i="2"/>
  <c r="O1369" i="2"/>
  <c r="O1368" i="2"/>
  <c r="O1367" i="2"/>
  <c r="O1366" i="2"/>
  <c r="O1365" i="2"/>
  <c r="O1364" i="2"/>
  <c r="O1363" i="2"/>
  <c r="O1359" i="2"/>
  <c r="O1358" i="2"/>
  <c r="O1357" i="2"/>
  <c r="O1356" i="2"/>
  <c r="O1355" i="2"/>
  <c r="O1354" i="2"/>
  <c r="O1353" i="2"/>
  <c r="O1352" i="2"/>
  <c r="O1351" i="2"/>
  <c r="O1350" i="2"/>
  <c r="O1349" i="2"/>
  <c r="N1374" i="2"/>
  <c r="N1384" i="2"/>
  <c r="R1384" i="2" s="1"/>
  <c r="N1386" i="2"/>
  <c r="N1395" i="2"/>
  <c r="R1395" i="2" s="1"/>
  <c r="N1397" i="2"/>
  <c r="R1397" i="2" s="1"/>
  <c r="N1414" i="2"/>
  <c r="R1414" i="2" s="1"/>
  <c r="N1416" i="2"/>
  <c r="R1416" i="2" s="1"/>
  <c r="N1428" i="2"/>
  <c r="N1469" i="2"/>
  <c r="O1336" i="2"/>
  <c r="O1335" i="2"/>
  <c r="O1334" i="2"/>
  <c r="O1333" i="2"/>
  <c r="O1332" i="2"/>
  <c r="O1331" i="2"/>
  <c r="O1330" i="2"/>
  <c r="O1329" i="2"/>
  <c r="O1328" i="2"/>
  <c r="O1327" i="2"/>
  <c r="O1326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7" i="2"/>
  <c r="O945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0" i="2"/>
  <c r="O919" i="2"/>
  <c r="O917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89" i="2"/>
  <c r="O888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5" i="2"/>
  <c r="O863" i="2"/>
  <c r="O861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6" i="2"/>
  <c r="O815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6" i="2"/>
  <c r="O765" i="2"/>
  <c r="O764" i="2"/>
  <c r="O763" i="2"/>
  <c r="O762" i="2"/>
  <c r="O761" i="2"/>
  <c r="O760" i="2"/>
  <c r="O759" i="2"/>
  <c r="O756" i="2"/>
  <c r="O755" i="2"/>
  <c r="O753" i="2"/>
  <c r="O752" i="2"/>
  <c r="O751" i="2"/>
  <c r="O750" i="2"/>
  <c r="O749" i="2"/>
  <c r="O748" i="2"/>
  <c r="O747" i="2"/>
  <c r="O746" i="2"/>
  <c r="O745" i="2"/>
  <c r="O744" i="2"/>
  <c r="O743" i="2"/>
  <c r="O740" i="2"/>
  <c r="O739" i="2"/>
  <c r="O738" i="2"/>
  <c r="O737" i="2"/>
  <c r="O736" i="2"/>
  <c r="O735" i="2"/>
  <c r="O734" i="2"/>
  <c r="O733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2" i="2"/>
  <c r="O701" i="2"/>
  <c r="O700" i="2"/>
  <c r="O699" i="2"/>
  <c r="O698" i="2"/>
  <c r="O697" i="2"/>
  <c r="O696" i="2"/>
  <c r="O695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3" i="2"/>
  <c r="O672" i="2"/>
  <c r="O671" i="2"/>
  <c r="O670" i="2"/>
  <c r="O669" i="2"/>
  <c r="O668" i="2"/>
  <c r="O667" i="2"/>
  <c r="O666" i="2"/>
  <c r="O664" i="2"/>
  <c r="O661" i="2"/>
  <c r="O660" i="2"/>
  <c r="O659" i="2"/>
  <c r="O658" i="2"/>
  <c r="O657" i="2"/>
  <c r="O656" i="2"/>
  <c r="O655" i="2"/>
  <c r="O654" i="2"/>
  <c r="O652" i="2"/>
  <c r="O651" i="2"/>
  <c r="O650" i="2"/>
  <c r="O649" i="2"/>
  <c r="O648" i="2"/>
  <c r="O647" i="2"/>
  <c r="O646" i="2"/>
  <c r="O645" i="2"/>
  <c r="O644" i="2"/>
  <c r="O643" i="2"/>
  <c r="O641" i="2"/>
  <c r="O638" i="2"/>
  <c r="O637" i="2"/>
  <c r="O636" i="2"/>
  <c r="O635" i="2"/>
  <c r="O634" i="2"/>
  <c r="O633" i="2"/>
  <c r="O632" i="2"/>
  <c r="O627" i="2"/>
  <c r="O626" i="2"/>
  <c r="O625" i="2"/>
  <c r="O624" i="2"/>
  <c r="O623" i="2"/>
  <c r="O622" i="2"/>
  <c r="O621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1" i="2"/>
  <c r="O600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N629" i="2"/>
  <c r="N640" i="2"/>
  <c r="R640" i="2" s="1"/>
  <c r="N642" i="2"/>
  <c r="R642" i="2" s="1"/>
  <c r="N663" i="2"/>
  <c r="N675" i="2"/>
  <c r="N704" i="2"/>
  <c r="N742" i="2"/>
  <c r="N769" i="2"/>
  <c r="N814" i="2"/>
  <c r="R814" i="2" s="1"/>
  <c r="N817" i="2"/>
  <c r="R817" i="2" s="1"/>
  <c r="N860" i="2"/>
  <c r="R860" i="2" s="1"/>
  <c r="R862" i="2"/>
  <c r="N887" i="2"/>
  <c r="R887" i="2" s="1"/>
  <c r="N890" i="2"/>
  <c r="R890" i="2" s="1"/>
  <c r="N916" i="2"/>
  <c r="R916" i="2" s="1"/>
  <c r="N918" i="2"/>
  <c r="R918" i="2" s="1"/>
  <c r="N944" i="2"/>
  <c r="R944" i="2" s="1"/>
  <c r="N946" i="2"/>
  <c r="R946" i="2" s="1"/>
  <c r="N968" i="2"/>
  <c r="N1291" i="2"/>
  <c r="O524" i="2"/>
  <c r="O523" i="2"/>
  <c r="O522" i="2"/>
  <c r="O520" i="2"/>
  <c r="O519" i="2"/>
  <c r="O516" i="2"/>
  <c r="O515" i="2"/>
  <c r="O513" i="2"/>
  <c r="O509" i="2"/>
  <c r="O508" i="2"/>
  <c r="O507" i="2"/>
  <c r="O506" i="2"/>
  <c r="O505" i="2"/>
  <c r="O504" i="2"/>
  <c r="O503" i="2"/>
  <c r="O502" i="2"/>
  <c r="O501" i="2"/>
  <c r="O499" i="2"/>
  <c r="O498" i="2"/>
  <c r="O494" i="2"/>
  <c r="O493" i="2"/>
  <c r="O492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0" i="2"/>
  <c r="O469" i="2"/>
  <c r="O468" i="2"/>
  <c r="O467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4" i="2"/>
  <c r="O433" i="2"/>
  <c r="O432" i="2"/>
  <c r="R466" i="2"/>
  <c r="R4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1" i="2"/>
  <c r="O380" i="2"/>
  <c r="O377" i="2"/>
  <c r="O375" i="2"/>
  <c r="O374" i="2"/>
  <c r="O373" i="2"/>
  <c r="O372" i="2"/>
  <c r="O371" i="2"/>
  <c r="O370" i="2"/>
  <c r="O369" i="2"/>
  <c r="O368" i="2"/>
  <c r="O367" i="2"/>
  <c r="O366" i="2"/>
  <c r="O363" i="2"/>
  <c r="O359" i="2"/>
  <c r="O358" i="2"/>
  <c r="O356" i="2"/>
  <c r="O354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N355" i="2"/>
  <c r="R355" i="2" s="1"/>
  <c r="N362" i="2"/>
  <c r="N361" i="2" s="1"/>
  <c r="N382" i="2"/>
  <c r="O307" i="2"/>
  <c r="O306" i="2"/>
  <c r="O305" i="2"/>
  <c r="O304" i="2"/>
  <c r="O303" i="2"/>
  <c r="O302" i="2"/>
  <c r="O301" i="2"/>
  <c r="O300" i="2"/>
  <c r="O298" i="2"/>
  <c r="O295" i="2"/>
  <c r="O294" i="2"/>
  <c r="O293" i="2"/>
  <c r="O292" i="2"/>
  <c r="O291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5" i="2"/>
  <c r="O264" i="2"/>
  <c r="O263" i="2"/>
  <c r="O262" i="2"/>
  <c r="O261" i="2"/>
  <c r="O260" i="2"/>
  <c r="O259" i="2"/>
  <c r="O258" i="2"/>
  <c r="O257" i="2"/>
  <c r="O256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N297" i="2"/>
  <c r="R297" i="2" s="1"/>
  <c r="N299" i="2"/>
  <c r="R299" i="2" s="1"/>
  <c r="O198" i="2"/>
  <c r="O195" i="2"/>
  <c r="O194" i="2"/>
  <c r="O193" i="2"/>
  <c r="O191" i="2"/>
  <c r="O189" i="2"/>
  <c r="O185" i="2"/>
  <c r="O184" i="2"/>
  <c r="O183" i="2"/>
  <c r="O182" i="2"/>
  <c r="O181" i="2"/>
  <c r="O180" i="2"/>
  <c r="O178" i="2"/>
  <c r="O177" i="2"/>
  <c r="O176" i="2"/>
  <c r="O175" i="2"/>
  <c r="O174" i="2"/>
  <c r="O173" i="2"/>
  <c r="O172" i="2"/>
  <c r="S172" i="2" s="1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6" i="2"/>
  <c r="O154" i="2"/>
  <c r="O153" i="2"/>
  <c r="O152" i="2"/>
  <c r="O151" i="2"/>
  <c r="O150" i="2"/>
  <c r="O149" i="2"/>
  <c r="O148" i="2"/>
  <c r="O147" i="2"/>
  <c r="O146" i="2"/>
  <c r="O145" i="2"/>
  <c r="O143" i="2"/>
  <c r="O142" i="2"/>
  <c r="O141" i="2"/>
  <c r="O140" i="2"/>
  <c r="O138" i="2"/>
  <c r="O137" i="2"/>
  <c r="O133" i="2"/>
  <c r="O132" i="2"/>
  <c r="O130" i="2"/>
  <c r="O129" i="2"/>
  <c r="O128" i="2"/>
  <c r="O127" i="2"/>
  <c r="O126" i="2"/>
  <c r="O121" i="2"/>
  <c r="O120" i="2"/>
  <c r="O119" i="2"/>
  <c r="O115" i="2"/>
  <c r="O114" i="2"/>
  <c r="O111" i="2"/>
  <c r="O110" i="2"/>
  <c r="O109" i="2"/>
  <c r="O107" i="2"/>
  <c r="O106" i="2"/>
  <c r="O105" i="2"/>
  <c r="O103" i="2"/>
  <c r="O102" i="2"/>
  <c r="O101" i="2"/>
  <c r="N113" i="2"/>
  <c r="N116" i="2"/>
  <c r="R116" i="2" s="1"/>
  <c r="N123" i="2"/>
  <c r="R123" i="2" s="1"/>
  <c r="R125" i="2"/>
  <c r="N136" i="2"/>
  <c r="R136" i="2" s="1"/>
  <c r="N139" i="2"/>
  <c r="R139" i="2" s="1"/>
  <c r="N155" i="2"/>
  <c r="N171" i="2"/>
  <c r="N157" i="2" s="1"/>
  <c r="N190" i="2"/>
  <c r="N197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47" i="2"/>
  <c r="O46" i="2"/>
  <c r="O44" i="2"/>
  <c r="O42" i="2"/>
  <c r="O41" i="2"/>
  <c r="O38" i="2"/>
  <c r="O37" i="2"/>
  <c r="O36" i="2"/>
  <c r="O35" i="2"/>
  <c r="O34" i="2"/>
  <c r="O33" i="2"/>
  <c r="O32" i="2"/>
  <c r="O30" i="2"/>
  <c r="O29" i="2"/>
  <c r="O28" i="2"/>
  <c r="O27" i="2"/>
  <c r="O25" i="2"/>
  <c r="O24" i="2"/>
  <c r="O22" i="2"/>
  <c r="O21" i="2"/>
  <c r="O19" i="2"/>
  <c r="O18" i="2"/>
  <c r="O16" i="2"/>
  <c r="O15" i="2"/>
  <c r="O14" i="2"/>
  <c r="O13" i="2"/>
  <c r="O12" i="2"/>
  <c r="O11" i="2"/>
  <c r="N10" i="2"/>
  <c r="N17" i="2"/>
  <c r="N20" i="2"/>
  <c r="N23" i="2"/>
  <c r="N26" i="2"/>
  <c r="N40" i="2"/>
  <c r="R40" i="2" s="1"/>
  <c r="N43" i="2"/>
  <c r="R43" i="2" s="1"/>
  <c r="N49" i="2"/>
  <c r="R49" i="2" s="1"/>
  <c r="N51" i="2"/>
  <c r="R51" i="2" s="1"/>
  <c r="K1841" i="2"/>
  <c r="S1841" i="2" s="1"/>
  <c r="K1840" i="2"/>
  <c r="K1839" i="2"/>
  <c r="K1837" i="2"/>
  <c r="S1837" i="2" s="1"/>
  <c r="K1836" i="2"/>
  <c r="S1836" i="2" s="1"/>
  <c r="K1835" i="2"/>
  <c r="S1835" i="2" s="1"/>
  <c r="K1834" i="2"/>
  <c r="S1834" i="2" s="1"/>
  <c r="K1832" i="2"/>
  <c r="S1832" i="2" s="1"/>
  <c r="K1831" i="2"/>
  <c r="S1831" i="2" s="1"/>
  <c r="K1829" i="2"/>
  <c r="S1829" i="2" s="1"/>
  <c r="K1828" i="2"/>
  <c r="S1828" i="2" s="1"/>
  <c r="K1826" i="2"/>
  <c r="S1826" i="2" s="1"/>
  <c r="K1825" i="2"/>
  <c r="S1825" i="2" s="1"/>
  <c r="J1824" i="2"/>
  <c r="R1824" i="2" s="1"/>
  <c r="J1827" i="2"/>
  <c r="R1827" i="2" s="1"/>
  <c r="K1810" i="2"/>
  <c r="S1810" i="2" s="1"/>
  <c r="K1809" i="2"/>
  <c r="S1809" i="2" s="1"/>
  <c r="K1808" i="2"/>
  <c r="S1808" i="2" s="1"/>
  <c r="K1807" i="2"/>
  <c r="S1807" i="2" s="1"/>
  <c r="K1806" i="2"/>
  <c r="S1806" i="2" s="1"/>
  <c r="K1805" i="2"/>
  <c r="S1805" i="2" s="1"/>
  <c r="K1803" i="2"/>
  <c r="S1803" i="2" s="1"/>
  <c r="K1802" i="2"/>
  <c r="S1802" i="2" s="1"/>
  <c r="K1798" i="2"/>
  <c r="S1798" i="2" s="1"/>
  <c r="K1797" i="2"/>
  <c r="S1797" i="2" s="1"/>
  <c r="K1796" i="2"/>
  <c r="S1796" i="2" s="1"/>
  <c r="K1795" i="2"/>
  <c r="S1795" i="2" s="1"/>
  <c r="K1793" i="2"/>
  <c r="S1793" i="2" s="1"/>
  <c r="K1792" i="2"/>
  <c r="S1792" i="2" s="1"/>
  <c r="K1789" i="2"/>
  <c r="S1789" i="2" s="1"/>
  <c r="K1787" i="2"/>
  <c r="S1787" i="2" s="1"/>
  <c r="K1784" i="2"/>
  <c r="S1784" i="2" s="1"/>
  <c r="K1780" i="2"/>
  <c r="S1780" i="2" s="1"/>
  <c r="K1779" i="2"/>
  <c r="S1779" i="2" s="1"/>
  <c r="K1778" i="2"/>
  <c r="S1778" i="2" s="1"/>
  <c r="K1777" i="2"/>
  <c r="S1777" i="2" s="1"/>
  <c r="K1775" i="2"/>
  <c r="S1775" i="2" s="1"/>
  <c r="K1774" i="2"/>
  <c r="S1774" i="2" s="1"/>
  <c r="K1771" i="2"/>
  <c r="S1771" i="2" s="1"/>
  <c r="K1769" i="2"/>
  <c r="S1769" i="2" s="1"/>
  <c r="K1768" i="2"/>
  <c r="S1768" i="2" s="1"/>
  <c r="K1766" i="2"/>
  <c r="S1766" i="2" s="1"/>
  <c r="K1765" i="2"/>
  <c r="S1765" i="2" s="1"/>
  <c r="K1763" i="2"/>
  <c r="S1763" i="2" s="1"/>
  <c r="K1762" i="2"/>
  <c r="S1762" i="2" s="1"/>
  <c r="K1760" i="2"/>
  <c r="S1760" i="2" s="1"/>
  <c r="K1758" i="2"/>
  <c r="S1758" i="2" s="1"/>
  <c r="K1756" i="2"/>
  <c r="S1756" i="2" s="1"/>
  <c r="K1754" i="2"/>
  <c r="S1754" i="2" s="1"/>
  <c r="K1753" i="2"/>
  <c r="S1753" i="2" s="1"/>
  <c r="K1752" i="2"/>
  <c r="S1752" i="2" s="1"/>
  <c r="K1751" i="2"/>
  <c r="S1751" i="2" s="1"/>
  <c r="K1748" i="2"/>
  <c r="S1748" i="2" s="1"/>
  <c r="K1747" i="2"/>
  <c r="S1747" i="2" s="1"/>
  <c r="K1746" i="2"/>
  <c r="S1746" i="2" s="1"/>
  <c r="K1743" i="2"/>
  <c r="S1743" i="2" s="1"/>
  <c r="K1742" i="2"/>
  <c r="S1742" i="2" s="1"/>
  <c r="K1741" i="2"/>
  <c r="S1741" i="2" s="1"/>
  <c r="K1740" i="2"/>
  <c r="S1740" i="2" s="1"/>
  <c r="K1738" i="2"/>
  <c r="S1738" i="2" s="1"/>
  <c r="K1737" i="2"/>
  <c r="S1737" i="2" s="1"/>
  <c r="K1731" i="2"/>
  <c r="S1731" i="2" s="1"/>
  <c r="K1730" i="2"/>
  <c r="S1730" i="2" s="1"/>
  <c r="K1729" i="2"/>
  <c r="S1729" i="2" s="1"/>
  <c r="K1725" i="2"/>
  <c r="S1725" i="2" s="1"/>
  <c r="K1720" i="2"/>
  <c r="S1720" i="2" s="1"/>
  <c r="K1719" i="2"/>
  <c r="S1719" i="2" s="1"/>
  <c r="K1718" i="2"/>
  <c r="S1718" i="2" s="1"/>
  <c r="K1717" i="2"/>
  <c r="S1717" i="2" s="1"/>
  <c r="K1715" i="2"/>
  <c r="S1715" i="2" s="1"/>
  <c r="K1714" i="2"/>
  <c r="S1714" i="2" s="1"/>
  <c r="K1711" i="2"/>
  <c r="S1711" i="2" s="1"/>
  <c r="K1708" i="2"/>
  <c r="S1708" i="2" s="1"/>
  <c r="K1707" i="2"/>
  <c r="S1707" i="2" s="1"/>
  <c r="K1706" i="2"/>
  <c r="S1706" i="2" s="1"/>
  <c r="K1705" i="2"/>
  <c r="S1705" i="2" s="1"/>
  <c r="K1704" i="2"/>
  <c r="S1704" i="2" s="1"/>
  <c r="K1703" i="2"/>
  <c r="S1703" i="2" s="1"/>
  <c r="K1702" i="2"/>
  <c r="S1702" i="2" s="1"/>
  <c r="K1700" i="2"/>
  <c r="S1700" i="2" s="1"/>
  <c r="K1699" i="2"/>
  <c r="S1699" i="2" s="1"/>
  <c r="K1698" i="2"/>
  <c r="S1698" i="2" s="1"/>
  <c r="K1694" i="2"/>
  <c r="S1694" i="2" s="1"/>
  <c r="K1691" i="2"/>
  <c r="S1691" i="2" s="1"/>
  <c r="K1690" i="2"/>
  <c r="K1689" i="2"/>
  <c r="K1688" i="2"/>
  <c r="S1688" i="2" s="1"/>
  <c r="K1687" i="2"/>
  <c r="S1687" i="2" s="1"/>
  <c r="K1686" i="2"/>
  <c r="S1686" i="2" s="1"/>
  <c r="K1685" i="2"/>
  <c r="S1685" i="2" s="1"/>
  <c r="K1684" i="2"/>
  <c r="S1684" i="2" s="1"/>
  <c r="K1681" i="2"/>
  <c r="S1681" i="2" s="1"/>
  <c r="J1683" i="2"/>
  <c r="J1693" i="2"/>
  <c r="J1701" i="2"/>
  <c r="J1716" i="2"/>
  <c r="J1723" i="2"/>
  <c r="R1723" i="2" s="1"/>
  <c r="J1728" i="2"/>
  <c r="J1736" i="2"/>
  <c r="R1736" i="2" s="1"/>
  <c r="J1745" i="2"/>
  <c r="R1745" i="2" s="1"/>
  <c r="J1750" i="2"/>
  <c r="J1759" i="2"/>
  <c r="R1759" i="2" s="1"/>
  <c r="J1764" i="2"/>
  <c r="J1776" i="2"/>
  <c r="J1783" i="2"/>
  <c r="J1786" i="2"/>
  <c r="R1786" i="2" s="1"/>
  <c r="J1788" i="2"/>
  <c r="R1788" i="2" s="1"/>
  <c r="J1794" i="2"/>
  <c r="J1804" i="2"/>
  <c r="K1630" i="2"/>
  <c r="S1630" i="2" s="1"/>
  <c r="K1629" i="2"/>
  <c r="S1629" i="2" s="1"/>
  <c r="K1628" i="2"/>
  <c r="S1628" i="2" s="1"/>
  <c r="K1627" i="2"/>
  <c r="S1627" i="2" s="1"/>
  <c r="K1626" i="2"/>
  <c r="S1626" i="2" s="1"/>
  <c r="K1625" i="2"/>
  <c r="S1625" i="2" s="1"/>
  <c r="K1624" i="2"/>
  <c r="S1624" i="2" s="1"/>
  <c r="K1618" i="2"/>
  <c r="S1618" i="2" s="1"/>
  <c r="K1617" i="2"/>
  <c r="S1617" i="2" s="1"/>
  <c r="K1616" i="2"/>
  <c r="S1616" i="2" s="1"/>
  <c r="K1615" i="2"/>
  <c r="S1615" i="2" s="1"/>
  <c r="K1611" i="2"/>
  <c r="S1611" i="2" s="1"/>
  <c r="K1604" i="2"/>
  <c r="S1604" i="2" s="1"/>
  <c r="K1603" i="2"/>
  <c r="K1602" i="2"/>
  <c r="K1601" i="2"/>
  <c r="S1601" i="2" s="1"/>
  <c r="K1599" i="2"/>
  <c r="S1599" i="2" s="1"/>
  <c r="K1598" i="2"/>
  <c r="S1598" i="2" s="1"/>
  <c r="K1596" i="2"/>
  <c r="S1596" i="2" s="1"/>
  <c r="K1595" i="2"/>
  <c r="S1595" i="2" s="1"/>
  <c r="K1592" i="2"/>
  <c r="S1592" i="2" s="1"/>
  <c r="K1591" i="2"/>
  <c r="K1590" i="2"/>
  <c r="K1589" i="2"/>
  <c r="S1589" i="2" s="1"/>
  <c r="K1586" i="2"/>
  <c r="S1586" i="2" s="1"/>
  <c r="K1585" i="2"/>
  <c r="S1585" i="2" s="1"/>
  <c r="K1580" i="2"/>
  <c r="S1580" i="2" s="1"/>
  <c r="K1579" i="2"/>
  <c r="S1579" i="2" s="1"/>
  <c r="K1578" i="2"/>
  <c r="S1578" i="2" s="1"/>
  <c r="K1577" i="2"/>
  <c r="S1577" i="2" s="1"/>
  <c r="K1576" i="2"/>
  <c r="S1576" i="2" s="1"/>
  <c r="K1575" i="2"/>
  <c r="K1574" i="2"/>
  <c r="S1574" i="2" s="1"/>
  <c r="K1573" i="2"/>
  <c r="S1573" i="2" s="1"/>
  <c r="K1572" i="2"/>
  <c r="S1572" i="2" s="1"/>
  <c r="K1571" i="2"/>
  <c r="S1571" i="2" s="1"/>
  <c r="K1570" i="2"/>
  <c r="S1570" i="2" s="1"/>
  <c r="K1569" i="2"/>
  <c r="S1569" i="2" s="1"/>
  <c r="K1568" i="2"/>
  <c r="S1568" i="2" s="1"/>
  <c r="K1567" i="2"/>
  <c r="S1567" i="2" s="1"/>
  <c r="K1566" i="2"/>
  <c r="S1566" i="2" s="1"/>
  <c r="K1564" i="2"/>
  <c r="S1564" i="2" s="1"/>
  <c r="K1563" i="2"/>
  <c r="S1563" i="2" s="1"/>
  <c r="K1560" i="2"/>
  <c r="S1560" i="2" s="1"/>
  <c r="K1559" i="2"/>
  <c r="S1559" i="2" s="1"/>
  <c r="K1558" i="2"/>
  <c r="S1558" i="2" s="1"/>
  <c r="K1557" i="2"/>
  <c r="S1557" i="2" s="1"/>
  <c r="K1556" i="2"/>
  <c r="S1556" i="2" s="1"/>
  <c r="K1554" i="2"/>
  <c r="S1554" i="2" s="1"/>
  <c r="K1553" i="2"/>
  <c r="S1553" i="2" s="1"/>
  <c r="K1550" i="2"/>
  <c r="S1550" i="2" s="1"/>
  <c r="K1549" i="2"/>
  <c r="S1549" i="2" s="1"/>
  <c r="K1548" i="2"/>
  <c r="S1548" i="2" s="1"/>
  <c r="K1547" i="2"/>
  <c r="K1546" i="2"/>
  <c r="K1545" i="2"/>
  <c r="S1545" i="2" s="1"/>
  <c r="K1544" i="2"/>
  <c r="K1543" i="2"/>
  <c r="K1542" i="2"/>
  <c r="S1542" i="2" s="1"/>
  <c r="K1541" i="2"/>
  <c r="S1541" i="2" s="1"/>
  <c r="K1539" i="2"/>
  <c r="S1539" i="2" s="1"/>
  <c r="J1538" i="2"/>
  <c r="R1538" i="2" s="1"/>
  <c r="J1540" i="2"/>
  <c r="R1540" i="2" s="1"/>
  <c r="J1555" i="2"/>
  <c r="R1555" i="2" s="1"/>
  <c r="J1565" i="2"/>
  <c r="J1584" i="2"/>
  <c r="J1588" i="2"/>
  <c r="J1594" i="2"/>
  <c r="J1597" i="2"/>
  <c r="J1600" i="2"/>
  <c r="R1600" i="2" s="1"/>
  <c r="J1610" i="2"/>
  <c r="J1614" i="2"/>
  <c r="J1623" i="2"/>
  <c r="R1623" i="2" s="1"/>
  <c r="K1526" i="2"/>
  <c r="S1526" i="2" s="1"/>
  <c r="K1525" i="2"/>
  <c r="K1524" i="2"/>
  <c r="K1523" i="2"/>
  <c r="K1522" i="2"/>
  <c r="K1520" i="2"/>
  <c r="S1520" i="2" s="1"/>
  <c r="K1516" i="2"/>
  <c r="K1515" i="2"/>
  <c r="K1514" i="2"/>
  <c r="S1514" i="2" s="1"/>
  <c r="K1513" i="2"/>
  <c r="K1512" i="2"/>
  <c r="K1511" i="2"/>
  <c r="K1510" i="2"/>
  <c r="K1509" i="2"/>
  <c r="K1507" i="2"/>
  <c r="K1504" i="2"/>
  <c r="K1503" i="2"/>
  <c r="S1503" i="2" s="1"/>
  <c r="K1502" i="2"/>
  <c r="K1496" i="2"/>
  <c r="K1495" i="2"/>
  <c r="K1494" i="2"/>
  <c r="K1493" i="2"/>
  <c r="K1492" i="2"/>
  <c r="K1491" i="2"/>
  <c r="K1490" i="2"/>
  <c r="K1489" i="2"/>
  <c r="J1501" i="2"/>
  <c r="J1508" i="2"/>
  <c r="R1508" i="2" s="1"/>
  <c r="J1519" i="2"/>
  <c r="K1470" i="2"/>
  <c r="K1469" i="2"/>
  <c r="K1468" i="2"/>
  <c r="K1467" i="2"/>
  <c r="S1467" i="2" s="1"/>
  <c r="K1466" i="2"/>
  <c r="K1465" i="2"/>
  <c r="K1464" i="2"/>
  <c r="K1463" i="2"/>
  <c r="S1463" i="2" s="1"/>
  <c r="K1462" i="2"/>
  <c r="K1461" i="2"/>
  <c r="K1460" i="2"/>
  <c r="K1459" i="2"/>
  <c r="S1459" i="2" s="1"/>
  <c r="K1458" i="2"/>
  <c r="K1451" i="2"/>
  <c r="K1450" i="2"/>
  <c r="K1449" i="2"/>
  <c r="K1448" i="2"/>
  <c r="K1447" i="2"/>
  <c r="K1446" i="2"/>
  <c r="K1445" i="2"/>
  <c r="S1445" i="2" s="1"/>
  <c r="K1444" i="2"/>
  <c r="K1443" i="2"/>
  <c r="K1441" i="2"/>
  <c r="K1439" i="2"/>
  <c r="K1438" i="2"/>
  <c r="K1435" i="2"/>
  <c r="K1434" i="2"/>
  <c r="S1434" i="2" s="1"/>
  <c r="K1432" i="2"/>
  <c r="K1431" i="2"/>
  <c r="K1430" i="2"/>
  <c r="S1430" i="2" s="1"/>
  <c r="K1429" i="2"/>
  <c r="K1428" i="2"/>
  <c r="K1427" i="2"/>
  <c r="K1426" i="2"/>
  <c r="K1423" i="2"/>
  <c r="K1421" i="2"/>
  <c r="K1420" i="2"/>
  <c r="K1418" i="2"/>
  <c r="K1417" i="2"/>
  <c r="K1416" i="2"/>
  <c r="K1415" i="2"/>
  <c r="K1414" i="2"/>
  <c r="K1413" i="2"/>
  <c r="K1411" i="2"/>
  <c r="K1408" i="2"/>
  <c r="K1407" i="2"/>
  <c r="S1407" i="2" s="1"/>
  <c r="K1406" i="2"/>
  <c r="K1405" i="2"/>
  <c r="K1404" i="2"/>
  <c r="K1403" i="2"/>
  <c r="S1403" i="2" s="1"/>
  <c r="K1401" i="2"/>
  <c r="K1400" i="2"/>
  <c r="K1398" i="2"/>
  <c r="K1397" i="2"/>
  <c r="K1396" i="2"/>
  <c r="K1395" i="2"/>
  <c r="K1394" i="2"/>
  <c r="K1393" i="2"/>
  <c r="K1387" i="2"/>
  <c r="K1386" i="2"/>
  <c r="K1385" i="2"/>
  <c r="K1384" i="2"/>
  <c r="K1383" i="2"/>
  <c r="K1382" i="2"/>
  <c r="K1381" i="2"/>
  <c r="K1380" i="2"/>
  <c r="K1377" i="2"/>
  <c r="K1376" i="2"/>
  <c r="K1370" i="2"/>
  <c r="K1369" i="2"/>
  <c r="K1368" i="2"/>
  <c r="K1367" i="2"/>
  <c r="K1366" i="2"/>
  <c r="K1365" i="2"/>
  <c r="K1364" i="2"/>
  <c r="K1363" i="2"/>
  <c r="K1353" i="2"/>
  <c r="K1352" i="2"/>
  <c r="K1351" i="2"/>
  <c r="J1350" i="2"/>
  <c r="J1375" i="2"/>
  <c r="J1379" i="2"/>
  <c r="J1392" i="2"/>
  <c r="R1392" i="2" s="1"/>
  <c r="J1402" i="2"/>
  <c r="J1410" i="2"/>
  <c r="R1410" i="2" s="1"/>
  <c r="J1422" i="2"/>
  <c r="J1436" i="2"/>
  <c r="J1457" i="2"/>
  <c r="R1457" i="2" s="1"/>
  <c r="K1336" i="2"/>
  <c r="K1335" i="2"/>
  <c r="K1334" i="2"/>
  <c r="K1333" i="2"/>
  <c r="K1332" i="2"/>
  <c r="K1331" i="2"/>
  <c r="K1330" i="2"/>
  <c r="K1328" i="2"/>
  <c r="K1327" i="2"/>
  <c r="K1321" i="2"/>
  <c r="K1318" i="2"/>
  <c r="K1317" i="2"/>
  <c r="K1315" i="2"/>
  <c r="K1313" i="2"/>
  <c r="K1309" i="2"/>
  <c r="K1308" i="2"/>
  <c r="K1307" i="2"/>
  <c r="K1306" i="2"/>
  <c r="K1305" i="2"/>
  <c r="K1304" i="2"/>
  <c r="K1302" i="2"/>
  <c r="K1301" i="2"/>
  <c r="K1300" i="2"/>
  <c r="K1299" i="2"/>
  <c r="K1298" i="2"/>
  <c r="K1297" i="2"/>
  <c r="K1295" i="2"/>
  <c r="K1294" i="2"/>
  <c r="K1292" i="2"/>
  <c r="K1291" i="2"/>
  <c r="K1290" i="2"/>
  <c r="K1289" i="2"/>
  <c r="K1288" i="2"/>
  <c r="K1287" i="2"/>
  <c r="K1286" i="2"/>
  <c r="K1285" i="2"/>
  <c r="K1281" i="2"/>
  <c r="K1280" i="2"/>
  <c r="K1279" i="2"/>
  <c r="K1278" i="2"/>
  <c r="K1277" i="2"/>
  <c r="K1272" i="2"/>
  <c r="K1271" i="2"/>
  <c r="K1270" i="2"/>
  <c r="K1269" i="2"/>
  <c r="K1268" i="2"/>
  <c r="K1267" i="2"/>
  <c r="K1265" i="2"/>
  <c r="K1264" i="2"/>
  <c r="K1263" i="2"/>
  <c r="K1262" i="2"/>
  <c r="K1261" i="2"/>
  <c r="K1260" i="2"/>
  <c r="K1259" i="2"/>
  <c r="K1258" i="2"/>
  <c r="K1256" i="2"/>
  <c r="K1255" i="2"/>
  <c r="K1253" i="2"/>
  <c r="K1252" i="2"/>
  <c r="K1251" i="2"/>
  <c r="K1250" i="2"/>
  <c r="K1249" i="2"/>
  <c r="K1245" i="2"/>
  <c r="K1244" i="2"/>
  <c r="K1243" i="2"/>
  <c r="K1242" i="2"/>
  <c r="K1241" i="2"/>
  <c r="K1236" i="2"/>
  <c r="K1235" i="2"/>
  <c r="K1234" i="2"/>
  <c r="K1233" i="2"/>
  <c r="K1229" i="2"/>
  <c r="K1228" i="2"/>
  <c r="K1227" i="2"/>
  <c r="K1226" i="2"/>
  <c r="K1216" i="2"/>
  <c r="K1215" i="2"/>
  <c r="K1214" i="2"/>
  <c r="K1213" i="2"/>
  <c r="K1212" i="2"/>
  <c r="K1208" i="2"/>
  <c r="K1207" i="2"/>
  <c r="K1206" i="2"/>
  <c r="K1205" i="2"/>
  <c r="K1204" i="2"/>
  <c r="K1199" i="2"/>
  <c r="K1198" i="2"/>
  <c r="K1197" i="2"/>
  <c r="K1196" i="2"/>
  <c r="K1195" i="2"/>
  <c r="K1191" i="2"/>
  <c r="K1190" i="2"/>
  <c r="K1189" i="2"/>
  <c r="K1188" i="2"/>
  <c r="K1187" i="2"/>
  <c r="K1182" i="2"/>
  <c r="K1181" i="2"/>
  <c r="K1180" i="2"/>
  <c r="K1179" i="2"/>
  <c r="K1174" i="2"/>
  <c r="K1173" i="2"/>
  <c r="K1172" i="2"/>
  <c r="K1167" i="2"/>
  <c r="K1166" i="2"/>
  <c r="K1165" i="2"/>
  <c r="K1164" i="2"/>
  <c r="K1162" i="2"/>
  <c r="K1161" i="2"/>
  <c r="K1159" i="2"/>
  <c r="K1158" i="2"/>
  <c r="K1157" i="2"/>
  <c r="K1152" i="2"/>
  <c r="K1151" i="2"/>
  <c r="K1150" i="2"/>
  <c r="K1145" i="2"/>
  <c r="K1144" i="2"/>
  <c r="K1143" i="2"/>
  <c r="K1138" i="2"/>
  <c r="K1137" i="2"/>
  <c r="K1136" i="2"/>
  <c r="K1131" i="2"/>
  <c r="K1130" i="2"/>
  <c r="K1129" i="2"/>
  <c r="K1124" i="2"/>
  <c r="K1123" i="2"/>
  <c r="K1122" i="2"/>
  <c r="K1117" i="2"/>
  <c r="K1116" i="2"/>
  <c r="K1115" i="2"/>
  <c r="K1110" i="2"/>
  <c r="K1109" i="2"/>
  <c r="K1108" i="2"/>
  <c r="K1103" i="2"/>
  <c r="K1102" i="2"/>
  <c r="K1101" i="2"/>
  <c r="K1096" i="2"/>
  <c r="K1095" i="2"/>
  <c r="K1094" i="2"/>
  <c r="K1089" i="2"/>
  <c r="K1088" i="2"/>
  <c r="K1087" i="2"/>
  <c r="K1081" i="2"/>
  <c r="K1080" i="2"/>
  <c r="K1079" i="2"/>
  <c r="K1078" i="2"/>
  <c r="K1077" i="2"/>
  <c r="K1073" i="2"/>
  <c r="K1072" i="2"/>
  <c r="K1071" i="2"/>
  <c r="K1070" i="2"/>
  <c r="K1069" i="2"/>
  <c r="K1068" i="2"/>
  <c r="K1067" i="2"/>
  <c r="K1065" i="2"/>
  <c r="K1064" i="2"/>
  <c r="K1062" i="2"/>
  <c r="K1061" i="2"/>
  <c r="K1060" i="2"/>
  <c r="K1059" i="2"/>
  <c r="K1057" i="2"/>
  <c r="K1056" i="2"/>
  <c r="K1054" i="2"/>
  <c r="K1053" i="2"/>
  <c r="K1052" i="2"/>
  <c r="K1051" i="2"/>
  <c r="K1049" i="2"/>
  <c r="K1048" i="2"/>
  <c r="K1046" i="2"/>
  <c r="K1045" i="2"/>
  <c r="K1044" i="2"/>
  <c r="K1043" i="2"/>
  <c r="K1041" i="2"/>
  <c r="K1040" i="2"/>
  <c r="K1038" i="2"/>
  <c r="K1037" i="2"/>
  <c r="K1036" i="2"/>
  <c r="K1035" i="2"/>
  <c r="K1033" i="2"/>
  <c r="K1032" i="2"/>
  <c r="K1030" i="2"/>
  <c r="K1029" i="2"/>
  <c r="K1028" i="2"/>
  <c r="K1027" i="2"/>
  <c r="K1025" i="2"/>
  <c r="K1024" i="2"/>
  <c r="K1022" i="2"/>
  <c r="K1021" i="2"/>
  <c r="K1020" i="2"/>
  <c r="K1019" i="2"/>
  <c r="K1017" i="2"/>
  <c r="K1016" i="2"/>
  <c r="K1014" i="2"/>
  <c r="K1013" i="2"/>
  <c r="K1012" i="2"/>
  <c r="K1011" i="2"/>
  <c r="K1009" i="2"/>
  <c r="K1008" i="2"/>
  <c r="K1006" i="2"/>
  <c r="K1005" i="2"/>
  <c r="K1004" i="2"/>
  <c r="K1003" i="2"/>
  <c r="K1001" i="2"/>
  <c r="K1000" i="2"/>
  <c r="K998" i="2"/>
  <c r="K997" i="2"/>
  <c r="K996" i="2"/>
  <c r="K994" i="2"/>
  <c r="K993" i="2"/>
  <c r="K990" i="2"/>
  <c r="K988" i="2"/>
  <c r="K987" i="2"/>
  <c r="K986" i="2"/>
  <c r="K985" i="2"/>
  <c r="K983" i="2"/>
  <c r="K982" i="2"/>
  <c r="K980" i="2"/>
  <c r="K979" i="2"/>
  <c r="K978" i="2"/>
  <c r="K977" i="2"/>
  <c r="K976" i="2"/>
  <c r="K975" i="2"/>
  <c r="K974" i="2"/>
  <c r="K970" i="2"/>
  <c r="K969" i="2"/>
  <c r="K968" i="2"/>
  <c r="K967" i="2"/>
  <c r="K965" i="2"/>
  <c r="K963" i="2"/>
  <c r="K962" i="2"/>
  <c r="K960" i="2"/>
  <c r="K958" i="2"/>
  <c r="K957" i="2"/>
  <c r="K956" i="2"/>
  <c r="K955" i="2"/>
  <c r="K954" i="2"/>
  <c r="K953" i="2"/>
  <c r="K952" i="2"/>
  <c r="K947" i="2"/>
  <c r="K946" i="2"/>
  <c r="K945" i="2"/>
  <c r="K944" i="2"/>
  <c r="K943" i="2"/>
  <c r="K940" i="2"/>
  <c r="K939" i="2"/>
  <c r="K935" i="2"/>
  <c r="K933" i="2"/>
  <c r="K932" i="2"/>
  <c r="K931" i="2"/>
  <c r="K929" i="2"/>
  <c r="K925" i="2"/>
  <c r="K920" i="2"/>
  <c r="K919" i="2"/>
  <c r="K918" i="2"/>
  <c r="K917" i="2"/>
  <c r="K916" i="2"/>
  <c r="K915" i="2"/>
  <c r="K907" i="2"/>
  <c r="K897" i="2"/>
  <c r="K892" i="2"/>
  <c r="K891" i="2"/>
  <c r="K890" i="2"/>
  <c r="K889" i="2"/>
  <c r="K888" i="2"/>
  <c r="K887" i="2"/>
  <c r="K886" i="2"/>
  <c r="K885" i="2"/>
  <c r="K884" i="2"/>
  <c r="K883" i="2"/>
  <c r="K882" i="2"/>
  <c r="K880" i="2"/>
  <c r="K876" i="2"/>
  <c r="K875" i="2"/>
  <c r="K874" i="2"/>
  <c r="K873" i="2"/>
  <c r="K871" i="2"/>
  <c r="K865" i="2"/>
  <c r="K864" i="2"/>
  <c r="K863" i="2"/>
  <c r="K862" i="2"/>
  <c r="K861" i="2"/>
  <c r="K860" i="2"/>
  <c r="K859" i="2"/>
  <c r="K857" i="2"/>
  <c r="K855" i="2"/>
  <c r="K852" i="2"/>
  <c r="K848" i="2"/>
  <c r="K846" i="2"/>
  <c r="K843" i="2"/>
  <c r="K837" i="2"/>
  <c r="K836" i="2"/>
  <c r="K832" i="2"/>
  <c r="K827" i="2"/>
  <c r="K823" i="2"/>
  <c r="K821" i="2"/>
  <c r="K820" i="2"/>
  <c r="K818" i="2"/>
  <c r="K817" i="2"/>
  <c r="K816" i="2"/>
  <c r="K815" i="2"/>
  <c r="K814" i="2"/>
  <c r="K813" i="2"/>
  <c r="K810" i="2"/>
  <c r="K809" i="2"/>
  <c r="K808" i="2"/>
  <c r="K806" i="2"/>
  <c r="K801" i="2"/>
  <c r="K800" i="2"/>
  <c r="K799" i="2"/>
  <c r="K797" i="2"/>
  <c r="K790" i="2"/>
  <c r="K788" i="2"/>
  <c r="K787" i="2"/>
  <c r="K785" i="2"/>
  <c r="K780" i="2"/>
  <c r="K778" i="2"/>
  <c r="K777" i="2"/>
  <c r="K775" i="2"/>
  <c r="K770" i="2"/>
  <c r="K769" i="2"/>
  <c r="K768" i="2"/>
  <c r="K766" i="2"/>
  <c r="K765" i="2"/>
  <c r="K764" i="2"/>
  <c r="K763" i="2"/>
  <c r="K756" i="2"/>
  <c r="K753" i="2"/>
  <c r="K752" i="2"/>
  <c r="K751" i="2"/>
  <c r="K750" i="2"/>
  <c r="K748" i="2"/>
  <c r="K743" i="2"/>
  <c r="K742" i="2"/>
  <c r="K741" i="2"/>
  <c r="K740" i="2"/>
  <c r="K739" i="2"/>
  <c r="K738" i="2"/>
  <c r="K737" i="2"/>
  <c r="K736" i="2"/>
  <c r="K731" i="2"/>
  <c r="K730" i="2"/>
  <c r="K729" i="2"/>
  <c r="K728" i="2"/>
  <c r="K727" i="2"/>
  <c r="K722" i="2"/>
  <c r="K721" i="2"/>
  <c r="K720" i="2"/>
  <c r="K719" i="2"/>
  <c r="K714" i="2"/>
  <c r="K713" i="2"/>
  <c r="K712" i="2"/>
  <c r="K710" i="2"/>
  <c r="K705" i="2"/>
  <c r="K704" i="2"/>
  <c r="K703" i="2"/>
  <c r="K702" i="2"/>
  <c r="K701" i="2"/>
  <c r="K700" i="2"/>
  <c r="K698" i="2"/>
  <c r="K693" i="2"/>
  <c r="K692" i="2"/>
  <c r="K690" i="2"/>
  <c r="K685" i="2"/>
  <c r="K684" i="2"/>
  <c r="K683" i="2"/>
  <c r="K681" i="2"/>
  <c r="K676" i="2"/>
  <c r="K675" i="2"/>
  <c r="K674" i="2"/>
  <c r="K673" i="2"/>
  <c r="K672" i="2"/>
  <c r="K671" i="2"/>
  <c r="K669" i="2"/>
  <c r="K664" i="2"/>
  <c r="K663" i="2"/>
  <c r="K662" i="2"/>
  <c r="K661" i="2"/>
  <c r="K660" i="2"/>
  <c r="K659" i="2"/>
  <c r="K657" i="2"/>
  <c r="K652" i="2"/>
  <c r="K651" i="2"/>
  <c r="K650" i="2"/>
  <c r="K648" i="2"/>
  <c r="K643" i="2"/>
  <c r="K642" i="2"/>
  <c r="K641" i="2"/>
  <c r="K640" i="2"/>
  <c r="K639" i="2"/>
  <c r="K638" i="2"/>
  <c r="K637" i="2"/>
  <c r="K636" i="2"/>
  <c r="K635" i="2"/>
  <c r="K630" i="2"/>
  <c r="K629" i="2"/>
  <c r="K628" i="2"/>
  <c r="K627" i="2"/>
  <c r="K626" i="2"/>
  <c r="K625" i="2"/>
  <c r="K624" i="2"/>
  <c r="K619" i="2"/>
  <c r="K618" i="2"/>
  <c r="K617" i="2"/>
  <c r="K615" i="2"/>
  <c r="K610" i="2"/>
  <c r="K609" i="2"/>
  <c r="K608" i="2"/>
  <c r="K607" i="2"/>
  <c r="K601" i="2"/>
  <c r="K598" i="2"/>
  <c r="K597" i="2"/>
  <c r="K596" i="2"/>
  <c r="K595" i="2"/>
  <c r="K593" i="2"/>
  <c r="K588" i="2"/>
  <c r="K587" i="2"/>
  <c r="K586" i="2"/>
  <c r="K585" i="2"/>
  <c r="K584" i="2"/>
  <c r="K583" i="2"/>
  <c r="K582" i="2"/>
  <c r="K581" i="2"/>
  <c r="K580" i="2"/>
  <c r="J579" i="2"/>
  <c r="J606" i="2"/>
  <c r="J614" i="2"/>
  <c r="R614" i="2" s="1"/>
  <c r="J623" i="2"/>
  <c r="R623" i="2" s="1"/>
  <c r="J634" i="2"/>
  <c r="R634" i="2" s="1"/>
  <c r="J647" i="2"/>
  <c r="R647" i="2" s="1"/>
  <c r="J656" i="2"/>
  <c r="R656" i="2" s="1"/>
  <c r="J668" i="2"/>
  <c r="R668" i="2" s="1"/>
  <c r="J680" i="2"/>
  <c r="R680" i="2" s="1"/>
  <c r="J689" i="2"/>
  <c r="R689" i="2" s="1"/>
  <c r="J697" i="2"/>
  <c r="J709" i="2"/>
  <c r="R709" i="2" s="1"/>
  <c r="J718" i="2"/>
  <c r="R718" i="2" s="1"/>
  <c r="J726" i="2"/>
  <c r="R726" i="2" s="1"/>
  <c r="J735" i="2"/>
  <c r="R735" i="2" s="1"/>
  <c r="J747" i="2"/>
  <c r="R761" i="2"/>
  <c r="J774" i="2"/>
  <c r="J784" i="2"/>
  <c r="R784" i="2" s="1"/>
  <c r="J796" i="2"/>
  <c r="J805" i="2"/>
  <c r="R805" i="2" s="1"/>
  <c r="J822" i="2"/>
  <c r="R822" i="2" s="1"/>
  <c r="J831" i="2"/>
  <c r="R831" i="2" s="1"/>
  <c r="J842" i="2"/>
  <c r="J851" i="2"/>
  <c r="R851" i="2" s="1"/>
  <c r="J870" i="2"/>
  <c r="R870" i="2" s="1"/>
  <c r="J879" i="2"/>
  <c r="R879" i="2" s="1"/>
  <c r="J896" i="2"/>
  <c r="J906" i="2"/>
  <c r="R906" i="2" s="1"/>
  <c r="J924" i="2"/>
  <c r="J934" i="2"/>
  <c r="R934" i="2" s="1"/>
  <c r="J951" i="2"/>
  <c r="J959" i="2"/>
  <c r="R959" i="2" s="1"/>
  <c r="J973" i="2"/>
  <c r="J984" i="2"/>
  <c r="J995" i="2"/>
  <c r="J1002" i="2"/>
  <c r="J1010" i="2"/>
  <c r="J1018" i="2"/>
  <c r="J1026" i="2"/>
  <c r="J1034" i="2"/>
  <c r="J1042" i="2"/>
  <c r="J1050" i="2"/>
  <c r="J1058" i="2"/>
  <c r="J1066" i="2"/>
  <c r="J1076" i="2"/>
  <c r="J1086" i="2"/>
  <c r="R1086" i="2" s="1"/>
  <c r="J1093" i="2"/>
  <c r="R1093" i="2" s="1"/>
  <c r="J1100" i="2"/>
  <c r="R1100" i="2" s="1"/>
  <c r="J1107" i="2"/>
  <c r="R1107" i="2" s="1"/>
  <c r="J1114" i="2"/>
  <c r="R1114" i="2" s="1"/>
  <c r="J1121" i="2"/>
  <c r="R1121" i="2" s="1"/>
  <c r="J1128" i="2"/>
  <c r="R1128" i="2" s="1"/>
  <c r="J1135" i="2"/>
  <c r="R1135" i="2" s="1"/>
  <c r="J1142" i="2"/>
  <c r="R1142" i="2" s="1"/>
  <c r="J1149" i="2"/>
  <c r="R1149" i="2" s="1"/>
  <c r="J1156" i="2"/>
  <c r="R1156" i="2" s="1"/>
  <c r="J1163" i="2"/>
  <c r="J1171" i="2"/>
  <c r="R1171" i="2" s="1"/>
  <c r="J1178" i="2"/>
  <c r="R1178" i="2" s="1"/>
  <c r="J1186" i="2"/>
  <c r="R1186" i="2" s="1"/>
  <c r="J1194" i="2"/>
  <c r="R1194" i="2" s="1"/>
  <c r="J1203" i="2"/>
  <c r="R1203" i="2" s="1"/>
  <c r="J1211" i="2"/>
  <c r="R1211" i="2" s="1"/>
  <c r="J1218" i="2"/>
  <c r="R1218" i="2" s="1"/>
  <c r="J1220" i="2"/>
  <c r="R1220" i="2" s="1"/>
  <c r="J1225" i="2"/>
  <c r="R1225" i="2" s="1"/>
  <c r="J1232" i="2"/>
  <c r="R1232" i="2" s="1"/>
  <c r="J1240" i="2"/>
  <c r="R1240" i="2" s="1"/>
  <c r="J1248" i="2"/>
  <c r="R1248" i="2" s="1"/>
  <c r="J1257" i="2"/>
  <c r="R1257" i="2" s="1"/>
  <c r="J1266" i="2"/>
  <c r="J1276" i="2"/>
  <c r="R1276" i="2" s="1"/>
  <c r="J1284" i="2"/>
  <c r="R1284" i="2" s="1"/>
  <c r="J1296" i="2"/>
  <c r="R1296" i="2" s="1"/>
  <c r="J1303" i="2"/>
  <c r="R1303" i="2" s="1"/>
  <c r="J1312" i="2"/>
  <c r="R1312" i="2" s="1"/>
  <c r="J1314" i="2"/>
  <c r="R1314" i="2" s="1"/>
  <c r="R1329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0" i="2"/>
  <c r="K469" i="2"/>
  <c r="K468" i="2"/>
  <c r="K467" i="2"/>
  <c r="K466" i="2"/>
  <c r="K465" i="2"/>
  <c r="K464" i="2"/>
  <c r="K461" i="2"/>
  <c r="K459" i="2"/>
  <c r="K457" i="2"/>
  <c r="K456" i="2"/>
  <c r="K455" i="2"/>
  <c r="K450" i="2"/>
  <c r="K449" i="2"/>
  <c r="K448" i="2"/>
  <c r="K445" i="2"/>
  <c r="K444" i="2"/>
  <c r="K443" i="2"/>
  <c r="K442" i="2"/>
  <c r="K440" i="2"/>
  <c r="K439" i="2"/>
  <c r="K434" i="2"/>
  <c r="J433" i="2"/>
  <c r="R433" i="2" s="1"/>
  <c r="J436" i="2"/>
  <c r="R436" i="2" s="1"/>
  <c r="J454" i="2"/>
  <c r="R454" i="2" s="1"/>
  <c r="J460" i="2"/>
  <c r="K395" i="2"/>
  <c r="K394" i="2"/>
  <c r="K393" i="2"/>
  <c r="K390" i="2"/>
  <c r="K389" i="2"/>
  <c r="K386" i="2"/>
  <c r="K383" i="2"/>
  <c r="K382" i="2"/>
  <c r="K381" i="2"/>
  <c r="K377" i="2"/>
  <c r="K376" i="2"/>
  <c r="K375" i="2"/>
  <c r="K372" i="2"/>
  <c r="K371" i="2"/>
  <c r="K370" i="2"/>
  <c r="K369" i="2"/>
  <c r="K367" i="2"/>
  <c r="K366" i="2"/>
  <c r="K363" i="2"/>
  <c r="K362" i="2"/>
  <c r="K361" i="2"/>
  <c r="K356" i="2"/>
  <c r="K355" i="2"/>
  <c r="K354" i="2"/>
  <c r="K353" i="2"/>
  <c r="K352" i="2"/>
  <c r="K351" i="2"/>
  <c r="K349" i="2"/>
  <c r="K347" i="2"/>
  <c r="K346" i="2"/>
  <c r="K345" i="2"/>
  <c r="K344" i="2"/>
  <c r="K342" i="2"/>
  <c r="K341" i="2"/>
  <c r="K339" i="2"/>
  <c r="K338" i="2"/>
  <c r="J340" i="2"/>
  <c r="R340" i="2" s="1"/>
  <c r="J348" i="2"/>
  <c r="R348" i="2" s="1"/>
  <c r="J350" i="2"/>
  <c r="R350" i="2" s="1"/>
  <c r="R358" i="2"/>
  <c r="J368" i="2"/>
  <c r="R368" i="2" s="1"/>
  <c r="J374" i="2"/>
  <c r="R374" i="2" s="1"/>
  <c r="J380" i="2"/>
  <c r="J385" i="2"/>
  <c r="J388" i="2"/>
  <c r="R388" i="2" s="1"/>
  <c r="J392" i="2"/>
  <c r="K307" i="2"/>
  <c r="K306" i="2"/>
  <c r="K305" i="2"/>
  <c r="K304" i="2"/>
  <c r="K300" i="2"/>
  <c r="K299" i="2"/>
  <c r="K298" i="2"/>
  <c r="K297" i="2"/>
  <c r="K296" i="2"/>
  <c r="K295" i="2"/>
  <c r="K294" i="2"/>
  <c r="K293" i="2"/>
  <c r="K292" i="2"/>
  <c r="K289" i="2"/>
  <c r="K288" i="2"/>
  <c r="K286" i="2"/>
  <c r="K285" i="2"/>
  <c r="K284" i="2"/>
  <c r="K282" i="2"/>
  <c r="K281" i="2"/>
  <c r="K277" i="2"/>
  <c r="K276" i="2"/>
  <c r="K275" i="2"/>
  <c r="K274" i="2"/>
  <c r="K272" i="2"/>
  <c r="K271" i="2"/>
  <c r="K268" i="2"/>
  <c r="K265" i="2"/>
  <c r="K264" i="2"/>
  <c r="K263" i="2"/>
  <c r="K262" i="2"/>
  <c r="K260" i="2"/>
  <c r="K259" i="2"/>
  <c r="K257" i="2"/>
  <c r="K254" i="2"/>
  <c r="K251" i="2"/>
  <c r="K250" i="2"/>
  <c r="K248" i="2"/>
  <c r="K247" i="2"/>
  <c r="K245" i="2"/>
  <c r="K244" i="2"/>
  <c r="K242" i="2"/>
  <c r="J243" i="2"/>
  <c r="R249" i="2"/>
  <c r="J256" i="2"/>
  <c r="R256" i="2" s="1"/>
  <c r="R261" i="2"/>
  <c r="J267" i="2"/>
  <c r="R267" i="2" s="1"/>
  <c r="J273" i="2"/>
  <c r="J283" i="2"/>
  <c r="J291" i="2"/>
  <c r="J303" i="2"/>
  <c r="K198" i="2"/>
  <c r="K197" i="2"/>
  <c r="K196" i="2"/>
  <c r="K195" i="2"/>
  <c r="K194" i="2"/>
  <c r="K191" i="2"/>
  <c r="K190" i="2"/>
  <c r="K189" i="2"/>
  <c r="K188" i="2"/>
  <c r="K187" i="2"/>
  <c r="K186" i="2"/>
  <c r="K184" i="2"/>
  <c r="K181" i="2"/>
  <c r="K178" i="2"/>
  <c r="K176" i="2"/>
  <c r="K173" i="2"/>
  <c r="K172" i="2"/>
  <c r="K171" i="2"/>
  <c r="K170" i="2"/>
  <c r="K166" i="2"/>
  <c r="K164" i="2"/>
  <c r="K156" i="2"/>
  <c r="K155" i="2"/>
  <c r="K154" i="2"/>
  <c r="K153" i="2"/>
  <c r="K152" i="2"/>
  <c r="K151" i="2"/>
  <c r="K150" i="2"/>
  <c r="K149" i="2"/>
  <c r="K148" i="2"/>
  <c r="K146" i="2"/>
  <c r="K145" i="2"/>
  <c r="K143" i="2"/>
  <c r="K142" i="2"/>
  <c r="K141" i="2"/>
  <c r="K140" i="2"/>
  <c r="K139" i="2"/>
  <c r="K138" i="2"/>
  <c r="K137" i="2"/>
  <c r="K136" i="2"/>
  <c r="K135" i="2"/>
  <c r="K133" i="2"/>
  <c r="K129" i="2"/>
  <c r="K126" i="2"/>
  <c r="K125" i="2"/>
  <c r="K124" i="2"/>
  <c r="K123" i="2"/>
  <c r="K122" i="2"/>
  <c r="K121" i="2"/>
  <c r="K120" i="2"/>
  <c r="K117" i="2"/>
  <c r="K116" i="2"/>
  <c r="K115" i="2"/>
  <c r="K114" i="2"/>
  <c r="K113" i="2"/>
  <c r="K112" i="2"/>
  <c r="K111" i="2"/>
  <c r="K110" i="2"/>
  <c r="K107" i="2"/>
  <c r="J102" i="2"/>
  <c r="J106" i="2"/>
  <c r="J109" i="2"/>
  <c r="J119" i="2"/>
  <c r="J128" i="2"/>
  <c r="R132" i="2"/>
  <c r="J147" i="2"/>
  <c r="J160" i="2"/>
  <c r="J165" i="2"/>
  <c r="R165" i="2" s="1"/>
  <c r="J169" i="2"/>
  <c r="J175" i="2"/>
  <c r="R175" i="2" s="1"/>
  <c r="J177" i="2"/>
  <c r="J180" i="2"/>
  <c r="J193" i="2"/>
  <c r="J79" i="2"/>
  <c r="R79" i="2" s="1"/>
  <c r="K79" i="2"/>
  <c r="S79" i="2" s="1"/>
  <c r="J81" i="2"/>
  <c r="R81" i="2" s="1"/>
  <c r="K81" i="2"/>
  <c r="J84" i="2"/>
  <c r="K84" i="2"/>
  <c r="S84" i="2" s="1"/>
  <c r="J87" i="2"/>
  <c r="K87" i="2"/>
  <c r="K68" i="2"/>
  <c r="K67" i="2"/>
  <c r="K63" i="2"/>
  <c r="K61" i="2"/>
  <c r="K60" i="2"/>
  <c r="K59" i="2"/>
  <c r="K57" i="2"/>
  <c r="K55" i="2"/>
  <c r="K54" i="2"/>
  <c r="K53" i="2"/>
  <c r="K52" i="2"/>
  <c r="K51" i="2"/>
  <c r="K50" i="2"/>
  <c r="K49" i="2"/>
  <c r="K48" i="2"/>
  <c r="K47" i="2"/>
  <c r="K44" i="2"/>
  <c r="K43" i="2"/>
  <c r="K42" i="2"/>
  <c r="K41" i="2"/>
  <c r="K40" i="2"/>
  <c r="K39" i="2"/>
  <c r="K37" i="2"/>
  <c r="K34" i="2"/>
  <c r="K30" i="2"/>
  <c r="K29" i="2"/>
  <c r="K27" i="2"/>
  <c r="K25" i="2"/>
  <c r="K22" i="2"/>
  <c r="K16" i="2"/>
  <c r="K15" i="2"/>
  <c r="K12" i="2"/>
  <c r="J11" i="2"/>
  <c r="J18" i="2"/>
  <c r="J21" i="2"/>
  <c r="J24" i="2"/>
  <c r="J28" i="2"/>
  <c r="J33" i="2"/>
  <c r="J46" i="2"/>
  <c r="J58" i="2"/>
  <c r="R58" i="2" s="1"/>
  <c r="J62" i="2"/>
  <c r="R62" i="2" s="1"/>
  <c r="J66" i="2"/>
  <c r="J441" i="1"/>
  <c r="J425" i="1"/>
  <c r="J423" i="1"/>
  <c r="J419" i="1"/>
  <c r="J416" i="1"/>
  <c r="J415" i="1"/>
  <c r="J414" i="1"/>
  <c r="J413" i="1"/>
  <c r="J412" i="1"/>
  <c r="J410" i="1"/>
  <c r="J409" i="1"/>
  <c r="J405" i="1"/>
  <c r="J404" i="1"/>
  <c r="J403" i="1"/>
  <c r="J397" i="1"/>
  <c r="J394" i="1"/>
  <c r="J390" i="1"/>
  <c r="J387" i="1"/>
  <c r="J386" i="1"/>
  <c r="J383" i="1"/>
  <c r="J379" i="1"/>
  <c r="J376" i="1"/>
  <c r="J375" i="1"/>
  <c r="J372" i="1"/>
  <c r="J368" i="1"/>
  <c r="J365" i="1"/>
  <c r="J364" i="1"/>
  <c r="J361" i="1"/>
  <c r="J357" i="1"/>
  <c r="J354" i="1"/>
  <c r="J353" i="1"/>
  <c r="J350" i="1"/>
  <c r="J346" i="1"/>
  <c r="J343" i="1"/>
  <c r="J342" i="1"/>
  <c r="J339" i="1"/>
  <c r="J335" i="1"/>
  <c r="J332" i="1"/>
  <c r="J328" i="1"/>
  <c r="J327" i="1"/>
  <c r="J324" i="1"/>
  <c r="J320" i="1"/>
  <c r="J317" i="1"/>
  <c r="J314" i="1"/>
  <c r="J313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3" i="1"/>
  <c r="J210" i="1"/>
  <c r="J206" i="1"/>
  <c r="J202" i="1"/>
  <c r="J198" i="1"/>
  <c r="J194" i="1"/>
  <c r="J190" i="1"/>
  <c r="J186" i="1"/>
  <c r="J182" i="1"/>
  <c r="J178" i="1"/>
  <c r="J177" i="1"/>
  <c r="J173" i="1"/>
  <c r="J169" i="1"/>
  <c r="J165" i="1"/>
  <c r="J161" i="1"/>
  <c r="J157" i="1"/>
  <c r="J153" i="1"/>
  <c r="J149" i="1"/>
  <c r="J145" i="1"/>
  <c r="J140" i="1"/>
  <c r="J136" i="1"/>
  <c r="J133" i="1"/>
  <c r="J126" i="1"/>
  <c r="J122" i="1"/>
  <c r="J119" i="1"/>
  <c r="J115" i="1"/>
  <c r="J101" i="1"/>
  <c r="J100" i="1"/>
  <c r="J93" i="1"/>
  <c r="J89" i="1"/>
  <c r="J85" i="1"/>
  <c r="J82" i="1"/>
  <c r="J74" i="1"/>
  <c r="J70" i="1"/>
  <c r="J66" i="1"/>
  <c r="J62" i="1"/>
  <c r="J58" i="1"/>
  <c r="J53" i="1"/>
  <c r="J46" i="1"/>
  <c r="J43" i="1"/>
  <c r="J40" i="1"/>
  <c r="J38" i="1"/>
  <c r="J37" i="1"/>
  <c r="J35" i="1"/>
  <c r="J33" i="1"/>
  <c r="J32" i="1"/>
  <c r="J28" i="1"/>
  <c r="J23" i="1"/>
  <c r="J22" i="1"/>
  <c r="J21" i="1"/>
  <c r="J20" i="1"/>
  <c r="J17" i="1"/>
  <c r="J15" i="1"/>
  <c r="I435" i="1"/>
  <c r="I437" i="1"/>
  <c r="I440" i="1"/>
  <c r="I439" i="1" s="1"/>
  <c r="I11" i="1"/>
  <c r="I10" i="1" s="1"/>
  <c r="I14" i="1"/>
  <c r="I13" i="1" s="1"/>
  <c r="I19" i="1"/>
  <c r="I18" i="1" s="1"/>
  <c r="I27" i="1"/>
  <c r="I26" i="1" s="1"/>
  <c r="I31" i="1"/>
  <c r="I34" i="1"/>
  <c r="I36" i="1"/>
  <c r="I39" i="1"/>
  <c r="I42" i="1"/>
  <c r="I41" i="1" s="1"/>
  <c r="I45" i="1"/>
  <c r="I44" i="1" s="1"/>
  <c r="I52" i="1"/>
  <c r="I51" i="1" s="1"/>
  <c r="I50" i="1" s="1"/>
  <c r="I57" i="1"/>
  <c r="I56" i="1" s="1"/>
  <c r="I55" i="1" s="1"/>
  <c r="I61" i="1"/>
  <c r="I60" i="1" s="1"/>
  <c r="I59" i="1" s="1"/>
  <c r="I65" i="1"/>
  <c r="I64" i="1" s="1"/>
  <c r="I63" i="1" s="1"/>
  <c r="I69" i="1"/>
  <c r="I68" i="1" s="1"/>
  <c r="I67" i="1" s="1"/>
  <c r="I73" i="1"/>
  <c r="I72" i="1" s="1"/>
  <c r="I71" i="1" s="1"/>
  <c r="I77" i="1"/>
  <c r="I76" i="1" s="1"/>
  <c r="I75" i="1" s="1"/>
  <c r="I81" i="1"/>
  <c r="I80" i="1" s="1"/>
  <c r="I84" i="1"/>
  <c r="I83" i="1" s="1"/>
  <c r="I88" i="1"/>
  <c r="I87" i="1" s="1"/>
  <c r="I86" i="1" s="1"/>
  <c r="I92" i="1"/>
  <c r="I91" i="1" s="1"/>
  <c r="I95" i="1"/>
  <c r="I94" i="1" s="1"/>
  <c r="I99" i="1"/>
  <c r="I98" i="1" s="1"/>
  <c r="I103" i="1"/>
  <c r="I102" i="1" s="1"/>
  <c r="I107" i="1"/>
  <c r="I106" i="1" s="1"/>
  <c r="I110" i="1"/>
  <c r="I109" i="1" s="1"/>
  <c r="I114" i="1"/>
  <c r="I113" i="1" s="1"/>
  <c r="I112" i="1" s="1"/>
  <c r="I118" i="1"/>
  <c r="I117" i="1" s="1"/>
  <c r="I116" i="1" s="1"/>
  <c r="I121" i="1"/>
  <c r="I120" i="1" s="1"/>
  <c r="I125" i="1"/>
  <c r="I124" i="1" s="1"/>
  <c r="I128" i="1"/>
  <c r="I127" i="1" s="1"/>
  <c r="I132" i="1"/>
  <c r="I131" i="1" s="1"/>
  <c r="I135" i="1"/>
  <c r="I134" i="1" s="1"/>
  <c r="I139" i="1"/>
  <c r="I138" i="1" s="1"/>
  <c r="I137" i="1" s="1"/>
  <c r="I144" i="1"/>
  <c r="I143" i="1" s="1"/>
  <c r="I142" i="1" s="1"/>
  <c r="I147" i="1"/>
  <c r="I146" i="1" s="1"/>
  <c r="I148" i="1"/>
  <c r="I152" i="1"/>
  <c r="I151" i="1" s="1"/>
  <c r="I150" i="1" s="1"/>
  <c r="I156" i="1"/>
  <c r="I155" i="1" s="1"/>
  <c r="I154" i="1" s="1"/>
  <c r="I160" i="1"/>
  <c r="I159" i="1" s="1"/>
  <c r="I158" i="1" s="1"/>
  <c r="I164" i="1"/>
  <c r="I163" i="1" s="1"/>
  <c r="I162" i="1" s="1"/>
  <c r="I168" i="1"/>
  <c r="I167" i="1" s="1"/>
  <c r="I166" i="1" s="1"/>
  <c r="I172" i="1"/>
  <c r="I171" i="1" s="1"/>
  <c r="I170" i="1" s="1"/>
  <c r="I176" i="1"/>
  <c r="I175" i="1" s="1"/>
  <c r="I174" i="1" s="1"/>
  <c r="I181" i="1"/>
  <c r="I180" i="1" s="1"/>
  <c r="I179" i="1" s="1"/>
  <c r="I185" i="1"/>
  <c r="I184" i="1" s="1"/>
  <c r="I183" i="1" s="1"/>
  <c r="I189" i="1"/>
  <c r="I188" i="1" s="1"/>
  <c r="I187" i="1" s="1"/>
  <c r="I193" i="1"/>
  <c r="I192" i="1" s="1"/>
  <c r="I191" i="1" s="1"/>
  <c r="I197" i="1"/>
  <c r="I196" i="1" s="1"/>
  <c r="I195" i="1" s="1"/>
  <c r="I201" i="1"/>
  <c r="I200" i="1" s="1"/>
  <c r="I199" i="1" s="1"/>
  <c r="I205" i="1"/>
  <c r="I204" i="1" s="1"/>
  <c r="I203" i="1" s="1"/>
  <c r="I209" i="1"/>
  <c r="I208" i="1" s="1"/>
  <c r="I212" i="1"/>
  <c r="I211" i="1" s="1"/>
  <c r="I217" i="1"/>
  <c r="I216" i="1" s="1"/>
  <c r="I215" i="1" s="1"/>
  <c r="I221" i="1"/>
  <c r="I220" i="1" s="1"/>
  <c r="I219" i="1" s="1"/>
  <c r="I225" i="1"/>
  <c r="I224" i="1" s="1"/>
  <c r="I223" i="1" s="1"/>
  <c r="I229" i="1"/>
  <c r="I228" i="1" s="1"/>
  <c r="I227" i="1" s="1"/>
  <c r="I233" i="1"/>
  <c r="I232" i="1" s="1"/>
  <c r="I231" i="1" s="1"/>
  <c r="I237" i="1"/>
  <c r="I236" i="1" s="1"/>
  <c r="I235" i="1" s="1"/>
  <c r="I241" i="1"/>
  <c r="I240" i="1" s="1"/>
  <c r="I239" i="1" s="1"/>
  <c r="I245" i="1"/>
  <c r="I244" i="1" s="1"/>
  <c r="I243" i="1" s="1"/>
  <c r="I249" i="1"/>
  <c r="I248" i="1" s="1"/>
  <c r="I247" i="1" s="1"/>
  <c r="I253" i="1"/>
  <c r="I252" i="1" s="1"/>
  <c r="I251" i="1" s="1"/>
  <c r="I257" i="1"/>
  <c r="I256" i="1" s="1"/>
  <c r="I255" i="1" s="1"/>
  <c r="I261" i="1"/>
  <c r="I260" i="1" s="1"/>
  <c r="I259" i="1" s="1"/>
  <c r="I265" i="1"/>
  <c r="I264" i="1" s="1"/>
  <c r="I263" i="1" s="1"/>
  <c r="I269" i="1"/>
  <c r="I268" i="1" s="1"/>
  <c r="I267" i="1" s="1"/>
  <c r="I273" i="1"/>
  <c r="I272" i="1" s="1"/>
  <c r="I271" i="1" s="1"/>
  <c r="I277" i="1"/>
  <c r="I276" i="1" s="1"/>
  <c r="I275" i="1" s="1"/>
  <c r="I281" i="1"/>
  <c r="I280" i="1" s="1"/>
  <c r="I279" i="1" s="1"/>
  <c r="I285" i="1"/>
  <c r="I284" i="1" s="1"/>
  <c r="I283" i="1" s="1"/>
  <c r="I289" i="1"/>
  <c r="I288" i="1" s="1"/>
  <c r="I287" i="1" s="1"/>
  <c r="I293" i="1"/>
  <c r="I292" i="1" s="1"/>
  <c r="I291" i="1" s="1"/>
  <c r="I297" i="1"/>
  <c r="I296" i="1" s="1"/>
  <c r="I301" i="1"/>
  <c r="I300" i="1" s="1"/>
  <c r="I299" i="1" s="1"/>
  <c r="I305" i="1"/>
  <c r="I304" i="1" s="1"/>
  <c r="I303" i="1" s="1"/>
  <c r="I308" i="1"/>
  <c r="I309" i="1"/>
  <c r="I312" i="1"/>
  <c r="I311" i="1" s="1"/>
  <c r="I316" i="1"/>
  <c r="I315" i="1" s="1"/>
  <c r="I319" i="1"/>
  <c r="I318" i="1" s="1"/>
  <c r="I323" i="1"/>
  <c r="I322" i="1" s="1"/>
  <c r="I326" i="1"/>
  <c r="I325" i="1" s="1"/>
  <c r="I331" i="1"/>
  <c r="I330" i="1" s="1"/>
  <c r="I334" i="1"/>
  <c r="I333" i="1" s="1"/>
  <c r="I338" i="1"/>
  <c r="I337" i="1" s="1"/>
  <c r="I341" i="1"/>
  <c r="I340" i="1" s="1"/>
  <c r="I345" i="1"/>
  <c r="I344" i="1" s="1"/>
  <c r="I349" i="1"/>
  <c r="I348" i="1" s="1"/>
  <c r="I352" i="1"/>
  <c r="I351" i="1" s="1"/>
  <c r="I356" i="1"/>
  <c r="I355" i="1" s="1"/>
  <c r="I360" i="1"/>
  <c r="I359" i="1" s="1"/>
  <c r="I363" i="1"/>
  <c r="I362" i="1" s="1"/>
  <c r="I367" i="1"/>
  <c r="I366" i="1" s="1"/>
  <c r="I371" i="1"/>
  <c r="I370" i="1" s="1"/>
  <c r="I374" i="1"/>
  <c r="I373" i="1" s="1"/>
  <c r="I377" i="1"/>
  <c r="I378" i="1"/>
  <c r="I382" i="1"/>
  <c r="I381" i="1" s="1"/>
  <c r="I385" i="1"/>
  <c r="I384" i="1" s="1"/>
  <c r="I389" i="1"/>
  <c r="I388" i="1" s="1"/>
  <c r="I393" i="1"/>
  <c r="I392" i="1" s="1"/>
  <c r="I396" i="1"/>
  <c r="I395" i="1" s="1"/>
  <c r="I402" i="1"/>
  <c r="I406" i="1"/>
  <c r="I418" i="1"/>
  <c r="I417" i="1" s="1"/>
  <c r="I424" i="1"/>
  <c r="I422" i="1" s="1"/>
  <c r="I421" i="1" s="1"/>
  <c r="I420" i="1" s="1"/>
  <c r="Q1841" i="2"/>
  <c r="M1840" i="2"/>
  <c r="Q1837" i="2"/>
  <c r="Q1836" i="2"/>
  <c r="Q1835" i="2"/>
  <c r="Q1834" i="2"/>
  <c r="I1833" i="2"/>
  <c r="Q1832" i="2"/>
  <c r="Q1831" i="2"/>
  <c r="Q1829" i="2"/>
  <c r="Q1828" i="2"/>
  <c r="I1827" i="2"/>
  <c r="Q1827" i="2" s="1"/>
  <c r="Q1826" i="2"/>
  <c r="Q1825" i="2"/>
  <c r="I1824" i="2"/>
  <c r="Q1824" i="2" s="1"/>
  <c r="B1822" i="2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Q1810" i="2"/>
  <c r="Q1809" i="2"/>
  <c r="Q1808" i="2"/>
  <c r="Q1807" i="2"/>
  <c r="Q1806" i="2"/>
  <c r="Q1805" i="2"/>
  <c r="I1804" i="2"/>
  <c r="Q1803" i="2"/>
  <c r="Q1802" i="2"/>
  <c r="I1799" i="2"/>
  <c r="Q1799" i="2" s="1"/>
  <c r="Q1798" i="2"/>
  <c r="Q1797" i="2"/>
  <c r="Q1796" i="2"/>
  <c r="Q1795" i="2"/>
  <c r="I1794" i="2"/>
  <c r="Q1794" i="2" s="1"/>
  <c r="Q1793" i="2"/>
  <c r="Q1792" i="2"/>
  <c r="Q1789" i="2"/>
  <c r="I1788" i="2"/>
  <c r="Q1787" i="2"/>
  <c r="I1786" i="2"/>
  <c r="Q1784" i="2"/>
  <c r="I1783" i="2"/>
  <c r="I1782" i="2" s="1"/>
  <c r="I1781" i="2"/>
  <c r="K1781" i="2" s="1"/>
  <c r="S1781" i="2" s="1"/>
  <c r="Q1780" i="2"/>
  <c r="Q1779" i="2"/>
  <c r="Q1778" i="2"/>
  <c r="Q1777" i="2"/>
  <c r="I1776" i="2"/>
  <c r="Q1776" i="2" s="1"/>
  <c r="Q1775" i="2"/>
  <c r="Q1774" i="2"/>
  <c r="Q1771" i="2"/>
  <c r="I1770" i="2"/>
  <c r="Q1770" i="2" s="1"/>
  <c r="Q1769" i="2"/>
  <c r="Q1768" i="2"/>
  <c r="I1767" i="2"/>
  <c r="Q1767" i="2" s="1"/>
  <c r="Q1766" i="2"/>
  <c r="Q1765" i="2"/>
  <c r="Q1763" i="2"/>
  <c r="Q1762" i="2"/>
  <c r="Q1760" i="2"/>
  <c r="I1759" i="2"/>
  <c r="Q1758" i="2"/>
  <c r="I1757" i="2"/>
  <c r="Q1756" i="2"/>
  <c r="Q1754" i="2"/>
  <c r="Q1753" i="2"/>
  <c r="Q1752" i="2"/>
  <c r="Q1751" i="2"/>
  <c r="I1750" i="2"/>
  <c r="Q1750" i="2" s="1"/>
  <c r="Q1748" i="2"/>
  <c r="Q1747" i="2"/>
  <c r="Q1746" i="2"/>
  <c r="I1745" i="2"/>
  <c r="Q1745" i="2" s="1"/>
  <c r="Q1743" i="2"/>
  <c r="Q1742" i="2"/>
  <c r="Q1741" i="2"/>
  <c r="Q1740" i="2"/>
  <c r="I1739" i="2"/>
  <c r="Q1739" i="2" s="1"/>
  <c r="Q1738" i="2"/>
  <c r="Q1737" i="2"/>
  <c r="I1735" i="2"/>
  <c r="Q1735" i="2" s="1"/>
  <c r="I1734" i="2"/>
  <c r="Q1734" i="2" s="1"/>
  <c r="Q1731" i="2"/>
  <c r="Q1730" i="2"/>
  <c r="Q1729" i="2"/>
  <c r="I1728" i="2"/>
  <c r="I1726" i="2"/>
  <c r="Q1726" i="2" s="1"/>
  <c r="Q1725" i="2"/>
  <c r="I1724" i="2"/>
  <c r="Q1720" i="2"/>
  <c r="Q1719" i="2"/>
  <c r="Q1718" i="2"/>
  <c r="Q1717" i="2"/>
  <c r="I1716" i="2"/>
  <c r="Q1715" i="2"/>
  <c r="Q1714" i="2"/>
  <c r="Q1711" i="2"/>
  <c r="I1709" i="2"/>
  <c r="Q1709" i="2" s="1"/>
  <c r="Q1708" i="2"/>
  <c r="Q1707" i="2"/>
  <c r="Q1706" i="2"/>
  <c r="Q1705" i="2"/>
  <c r="Q1704" i="2"/>
  <c r="Q1703" i="2"/>
  <c r="Q1702" i="2"/>
  <c r="I1701" i="2"/>
  <c r="Q1700" i="2"/>
  <c r="Q1699" i="2"/>
  <c r="Q1698" i="2"/>
  <c r="Q1694" i="2"/>
  <c r="I1693" i="2"/>
  <c r="Q1693" i="2" s="1"/>
  <c r="Q1691" i="2"/>
  <c r="M1690" i="2"/>
  <c r="M1689" i="2" s="1"/>
  <c r="Q1688" i="2"/>
  <c r="Q1687" i="2"/>
  <c r="Q1686" i="2"/>
  <c r="Q1685" i="2"/>
  <c r="Q1684" i="2"/>
  <c r="I1683" i="2"/>
  <c r="I1682" i="2"/>
  <c r="K1682" i="2" s="1"/>
  <c r="S1682" i="2" s="1"/>
  <c r="Q1681" i="2"/>
  <c r="B1679" i="2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Q1630" i="2"/>
  <c r="Q1629" i="2"/>
  <c r="Q1628" i="2"/>
  <c r="Q1627" i="2"/>
  <c r="Q1626" i="2"/>
  <c r="Q1625" i="2"/>
  <c r="Q1624" i="2"/>
  <c r="I1623" i="2"/>
  <c r="I1622" i="2"/>
  <c r="K1622" i="2" s="1"/>
  <c r="S1622" i="2" s="1"/>
  <c r="I1621" i="2"/>
  <c r="Q1618" i="2"/>
  <c r="Q1617" i="2"/>
  <c r="Q1616" i="2"/>
  <c r="Q1615" i="2"/>
  <c r="I1614" i="2"/>
  <c r="M1612" i="2"/>
  <c r="O1612" i="2" s="1"/>
  <c r="Q1611" i="2"/>
  <c r="I1610" i="2"/>
  <c r="I1609" i="2" s="1"/>
  <c r="I1608" i="2" s="1"/>
  <c r="Q1604" i="2"/>
  <c r="M1603" i="2"/>
  <c r="Q1601" i="2"/>
  <c r="I1600" i="2"/>
  <c r="Q1599" i="2"/>
  <c r="Q1598" i="2"/>
  <c r="I1597" i="2"/>
  <c r="Q1597" i="2" s="1"/>
  <c r="Q1596" i="2"/>
  <c r="Q1595" i="2"/>
  <c r="I1594" i="2"/>
  <c r="Q1594" i="2" s="1"/>
  <c r="Q1592" i="2"/>
  <c r="M1591" i="2"/>
  <c r="Q1589" i="2"/>
  <c r="I1588" i="2"/>
  <c r="Q1588" i="2" s="1"/>
  <c r="Q1586" i="2"/>
  <c r="Q1585" i="2"/>
  <c r="I1584" i="2"/>
  <c r="Q1584" i="2" s="1"/>
  <c r="Q1580" i="2"/>
  <c r="Q1579" i="2"/>
  <c r="Q1578" i="2"/>
  <c r="Q1577" i="2"/>
  <c r="Q1576" i="2"/>
  <c r="M1575" i="2"/>
  <c r="Q1574" i="2"/>
  <c r="Q1573" i="2"/>
  <c r="Q1572" i="2"/>
  <c r="Q1571" i="2"/>
  <c r="Q1570" i="2"/>
  <c r="Q1569" i="2"/>
  <c r="Q1568" i="2"/>
  <c r="Q1567" i="2"/>
  <c r="Q1566" i="2"/>
  <c r="I1565" i="2"/>
  <c r="Q1565" i="2" s="1"/>
  <c r="Q1564" i="2"/>
  <c r="Q1563" i="2"/>
  <c r="I1562" i="2"/>
  <c r="Q1562" i="2" s="1"/>
  <c r="I1561" i="2"/>
  <c r="Q1561" i="2" s="1"/>
  <c r="Q1560" i="2"/>
  <c r="Q1559" i="2"/>
  <c r="Q1558" i="2"/>
  <c r="Q1557" i="2"/>
  <c r="Q1556" i="2"/>
  <c r="Q1554" i="2"/>
  <c r="Q1553" i="2"/>
  <c r="Q1550" i="2"/>
  <c r="Q1549" i="2"/>
  <c r="Q1548" i="2"/>
  <c r="M1547" i="2"/>
  <c r="Q1545" i="2"/>
  <c r="M1544" i="2"/>
  <c r="Q1542" i="2"/>
  <c r="Q1541" i="2"/>
  <c r="I1540" i="2"/>
  <c r="Q1539" i="2"/>
  <c r="I1538" i="2"/>
  <c r="Q1538" i="2" s="1"/>
  <c r="B1537" i="2"/>
  <c r="B1538" i="2" s="1"/>
  <c r="B1539" i="2" s="1"/>
  <c r="B1540" i="2" s="1"/>
  <c r="B1541" i="2" s="1"/>
  <c r="B1542" i="2" s="1"/>
  <c r="B1543" i="2" s="1"/>
  <c r="B1544" i="2" s="1"/>
  <c r="B1545" i="2" s="1"/>
  <c r="B1546" i="2" s="1"/>
  <c r="Q1526" i="2"/>
  <c r="M1525" i="2"/>
  <c r="Q1525" i="2" s="1"/>
  <c r="Q1523" i="2"/>
  <c r="Q1522" i="2"/>
  <c r="I1521" i="2"/>
  <c r="I1519" i="2" s="1"/>
  <c r="Q1520" i="2"/>
  <c r="M1516" i="2"/>
  <c r="Q1516" i="2" s="1"/>
  <c r="Q1515" i="2"/>
  <c r="Q1514" i="2"/>
  <c r="Q1511" i="2"/>
  <c r="Q1510" i="2"/>
  <c r="Q1509" i="2"/>
  <c r="I1508" i="2"/>
  <c r="Q1508" i="2" s="1"/>
  <c r="Q1507" i="2"/>
  <c r="I1505" i="2"/>
  <c r="K1505" i="2" s="1"/>
  <c r="Q1504" i="2"/>
  <c r="Q1503" i="2"/>
  <c r="Q1502" i="2"/>
  <c r="Q1496" i="2"/>
  <c r="Q1495" i="2"/>
  <c r="Q1494" i="2"/>
  <c r="Q1493" i="2"/>
  <c r="Q1492" i="2"/>
  <c r="Q1491" i="2"/>
  <c r="Q1490" i="2"/>
  <c r="Q1489" i="2"/>
  <c r="I1488" i="2"/>
  <c r="I1487" i="2" s="1"/>
  <c r="B1487" i="2"/>
  <c r="B1488" i="2" s="1"/>
  <c r="B1489" i="2" s="1"/>
  <c r="B1490" i="2" s="1"/>
  <c r="B1491" i="2" s="1"/>
  <c r="B1492" i="2" s="1"/>
  <c r="B1493" i="2" s="1"/>
  <c r="M1470" i="2"/>
  <c r="Q1470" i="2" s="1"/>
  <c r="Q1467" i="2"/>
  <c r="Q1466" i="2"/>
  <c r="Q1465" i="2"/>
  <c r="Q1464" i="2"/>
  <c r="Q1463" i="2"/>
  <c r="Q1462" i="2"/>
  <c r="Q1461" i="2"/>
  <c r="Q1460" i="2"/>
  <c r="Q1459" i="2"/>
  <c r="Q1458" i="2"/>
  <c r="I1457" i="2"/>
  <c r="I1456" i="2"/>
  <c r="K1456" i="2" s="1"/>
  <c r="I1455" i="2"/>
  <c r="M1451" i="2"/>
  <c r="O1451" i="2" s="1"/>
  <c r="Q1450" i="2"/>
  <c r="M1449" i="2"/>
  <c r="Q1449" i="2" s="1"/>
  <c r="Q1447" i="2"/>
  <c r="Q1446" i="2"/>
  <c r="Q1445" i="2"/>
  <c r="Q1441" i="2"/>
  <c r="I1440" i="2"/>
  <c r="K1440" i="2" s="1"/>
  <c r="Q1439" i="2"/>
  <c r="Q1438" i="2"/>
  <c r="I1437" i="2"/>
  <c r="K1437" i="2" s="1"/>
  <c r="Q1435" i="2"/>
  <c r="Q1434" i="2"/>
  <c r="Q1432" i="2"/>
  <c r="Q1431" i="2"/>
  <c r="Q1430" i="2"/>
  <c r="Q1429" i="2"/>
  <c r="M1428" i="2"/>
  <c r="Q1428" i="2" s="1"/>
  <c r="Q1427" i="2"/>
  <c r="Q1426" i="2"/>
  <c r="I1425" i="2"/>
  <c r="Q1425" i="2" s="1"/>
  <c r="I1424" i="2"/>
  <c r="Q1424" i="2" s="1"/>
  <c r="Q1423" i="2"/>
  <c r="Q1421" i="2"/>
  <c r="Q1420" i="2"/>
  <c r="Q1418" i="2"/>
  <c r="Q1417" i="2"/>
  <c r="M1416" i="2"/>
  <c r="Q1416" i="2" s="1"/>
  <c r="M1415" i="2"/>
  <c r="O1415" i="2" s="1"/>
  <c r="I1412" i="2"/>
  <c r="Q1412" i="2" s="1"/>
  <c r="Q1411" i="2"/>
  <c r="Q1408" i="2"/>
  <c r="Q1407" i="2"/>
  <c r="Q1406" i="2"/>
  <c r="Q1405" i="2"/>
  <c r="Q1404" i="2"/>
  <c r="Q1403" i="2"/>
  <c r="I1402" i="2"/>
  <c r="Q1401" i="2"/>
  <c r="Q1400" i="2"/>
  <c r="Q1398" i="2"/>
  <c r="M1397" i="2"/>
  <c r="Q1397" i="2" s="1"/>
  <c r="M1396" i="2"/>
  <c r="O1396" i="2" s="1"/>
  <c r="Q1393" i="2"/>
  <c r="I1392" i="2"/>
  <c r="Q1392" i="2" s="1"/>
  <c r="M1387" i="2"/>
  <c r="M1386" i="2" s="1"/>
  <c r="Q1386" i="2" s="1"/>
  <c r="Q1385" i="2"/>
  <c r="M1384" i="2"/>
  <c r="Q1382" i="2"/>
  <c r="Q1381" i="2"/>
  <c r="Q1380" i="2"/>
  <c r="I1379" i="2"/>
  <c r="Q1377" i="2"/>
  <c r="Q1376" i="2"/>
  <c r="I1375" i="2"/>
  <c r="M1374" i="2"/>
  <c r="Q1370" i="2"/>
  <c r="Q1369" i="2"/>
  <c r="Q1368" i="2"/>
  <c r="Q1367" i="2"/>
  <c r="Q1366" i="2"/>
  <c r="Q1365" i="2"/>
  <c r="Q1364" i="2"/>
  <c r="Q1363" i="2"/>
  <c r="I1359" i="2"/>
  <c r="K1359" i="2" s="1"/>
  <c r="S1359" i="2" s="1"/>
  <c r="I1358" i="2"/>
  <c r="K1358" i="2" s="1"/>
  <c r="I1357" i="2"/>
  <c r="Q1357" i="2" s="1"/>
  <c r="I1356" i="2"/>
  <c r="Q1356" i="2" s="1"/>
  <c r="Q1353" i="2"/>
  <c r="Q1352" i="2"/>
  <c r="Q1351" i="2"/>
  <c r="I1350" i="2"/>
  <c r="I1349" i="2" s="1"/>
  <c r="Q1349" i="2" s="1"/>
  <c r="B1349" i="2"/>
  <c r="B1350" i="2" s="1"/>
  <c r="B1351" i="2" s="1"/>
  <c r="B1352" i="2" s="1"/>
  <c r="B1353" i="2" s="1"/>
  <c r="B1354" i="2" s="1"/>
  <c r="B1355" i="2" s="1"/>
  <c r="B1356" i="2" s="1"/>
  <c r="B1357" i="2" s="1"/>
  <c r="Q1336" i="2"/>
  <c r="Q1335" i="2"/>
  <c r="Q1334" i="2"/>
  <c r="Q1333" i="2"/>
  <c r="Q1332" i="2"/>
  <c r="Q1331" i="2"/>
  <c r="Q1330" i="2"/>
  <c r="Q1329" i="2"/>
  <c r="Q1328" i="2"/>
  <c r="Q1327" i="2"/>
  <c r="I1323" i="2"/>
  <c r="Q1323" i="2" s="1"/>
  <c r="I1322" i="2"/>
  <c r="Q1321" i="2"/>
  <c r="I1320" i="2"/>
  <c r="Q1318" i="2"/>
  <c r="Q1317" i="2"/>
  <c r="Q1315" i="2"/>
  <c r="I1314" i="2"/>
  <c r="Q1314" i="2" s="1"/>
  <c r="Q1313" i="2"/>
  <c r="I1312" i="2"/>
  <c r="Q1312" i="2" s="1"/>
  <c r="Q1309" i="2"/>
  <c r="Q1308" i="2"/>
  <c r="Q1307" i="2"/>
  <c r="Q1306" i="2"/>
  <c r="Q1305" i="2"/>
  <c r="Q1304" i="2"/>
  <c r="I1303" i="2"/>
  <c r="Q1302" i="2"/>
  <c r="Q1301" i="2"/>
  <c r="Q1300" i="2"/>
  <c r="Q1299" i="2"/>
  <c r="Q1298" i="2"/>
  <c r="Q1297" i="2"/>
  <c r="I1296" i="2"/>
  <c r="Q1295" i="2"/>
  <c r="Q1294" i="2"/>
  <c r="M1292" i="2"/>
  <c r="Q1289" i="2"/>
  <c r="Q1288" i="2"/>
  <c r="Q1287" i="2"/>
  <c r="Q1286" i="2"/>
  <c r="Q1285" i="2"/>
  <c r="I1284" i="2"/>
  <c r="I1283" i="2"/>
  <c r="Q1283" i="2" s="1"/>
  <c r="I1282" i="2"/>
  <c r="Q1282" i="2" s="1"/>
  <c r="Q1281" i="2"/>
  <c r="Q1280" i="2"/>
  <c r="Q1279" i="2"/>
  <c r="Q1278" i="2"/>
  <c r="Q1277" i="2"/>
  <c r="I1276" i="2"/>
  <c r="Q1276" i="2" s="1"/>
  <c r="I1275" i="2"/>
  <c r="K1275" i="2" s="1"/>
  <c r="I1274" i="2"/>
  <c r="Q1274" i="2" s="1"/>
  <c r="Q1272" i="2"/>
  <c r="Q1271" i="2"/>
  <c r="Q1270" i="2"/>
  <c r="Q1269" i="2"/>
  <c r="Q1268" i="2"/>
  <c r="Q1267" i="2"/>
  <c r="I1266" i="2"/>
  <c r="Q1265" i="2"/>
  <c r="Q1264" i="2"/>
  <c r="Q1263" i="2"/>
  <c r="Q1262" i="2"/>
  <c r="Q1261" i="2"/>
  <c r="Q1260" i="2"/>
  <c r="Q1259" i="2"/>
  <c r="Q1258" i="2"/>
  <c r="I1257" i="2"/>
  <c r="Q1256" i="2"/>
  <c r="Q1255" i="2"/>
  <c r="Q1253" i="2"/>
  <c r="Q1252" i="2"/>
  <c r="Q1251" i="2"/>
  <c r="Q1250" i="2"/>
  <c r="Q1249" i="2"/>
  <c r="I1248" i="2"/>
  <c r="I1247" i="2"/>
  <c r="I1246" i="2"/>
  <c r="Q1246" i="2" s="1"/>
  <c r="Q1245" i="2"/>
  <c r="Q1244" i="2"/>
  <c r="Q1243" i="2"/>
  <c r="Q1242" i="2"/>
  <c r="Q1241" i="2"/>
  <c r="I1240" i="2"/>
  <c r="I1239" i="2"/>
  <c r="I1238" i="2"/>
  <c r="K1238" i="2" s="1"/>
  <c r="Q1236" i="2"/>
  <c r="Q1235" i="2"/>
  <c r="Q1234" i="2"/>
  <c r="Q1233" i="2"/>
  <c r="I1232" i="2"/>
  <c r="I1231" i="2"/>
  <c r="I1230" i="2"/>
  <c r="K1230" i="2" s="1"/>
  <c r="Q1229" i="2"/>
  <c r="Q1228" i="2"/>
  <c r="Q1227" i="2"/>
  <c r="Q1226" i="2"/>
  <c r="I1225" i="2"/>
  <c r="I1224" i="2"/>
  <c r="K1224" i="2" s="1"/>
  <c r="I1223" i="2"/>
  <c r="I1221" i="2"/>
  <c r="I1220" i="2" s="1"/>
  <c r="I1219" i="2"/>
  <c r="Q1219" i="2" s="1"/>
  <c r="Q1216" i="2"/>
  <c r="Q1215" i="2"/>
  <c r="Q1214" i="2"/>
  <c r="Q1213" i="2"/>
  <c r="Q1212" i="2"/>
  <c r="I1211" i="2"/>
  <c r="I1210" i="2"/>
  <c r="Q1210" i="2" s="1"/>
  <c r="I1209" i="2"/>
  <c r="Q1209" i="2" s="1"/>
  <c r="Q1208" i="2"/>
  <c r="Q1207" i="2"/>
  <c r="Q1206" i="2"/>
  <c r="Q1205" i="2"/>
  <c r="Q1204" i="2"/>
  <c r="I1203" i="2"/>
  <c r="I1202" i="2"/>
  <c r="K1202" i="2" s="1"/>
  <c r="I1201" i="2"/>
  <c r="K1201" i="2" s="1"/>
  <c r="Q1199" i="2"/>
  <c r="Q1198" i="2"/>
  <c r="Q1197" i="2"/>
  <c r="Q1196" i="2"/>
  <c r="Q1195" i="2"/>
  <c r="I1194" i="2"/>
  <c r="Q1194" i="2" s="1"/>
  <c r="I1193" i="2"/>
  <c r="Q1193" i="2" s="1"/>
  <c r="I1192" i="2"/>
  <c r="K1192" i="2" s="1"/>
  <c r="S1192" i="2" s="1"/>
  <c r="Q1191" i="2"/>
  <c r="Q1190" i="2"/>
  <c r="Q1189" i="2"/>
  <c r="Q1188" i="2"/>
  <c r="Q1187" i="2"/>
  <c r="I1186" i="2"/>
  <c r="Q1186" i="2" s="1"/>
  <c r="I1185" i="2"/>
  <c r="K1185" i="2" s="1"/>
  <c r="I1184" i="2"/>
  <c r="K1184" i="2" s="1"/>
  <c r="S1184" i="2" s="1"/>
  <c r="Q1182" i="2"/>
  <c r="Q1181" i="2"/>
  <c r="Q1180" i="2"/>
  <c r="Q1179" i="2"/>
  <c r="I1178" i="2"/>
  <c r="I1177" i="2"/>
  <c r="Q1177" i="2" s="1"/>
  <c r="I1176" i="2"/>
  <c r="K1176" i="2" s="1"/>
  <c r="Q1174" i="2"/>
  <c r="Q1173" i="2"/>
  <c r="Q1172" i="2"/>
  <c r="I1171" i="2"/>
  <c r="Q1171" i="2" s="1"/>
  <c r="I1170" i="2"/>
  <c r="I1169" i="2"/>
  <c r="K1169" i="2" s="1"/>
  <c r="Q1167" i="2"/>
  <c r="Q1166" i="2"/>
  <c r="Q1165" i="2"/>
  <c r="Q1164" i="2"/>
  <c r="I1163" i="2"/>
  <c r="Q1162" i="2"/>
  <c r="Q1161" i="2"/>
  <c r="Q1159" i="2"/>
  <c r="Q1158" i="2"/>
  <c r="Q1157" i="2"/>
  <c r="I1156" i="2"/>
  <c r="Q1156" i="2" s="1"/>
  <c r="I1155" i="2"/>
  <c r="I1154" i="2"/>
  <c r="K1154" i="2" s="1"/>
  <c r="Q1152" i="2"/>
  <c r="Q1151" i="2"/>
  <c r="Q1150" i="2"/>
  <c r="I1149" i="2"/>
  <c r="I1148" i="2"/>
  <c r="K1148" i="2" s="1"/>
  <c r="I1147" i="2"/>
  <c r="K1147" i="2" s="1"/>
  <c r="Q1145" i="2"/>
  <c r="Q1144" i="2"/>
  <c r="Q1143" i="2"/>
  <c r="I1142" i="2"/>
  <c r="Q1142" i="2" s="1"/>
  <c r="I1141" i="2"/>
  <c r="I1140" i="2"/>
  <c r="K1140" i="2" s="1"/>
  <c r="Q1138" i="2"/>
  <c r="Q1137" i="2"/>
  <c r="Q1136" i="2"/>
  <c r="I1135" i="2"/>
  <c r="I1134" i="2"/>
  <c r="K1134" i="2" s="1"/>
  <c r="I1133" i="2"/>
  <c r="K1133" i="2" s="1"/>
  <c r="Q1131" i="2"/>
  <c r="Q1130" i="2"/>
  <c r="Q1129" i="2"/>
  <c r="I1128" i="2"/>
  <c r="I1127" i="2"/>
  <c r="I1126" i="2"/>
  <c r="K1126" i="2" s="1"/>
  <c r="Q1124" i="2"/>
  <c r="Q1123" i="2"/>
  <c r="Q1122" i="2"/>
  <c r="I1121" i="2"/>
  <c r="I1120" i="2"/>
  <c r="K1120" i="2" s="1"/>
  <c r="I1119" i="2"/>
  <c r="K1119" i="2" s="1"/>
  <c r="Q1117" i="2"/>
  <c r="Q1116" i="2"/>
  <c r="Q1115" i="2"/>
  <c r="I1114" i="2"/>
  <c r="Q1114" i="2" s="1"/>
  <c r="I1113" i="2"/>
  <c r="I1112" i="2"/>
  <c r="K1112" i="2" s="1"/>
  <c r="Q1110" i="2"/>
  <c r="Q1109" i="2"/>
  <c r="Q1108" i="2"/>
  <c r="I1107" i="2"/>
  <c r="I1106" i="2"/>
  <c r="K1106" i="2" s="1"/>
  <c r="I1105" i="2"/>
  <c r="K1105" i="2" s="1"/>
  <c r="Q1103" i="2"/>
  <c r="Q1102" i="2"/>
  <c r="Q1101" i="2"/>
  <c r="I1100" i="2"/>
  <c r="I1099" i="2"/>
  <c r="I1098" i="2"/>
  <c r="K1098" i="2" s="1"/>
  <c r="Q1096" i="2"/>
  <c r="Q1095" i="2"/>
  <c r="Q1094" i="2"/>
  <c r="I1093" i="2"/>
  <c r="I1092" i="2"/>
  <c r="K1092" i="2" s="1"/>
  <c r="I1091" i="2"/>
  <c r="K1091" i="2" s="1"/>
  <c r="Q1089" i="2"/>
  <c r="Q1088" i="2"/>
  <c r="Q1087" i="2"/>
  <c r="I1086" i="2"/>
  <c r="Q1086" i="2" s="1"/>
  <c r="I1085" i="2"/>
  <c r="I1084" i="2"/>
  <c r="K1084" i="2" s="1"/>
  <c r="Q1081" i="2"/>
  <c r="Q1080" i="2"/>
  <c r="Q1079" i="2"/>
  <c r="Q1078" i="2"/>
  <c r="Q1077" i="2"/>
  <c r="I1076" i="2"/>
  <c r="Q1076" i="2" s="1"/>
  <c r="Q1073" i="2"/>
  <c r="Q1072" i="2"/>
  <c r="Q1071" i="2"/>
  <c r="Q1070" i="2"/>
  <c r="Q1069" i="2"/>
  <c r="Q1068" i="2"/>
  <c r="Q1067" i="2"/>
  <c r="I1066" i="2"/>
  <c r="Q1066" i="2" s="1"/>
  <c r="Q1065" i="2"/>
  <c r="Q1064" i="2"/>
  <c r="Q1062" i="2"/>
  <c r="Q1061" i="2"/>
  <c r="Q1060" i="2"/>
  <c r="Q1059" i="2"/>
  <c r="I1058" i="2"/>
  <c r="Q1058" i="2" s="1"/>
  <c r="Q1057" i="2"/>
  <c r="Q1056" i="2"/>
  <c r="Q1054" i="2"/>
  <c r="Q1053" i="2"/>
  <c r="Q1052" i="2"/>
  <c r="Q1051" i="2"/>
  <c r="I1050" i="2"/>
  <c r="Q1050" i="2" s="1"/>
  <c r="Q1049" i="2"/>
  <c r="Q1048" i="2"/>
  <c r="Q1046" i="2"/>
  <c r="Q1045" i="2"/>
  <c r="Q1044" i="2"/>
  <c r="Q1043" i="2"/>
  <c r="I1042" i="2"/>
  <c r="Q1042" i="2" s="1"/>
  <c r="Q1041" i="2"/>
  <c r="Q1040" i="2"/>
  <c r="Q1038" i="2"/>
  <c r="Q1037" i="2"/>
  <c r="Q1036" i="2"/>
  <c r="Q1035" i="2"/>
  <c r="I1034" i="2"/>
  <c r="Q1033" i="2"/>
  <c r="Q1032" i="2"/>
  <c r="Q1030" i="2"/>
  <c r="Q1029" i="2"/>
  <c r="Q1028" i="2"/>
  <c r="Q1027" i="2"/>
  <c r="I1026" i="2"/>
  <c r="I1023" i="2" s="1"/>
  <c r="Q1025" i="2"/>
  <c r="Q1024" i="2"/>
  <c r="Q1022" i="2"/>
  <c r="Q1021" i="2"/>
  <c r="Q1020" i="2"/>
  <c r="Q1019" i="2"/>
  <c r="I1018" i="2"/>
  <c r="Q1017" i="2"/>
  <c r="Q1016" i="2"/>
  <c r="Q1014" i="2"/>
  <c r="Q1013" i="2"/>
  <c r="Q1012" i="2"/>
  <c r="Q1011" i="2"/>
  <c r="I1010" i="2"/>
  <c r="Q1009" i="2"/>
  <c r="Q1008" i="2"/>
  <c r="Q1006" i="2"/>
  <c r="Q1005" i="2"/>
  <c r="Q1004" i="2"/>
  <c r="Q1003" i="2"/>
  <c r="I1002" i="2"/>
  <c r="Q1002" i="2" s="1"/>
  <c r="Q1001" i="2"/>
  <c r="Q1000" i="2"/>
  <c r="Q998" i="2"/>
  <c r="Q997" i="2"/>
  <c r="Q996" i="2"/>
  <c r="I995" i="2"/>
  <c r="Q994" i="2"/>
  <c r="Q993" i="2"/>
  <c r="Q990" i="2"/>
  <c r="I989" i="2"/>
  <c r="K989" i="2" s="1"/>
  <c r="Q988" i="2"/>
  <c r="Q987" i="2"/>
  <c r="Q986" i="2"/>
  <c r="Q985" i="2"/>
  <c r="Q983" i="2"/>
  <c r="Q982" i="2"/>
  <c r="Q980" i="2"/>
  <c r="Q979" i="2"/>
  <c r="Q978" i="2"/>
  <c r="Q977" i="2"/>
  <c r="Q976" i="2"/>
  <c r="Q975" i="2"/>
  <c r="Q974" i="2"/>
  <c r="I973" i="2"/>
  <c r="Q973" i="2" s="1"/>
  <c r="M970" i="2"/>
  <c r="O970" i="2" s="1"/>
  <c r="Q969" i="2"/>
  <c r="Q965" i="2"/>
  <c r="I964" i="2"/>
  <c r="Q963" i="2"/>
  <c r="Q962" i="2"/>
  <c r="I961" i="2"/>
  <c r="Q961" i="2" s="1"/>
  <c r="Q960" i="2"/>
  <c r="Q958" i="2"/>
  <c r="Q957" i="2"/>
  <c r="Q956" i="2"/>
  <c r="Q955" i="2"/>
  <c r="Q954" i="2"/>
  <c r="Q953" i="2"/>
  <c r="Q952" i="2"/>
  <c r="I951" i="2"/>
  <c r="I950" i="2"/>
  <c r="I949" i="2"/>
  <c r="K949" i="2" s="1"/>
  <c r="Q947" i="2"/>
  <c r="M946" i="2"/>
  <c r="Q945" i="2"/>
  <c r="M944" i="2"/>
  <c r="I941" i="2"/>
  <c r="Q940" i="2"/>
  <c r="Q939" i="2"/>
  <c r="I938" i="2"/>
  <c r="I937" i="2"/>
  <c r="K937" i="2" s="1"/>
  <c r="I936" i="2"/>
  <c r="K936" i="2" s="1"/>
  <c r="Q935" i="2"/>
  <c r="Q933" i="2"/>
  <c r="Q932" i="2"/>
  <c r="Q931" i="2"/>
  <c r="I930" i="2"/>
  <c r="K930" i="2" s="1"/>
  <c r="Q929" i="2"/>
  <c r="I928" i="2"/>
  <c r="K928" i="2" s="1"/>
  <c r="I927" i="2"/>
  <c r="I926" i="2"/>
  <c r="K926" i="2" s="1"/>
  <c r="Q925" i="2"/>
  <c r="I923" i="2"/>
  <c r="K923" i="2" s="1"/>
  <c r="I922" i="2"/>
  <c r="Q920" i="2"/>
  <c r="Q919" i="2"/>
  <c r="M918" i="2"/>
  <c r="Q917" i="2"/>
  <c r="M916" i="2"/>
  <c r="I913" i="2"/>
  <c r="I912" i="2"/>
  <c r="K912" i="2" s="1"/>
  <c r="I911" i="2"/>
  <c r="I910" i="2"/>
  <c r="K910" i="2" s="1"/>
  <c r="I909" i="2"/>
  <c r="K909" i="2" s="1"/>
  <c r="I908" i="2"/>
  <c r="Q907" i="2"/>
  <c r="I905" i="2"/>
  <c r="K905" i="2" s="1"/>
  <c r="I904" i="2"/>
  <c r="K904" i="2" s="1"/>
  <c r="I903" i="2"/>
  <c r="I902" i="2"/>
  <c r="I901" i="2"/>
  <c r="K901" i="2" s="1"/>
  <c r="I900" i="2"/>
  <c r="K900" i="2" s="1"/>
  <c r="I899" i="2"/>
  <c r="I898" i="2"/>
  <c r="K898" i="2" s="1"/>
  <c r="Q897" i="2"/>
  <c r="I895" i="2"/>
  <c r="Q895" i="2" s="1"/>
  <c r="I894" i="2"/>
  <c r="K894" i="2" s="1"/>
  <c r="Q892" i="2"/>
  <c r="M891" i="2"/>
  <c r="O891" i="2" s="1"/>
  <c r="Q889" i="2"/>
  <c r="Q888" i="2"/>
  <c r="M887" i="2"/>
  <c r="Q885" i="2"/>
  <c r="Q884" i="2"/>
  <c r="Q883" i="2"/>
  <c r="Q882" i="2"/>
  <c r="I881" i="2"/>
  <c r="Q880" i="2"/>
  <c r="I878" i="2"/>
  <c r="K878" i="2" s="1"/>
  <c r="I877" i="2"/>
  <c r="K877" i="2" s="1"/>
  <c r="Q876" i="2"/>
  <c r="Q875" i="2"/>
  <c r="Q874" i="2"/>
  <c r="Q873" i="2"/>
  <c r="I872" i="2"/>
  <c r="Q872" i="2" s="1"/>
  <c r="Q871" i="2"/>
  <c r="I869" i="2"/>
  <c r="K869" i="2" s="1"/>
  <c r="I868" i="2"/>
  <c r="Q868" i="2" s="1"/>
  <c r="Q865" i="2"/>
  <c r="M864" i="2"/>
  <c r="Q864" i="2" s="1"/>
  <c r="Q863" i="2"/>
  <c r="Q861" i="2"/>
  <c r="M860" i="2"/>
  <c r="Q857" i="2"/>
  <c r="I856" i="2"/>
  <c r="Q855" i="2"/>
  <c r="I854" i="2"/>
  <c r="K854" i="2" s="1"/>
  <c r="I853" i="2"/>
  <c r="K853" i="2" s="1"/>
  <c r="Q852" i="2"/>
  <c r="I850" i="2"/>
  <c r="I849" i="2"/>
  <c r="Q848" i="2"/>
  <c r="I847" i="2"/>
  <c r="Q846" i="2"/>
  <c r="I845" i="2"/>
  <c r="K845" i="2" s="1"/>
  <c r="I844" i="2"/>
  <c r="K844" i="2" s="1"/>
  <c r="Q843" i="2"/>
  <c r="I841" i="2"/>
  <c r="I840" i="2"/>
  <c r="K840" i="2" s="1"/>
  <c r="I838" i="2"/>
  <c r="Q837" i="2"/>
  <c r="Q836" i="2"/>
  <c r="I835" i="2"/>
  <c r="K835" i="2" s="1"/>
  <c r="I834" i="2"/>
  <c r="K834" i="2" s="1"/>
  <c r="I833" i="2"/>
  <c r="Q832" i="2"/>
  <c r="I830" i="2"/>
  <c r="I829" i="2"/>
  <c r="I828" i="2"/>
  <c r="Q828" i="2" s="1"/>
  <c r="Q827" i="2"/>
  <c r="I826" i="2"/>
  <c r="Q826" i="2" s="1"/>
  <c r="I825" i="2"/>
  <c r="I824" i="2"/>
  <c r="Q823" i="2"/>
  <c r="Q821" i="2"/>
  <c r="Q820" i="2"/>
  <c r="Q818" i="2"/>
  <c r="M817" i="2"/>
  <c r="Q816" i="2"/>
  <c r="Q815" i="2"/>
  <c r="M814" i="2"/>
  <c r="I811" i="2"/>
  <c r="Q810" i="2"/>
  <c r="Q809" i="2"/>
  <c r="Q808" i="2"/>
  <c r="I807" i="2"/>
  <c r="K807" i="2" s="1"/>
  <c r="Q806" i="2"/>
  <c r="I804" i="2"/>
  <c r="Q804" i="2" s="1"/>
  <c r="I803" i="2"/>
  <c r="Q803" i="2" s="1"/>
  <c r="I802" i="2"/>
  <c r="K802" i="2" s="1"/>
  <c r="Q801" i="2"/>
  <c r="Q800" i="2"/>
  <c r="Q799" i="2"/>
  <c r="I798" i="2"/>
  <c r="Q797" i="2"/>
  <c r="I795" i="2"/>
  <c r="Q795" i="2" s="1"/>
  <c r="I794" i="2"/>
  <c r="K794" i="2" s="1"/>
  <c r="I791" i="2"/>
  <c r="Q790" i="2"/>
  <c r="I789" i="2"/>
  <c r="K789" i="2" s="1"/>
  <c r="Q788" i="2"/>
  <c r="Q787" i="2"/>
  <c r="I786" i="2"/>
  <c r="Q786" i="2" s="1"/>
  <c r="Q785" i="2"/>
  <c r="I783" i="2"/>
  <c r="K783" i="2" s="1"/>
  <c r="I782" i="2"/>
  <c r="I781" i="2"/>
  <c r="K781" i="2" s="1"/>
  <c r="Q780" i="2"/>
  <c r="I779" i="2"/>
  <c r="Q778" i="2"/>
  <c r="Q777" i="2"/>
  <c r="I776" i="2"/>
  <c r="K776" i="2" s="1"/>
  <c r="Q775" i="2"/>
  <c r="I773" i="2"/>
  <c r="K773" i="2" s="1"/>
  <c r="I772" i="2"/>
  <c r="Q770" i="2"/>
  <c r="M769" i="2"/>
  <c r="Q769" i="2" s="1"/>
  <c r="Q766" i="2"/>
  <c r="Q765" i="2"/>
  <c r="Q764" i="2"/>
  <c r="Q763" i="2"/>
  <c r="I762" i="2"/>
  <c r="K762" i="2" s="1"/>
  <c r="I760" i="2"/>
  <c r="K760" i="2" s="1"/>
  <c r="I759" i="2"/>
  <c r="K759" i="2" s="1"/>
  <c r="Q755" i="2"/>
  <c r="Q756" i="2"/>
  <c r="Q753" i="2"/>
  <c r="Q752" i="2"/>
  <c r="Q751" i="2"/>
  <c r="Q750" i="2"/>
  <c r="I749" i="2"/>
  <c r="K749" i="2" s="1"/>
  <c r="Q748" i="2"/>
  <c r="I746" i="2"/>
  <c r="K746" i="2" s="1"/>
  <c r="I745" i="2"/>
  <c r="K745" i="2" s="1"/>
  <c r="Q743" i="2"/>
  <c r="M742" i="2"/>
  <c r="Q740" i="2"/>
  <c r="Q739" i="2"/>
  <c r="Q738" i="2"/>
  <c r="Q737" i="2"/>
  <c r="Q736" i="2"/>
  <c r="I735" i="2"/>
  <c r="I734" i="2"/>
  <c r="Q734" i="2" s="1"/>
  <c r="I733" i="2"/>
  <c r="K733" i="2" s="1"/>
  <c r="Q731" i="2"/>
  <c r="Q730" i="2"/>
  <c r="Q729" i="2"/>
  <c r="Q728" i="2"/>
  <c r="Q727" i="2"/>
  <c r="I726" i="2"/>
  <c r="Q726" i="2" s="1"/>
  <c r="I725" i="2"/>
  <c r="K725" i="2" s="1"/>
  <c r="I724" i="2"/>
  <c r="Q722" i="2"/>
  <c r="Q721" i="2"/>
  <c r="Q720" i="2"/>
  <c r="Q719" i="2"/>
  <c r="I718" i="2"/>
  <c r="I717" i="2"/>
  <c r="I716" i="2"/>
  <c r="Q714" i="2"/>
  <c r="Q713" i="2"/>
  <c r="Q712" i="2"/>
  <c r="I711" i="2"/>
  <c r="K711" i="2" s="1"/>
  <c r="Q710" i="2"/>
  <c r="I708" i="2"/>
  <c r="I707" i="2"/>
  <c r="K707" i="2" s="1"/>
  <c r="Q705" i="2"/>
  <c r="M704" i="2"/>
  <c r="Q704" i="2" s="1"/>
  <c r="Q702" i="2"/>
  <c r="Q701" i="2"/>
  <c r="Q700" i="2"/>
  <c r="I699" i="2"/>
  <c r="Q698" i="2"/>
  <c r="I696" i="2"/>
  <c r="K696" i="2" s="1"/>
  <c r="I695" i="2"/>
  <c r="Q693" i="2"/>
  <c r="Q692" i="2"/>
  <c r="I691" i="2"/>
  <c r="Q690" i="2"/>
  <c r="I688" i="2"/>
  <c r="Q688" i="2" s="1"/>
  <c r="I687" i="2"/>
  <c r="Q687" i="2" s="1"/>
  <c r="Q685" i="2"/>
  <c r="Q684" i="2"/>
  <c r="Q683" i="2"/>
  <c r="I682" i="2"/>
  <c r="I680" i="2" s="1"/>
  <c r="Q681" i="2"/>
  <c r="I679" i="2"/>
  <c r="K679" i="2" s="1"/>
  <c r="I678" i="2"/>
  <c r="K678" i="2" s="1"/>
  <c r="Q676" i="2"/>
  <c r="M675" i="2"/>
  <c r="Q673" i="2"/>
  <c r="Q672" i="2"/>
  <c r="Q671" i="2"/>
  <c r="I670" i="2"/>
  <c r="I668" i="2" s="1"/>
  <c r="Q669" i="2"/>
  <c r="I667" i="2"/>
  <c r="Q667" i="2" s="1"/>
  <c r="I666" i="2"/>
  <c r="K666" i="2" s="1"/>
  <c r="Q664" i="2"/>
  <c r="M663" i="2"/>
  <c r="Q661" i="2"/>
  <c r="Q660" i="2"/>
  <c r="Q659" i="2"/>
  <c r="I658" i="2"/>
  <c r="Q658" i="2" s="1"/>
  <c r="Q657" i="2"/>
  <c r="I655" i="2"/>
  <c r="K655" i="2" s="1"/>
  <c r="I654" i="2"/>
  <c r="Q652" i="2"/>
  <c r="Q651" i="2"/>
  <c r="Q650" i="2"/>
  <c r="I649" i="2"/>
  <c r="Q648" i="2"/>
  <c r="I646" i="2"/>
  <c r="K646" i="2" s="1"/>
  <c r="I645" i="2"/>
  <c r="K645" i="2" s="1"/>
  <c r="Q643" i="2"/>
  <c r="M642" i="2"/>
  <c r="Q641" i="2"/>
  <c r="M640" i="2"/>
  <c r="Q640" i="2" s="1"/>
  <c r="Q638" i="2"/>
  <c r="Q637" i="2"/>
  <c r="Q636" i="2"/>
  <c r="Q635" i="2"/>
  <c r="I634" i="2"/>
  <c r="I633" i="2"/>
  <c r="K633" i="2" s="1"/>
  <c r="I632" i="2"/>
  <c r="K632" i="2" s="1"/>
  <c r="M630" i="2"/>
  <c r="O630" i="2" s="1"/>
  <c r="Q627" i="2"/>
  <c r="Q626" i="2"/>
  <c r="Q625" i="2"/>
  <c r="Q624" i="2"/>
  <c r="I623" i="2"/>
  <c r="I622" i="2"/>
  <c r="K622" i="2" s="1"/>
  <c r="I621" i="2"/>
  <c r="Q619" i="2"/>
  <c r="Q618" i="2"/>
  <c r="Q617" i="2"/>
  <c r="I616" i="2"/>
  <c r="K616" i="2" s="1"/>
  <c r="Q615" i="2"/>
  <c r="I613" i="2"/>
  <c r="Q613" i="2" s="1"/>
  <c r="I612" i="2"/>
  <c r="Q610" i="2"/>
  <c r="Q609" i="2"/>
  <c r="Q608" i="2"/>
  <c r="Q607" i="2"/>
  <c r="I606" i="2"/>
  <c r="Q606" i="2" s="1"/>
  <c r="I605" i="2"/>
  <c r="Q605" i="2" s="1"/>
  <c r="I604" i="2"/>
  <c r="Q601" i="2"/>
  <c r="Q598" i="2"/>
  <c r="Q597" i="2"/>
  <c r="Q596" i="2"/>
  <c r="Q595" i="2"/>
  <c r="I594" i="2"/>
  <c r="Q593" i="2"/>
  <c r="I591" i="2"/>
  <c r="K591" i="2" s="1"/>
  <c r="I590" i="2"/>
  <c r="K590" i="2" s="1"/>
  <c r="Q588" i="2"/>
  <c r="Q587" i="2"/>
  <c r="Q586" i="2"/>
  <c r="Q585" i="2"/>
  <c r="Q584" i="2"/>
  <c r="Q583" i="2"/>
  <c r="Q582" i="2"/>
  <c r="Q581" i="2"/>
  <c r="Q580" i="2"/>
  <c r="I579" i="2"/>
  <c r="B577" i="2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Q524" i="2"/>
  <c r="Q523" i="2"/>
  <c r="Q522" i="2"/>
  <c r="M521" i="2"/>
  <c r="Q520" i="2"/>
  <c r="Q519" i="2"/>
  <c r="M518" i="2"/>
  <c r="O518" i="2" s="1"/>
  <c r="M517" i="2"/>
  <c r="Q517" i="2" s="1"/>
  <c r="Q516" i="2"/>
  <c r="Q515" i="2"/>
  <c r="M514" i="2"/>
  <c r="Q513" i="2"/>
  <c r="M512" i="2"/>
  <c r="Q512" i="2" s="1"/>
  <c r="M511" i="2"/>
  <c r="O511" i="2" s="1"/>
  <c r="M510" i="2"/>
  <c r="Q509" i="2"/>
  <c r="Q508" i="2"/>
  <c r="Q507" i="2"/>
  <c r="Q506" i="2"/>
  <c r="Q505" i="2"/>
  <c r="Q504" i="2"/>
  <c r="Q503" i="2"/>
  <c r="Q502" i="2"/>
  <c r="Q501" i="2"/>
  <c r="M500" i="2"/>
  <c r="O500" i="2" s="1"/>
  <c r="Q499" i="2"/>
  <c r="Q498" i="2"/>
  <c r="M497" i="2"/>
  <c r="Q497" i="2" s="1"/>
  <c r="Q494" i="2"/>
  <c r="Q493" i="2"/>
  <c r="Q492" i="2"/>
  <c r="M491" i="2"/>
  <c r="O491" i="2" s="1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0" i="2"/>
  <c r="Q469" i="2"/>
  <c r="Q468" i="2"/>
  <c r="Q467" i="2"/>
  <c r="Q461" i="2"/>
  <c r="I460" i="2"/>
  <c r="Q460" i="2" s="1"/>
  <c r="Q459" i="2"/>
  <c r="I458" i="2"/>
  <c r="I454" i="2" s="1"/>
  <c r="Q454" i="2" s="1"/>
  <c r="Q457" i="2"/>
  <c r="Q456" i="2"/>
  <c r="Q455" i="2"/>
  <c r="I453" i="2"/>
  <c r="I452" i="2"/>
  <c r="Q450" i="2"/>
  <c r="Q448" i="2"/>
  <c r="I447" i="2"/>
  <c r="I446" i="2"/>
  <c r="Q445" i="2"/>
  <c r="Q444" i="2"/>
  <c r="Q443" i="2"/>
  <c r="Q442" i="2"/>
  <c r="I441" i="2"/>
  <c r="Q440" i="2"/>
  <c r="Q439" i="2"/>
  <c r="I438" i="2"/>
  <c r="I437" i="2"/>
  <c r="Q437" i="2" s="1"/>
  <c r="Q434" i="2"/>
  <c r="I433" i="2"/>
  <c r="B432" i="2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Q395" i="2"/>
  <c r="Q394" i="2"/>
  <c r="Q393" i="2"/>
  <c r="I392" i="2"/>
  <c r="Q392" i="2" s="1"/>
  <c r="Q390" i="2"/>
  <c r="Q389" i="2"/>
  <c r="I388" i="2"/>
  <c r="Q386" i="2"/>
  <c r="I385" i="2"/>
  <c r="Q383" i="2"/>
  <c r="M382" i="2"/>
  <c r="Q381" i="2"/>
  <c r="I380" i="2"/>
  <c r="Q380" i="2" s="1"/>
  <c r="Q377" i="2"/>
  <c r="M376" i="2"/>
  <c r="M365" i="2" s="1"/>
  <c r="Q375" i="2"/>
  <c r="I374" i="2"/>
  <c r="I373" i="2"/>
  <c r="Q372" i="2"/>
  <c r="Q371" i="2"/>
  <c r="Q370" i="2"/>
  <c r="Q369" i="2"/>
  <c r="Q367" i="2"/>
  <c r="Q366" i="2"/>
  <c r="Q363" i="2"/>
  <c r="M362" i="2"/>
  <c r="Q362" i="2" s="1"/>
  <c r="I359" i="2"/>
  <c r="I358" i="2" s="1"/>
  <c r="Q356" i="2"/>
  <c r="M355" i="2"/>
  <c r="Q355" i="2" s="1"/>
  <c r="Q354" i="2"/>
  <c r="M353" i="2"/>
  <c r="Q351" i="2"/>
  <c r="I350" i="2"/>
  <c r="Q349" i="2"/>
  <c r="I348" i="2"/>
  <c r="Q348" i="2" s="1"/>
  <c r="Q347" i="2"/>
  <c r="Q346" i="2"/>
  <c r="Q345" i="2"/>
  <c r="Q344" i="2"/>
  <c r="I343" i="2"/>
  <c r="K343" i="2" s="1"/>
  <c r="Q342" i="2"/>
  <c r="Q341" i="2"/>
  <c r="Q339" i="2"/>
  <c r="Q338" i="2"/>
  <c r="B337" i="2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Q307" i="2"/>
  <c r="Q306" i="2"/>
  <c r="Q305" i="2"/>
  <c r="Q304" i="2"/>
  <c r="I303" i="2"/>
  <c r="K303" i="2" s="1"/>
  <c r="Q300" i="2"/>
  <c r="M299" i="2"/>
  <c r="Q299" i="2" s="1"/>
  <c r="Q298" i="2"/>
  <c r="M297" i="2"/>
  <c r="Q295" i="2"/>
  <c r="Q294" i="2"/>
  <c r="Q293" i="2"/>
  <c r="Q292" i="2"/>
  <c r="I291" i="2"/>
  <c r="Q291" i="2" s="1"/>
  <c r="Q289" i="2"/>
  <c r="Q288" i="2"/>
  <c r="I287" i="2"/>
  <c r="K287" i="2" s="1"/>
  <c r="Q286" i="2"/>
  <c r="Q285" i="2"/>
  <c r="Q284" i="2"/>
  <c r="Q282" i="2"/>
  <c r="Q281" i="2"/>
  <c r="I278" i="2"/>
  <c r="Q277" i="2"/>
  <c r="Q276" i="2"/>
  <c r="Q275" i="2"/>
  <c r="Q274" i="2"/>
  <c r="I273" i="2"/>
  <c r="Q273" i="2" s="1"/>
  <c r="Q272" i="2"/>
  <c r="Q271" i="2"/>
  <c r="Q268" i="2"/>
  <c r="I267" i="2"/>
  <c r="Q267" i="2" s="1"/>
  <c r="Q265" i="2"/>
  <c r="Q264" i="2"/>
  <c r="Q263" i="2"/>
  <c r="Q262" i="2"/>
  <c r="I261" i="2"/>
  <c r="Q260" i="2"/>
  <c r="Q259" i="2"/>
  <c r="Q257" i="2"/>
  <c r="I256" i="2"/>
  <c r="Q254" i="2"/>
  <c r="I253" i="2"/>
  <c r="K253" i="2" s="1"/>
  <c r="I252" i="2"/>
  <c r="K252" i="2" s="1"/>
  <c r="Q251" i="2"/>
  <c r="Q250" i="2"/>
  <c r="Q248" i="2"/>
  <c r="Q247" i="2"/>
  <c r="Q245" i="2"/>
  <c r="Q244" i="2"/>
  <c r="I243" i="2"/>
  <c r="Q243" i="2" s="1"/>
  <c r="Q242" i="2"/>
  <c r="B241" i="2"/>
  <c r="B242" i="2" s="1"/>
  <c r="B243" i="2" s="1"/>
  <c r="B244" i="2" s="1"/>
  <c r="B245" i="2" s="1"/>
  <c r="B246" i="2" s="1"/>
  <c r="B247" i="2" s="1"/>
  <c r="Q198" i="2"/>
  <c r="M197" i="2"/>
  <c r="Q195" i="2"/>
  <c r="Q194" i="2"/>
  <c r="I193" i="2"/>
  <c r="Q191" i="2"/>
  <c r="M190" i="2"/>
  <c r="Q190" i="2" s="1"/>
  <c r="Q189" i="2"/>
  <c r="M188" i="2"/>
  <c r="Q188" i="2" s="1"/>
  <c r="I185" i="2"/>
  <c r="Q184" i="2"/>
  <c r="I183" i="2"/>
  <c r="K183" i="2" s="1"/>
  <c r="I182" i="2"/>
  <c r="Q182" i="2" s="1"/>
  <c r="Q181" i="2"/>
  <c r="Q178" i="2"/>
  <c r="I177" i="2"/>
  <c r="Q176" i="2"/>
  <c r="I175" i="2"/>
  <c r="Q175" i="2" s="1"/>
  <c r="Q173" i="2"/>
  <c r="Q172" i="2"/>
  <c r="M171" i="2"/>
  <c r="M157" i="2" s="1"/>
  <c r="Q170" i="2"/>
  <c r="I169" i="2"/>
  <c r="I167" i="2"/>
  <c r="Q167" i="2" s="1"/>
  <c r="Q166" i="2"/>
  <c r="I165" i="2"/>
  <c r="Q164" i="2"/>
  <c r="I163" i="2"/>
  <c r="Q163" i="2" s="1"/>
  <c r="I162" i="2"/>
  <c r="Q162" i="2" s="1"/>
  <c r="I161" i="2"/>
  <c r="I159" i="2"/>
  <c r="K159" i="2" s="1"/>
  <c r="I158" i="2"/>
  <c r="Q156" i="2"/>
  <c r="M155" i="2"/>
  <c r="Q154" i="2"/>
  <c r="Q153" i="2"/>
  <c r="Q152" i="2"/>
  <c r="Q151" i="2"/>
  <c r="Q150" i="2"/>
  <c r="Q149" i="2"/>
  <c r="Q148" i="2"/>
  <c r="I147" i="2"/>
  <c r="Q146" i="2"/>
  <c r="Q145" i="2"/>
  <c r="Q143" i="2"/>
  <c r="Q142" i="2"/>
  <c r="Q141" i="2"/>
  <c r="Q140" i="2"/>
  <c r="M139" i="2"/>
  <c r="Q139" i="2" s="1"/>
  <c r="Q138" i="2"/>
  <c r="Q137" i="2"/>
  <c r="M136" i="2"/>
  <c r="Q133" i="2"/>
  <c r="I132" i="2"/>
  <c r="I130" i="2"/>
  <c r="Q130" i="2" s="1"/>
  <c r="Q129" i="2"/>
  <c r="Q126" i="2"/>
  <c r="M125" i="2"/>
  <c r="Q121" i="2"/>
  <c r="Q120" i="2"/>
  <c r="I119" i="2"/>
  <c r="M117" i="2"/>
  <c r="O117" i="2" s="1"/>
  <c r="Q115" i="2"/>
  <c r="Q114" i="2"/>
  <c r="M113" i="2"/>
  <c r="Q113" i="2" s="1"/>
  <c r="Q111" i="2"/>
  <c r="Q110" i="2"/>
  <c r="I109" i="2"/>
  <c r="Q107" i="2"/>
  <c r="I106" i="2"/>
  <c r="Q106" i="2" s="1"/>
  <c r="I103" i="2"/>
  <c r="K103" i="2" s="1"/>
  <c r="B101" i="2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Q88" i="2"/>
  <c r="I87" i="2"/>
  <c r="Q87" i="2" s="1"/>
  <c r="Q85" i="2"/>
  <c r="I84" i="2"/>
  <c r="Q84" i="2" s="1"/>
  <c r="Q82" i="2"/>
  <c r="I81" i="2"/>
  <c r="Q81" i="2" s="1"/>
  <c r="Q80" i="2"/>
  <c r="I79" i="2"/>
  <c r="Q79" i="2" s="1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M77" i="2"/>
  <c r="G7" i="3" s="1"/>
  <c r="I7" i="3" s="1"/>
  <c r="S1421" i="2" l="1"/>
  <c r="S1351" i="2"/>
  <c r="S648" i="2"/>
  <c r="S657" i="2"/>
  <c r="S752" i="2"/>
  <c r="S778" i="2"/>
  <c r="S800" i="2"/>
  <c r="S815" i="2"/>
  <c r="S820" i="2"/>
  <c r="S832" i="2"/>
  <c r="S857" i="2"/>
  <c r="S876" i="2"/>
  <c r="S884" i="2"/>
  <c r="S892" i="2"/>
  <c r="S987" i="2"/>
  <c r="S1011" i="2"/>
  <c r="S1027" i="2"/>
  <c r="S1043" i="2"/>
  <c r="S1059" i="2"/>
  <c r="S1080" i="2"/>
  <c r="S1252" i="2"/>
  <c r="S1300" i="2"/>
  <c r="S1330" i="2"/>
  <c r="S1334" i="2"/>
  <c r="O1374" i="2"/>
  <c r="R951" i="2"/>
  <c r="J948" i="2"/>
  <c r="B248" i="2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1836" i="2"/>
  <c r="B1837" i="2" s="1"/>
  <c r="B1838" i="2" s="1"/>
  <c r="B1839" i="2" s="1"/>
  <c r="B1840" i="2" s="1"/>
  <c r="B1841" i="2" s="1"/>
  <c r="S1417" i="2"/>
  <c r="S1446" i="2"/>
  <c r="S1460" i="2"/>
  <c r="S1464" i="2"/>
  <c r="R924" i="2"/>
  <c r="J921" i="2"/>
  <c r="R774" i="2"/>
  <c r="J771" i="2"/>
  <c r="R896" i="2"/>
  <c r="J893" i="2"/>
  <c r="R842" i="2"/>
  <c r="J839" i="2"/>
  <c r="R796" i="2"/>
  <c r="J793" i="2"/>
  <c r="R1594" i="2"/>
  <c r="S974" i="2"/>
  <c r="S978" i="2"/>
  <c r="S1006" i="2"/>
  <c r="S1022" i="2"/>
  <c r="S1038" i="2"/>
  <c r="S1054" i="2"/>
  <c r="S1070" i="2"/>
  <c r="S1195" i="2"/>
  <c r="S1199" i="2"/>
  <c r="S1207" i="2"/>
  <c r="S1227" i="2"/>
  <c r="S1259" i="2"/>
  <c r="S1263" i="2"/>
  <c r="S1280" i="2"/>
  <c r="S925" i="2"/>
  <c r="S933" i="2"/>
  <c r="S848" i="2"/>
  <c r="S889" i="2"/>
  <c r="S491" i="2"/>
  <c r="B1547" i="2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Q1608" i="2"/>
  <c r="S1502" i="2"/>
  <c r="S1092" i="2"/>
  <c r="S1120" i="2"/>
  <c r="S1148" i="2"/>
  <c r="S1176" i="2"/>
  <c r="S1456" i="2"/>
  <c r="S608" i="2"/>
  <c r="S625" i="2"/>
  <c r="S637" i="2"/>
  <c r="S672" i="2"/>
  <c r="S748" i="2"/>
  <c r="S770" i="2"/>
  <c r="S790" i="2"/>
  <c r="S836" i="2"/>
  <c r="S880" i="2"/>
  <c r="S897" i="2"/>
  <c r="S955" i="2"/>
  <c r="S983" i="2"/>
  <c r="S1164" i="2"/>
  <c r="S1172" i="2"/>
  <c r="S1180" i="2"/>
  <c r="S1188" i="2"/>
  <c r="S1268" i="2"/>
  <c r="S1272" i="2"/>
  <c r="S1352" i="2"/>
  <c r="S1380" i="2"/>
  <c r="S1426" i="2"/>
  <c r="S1435" i="2"/>
  <c r="S616" i="2"/>
  <c r="S678" i="2"/>
  <c r="S759" i="2"/>
  <c r="S853" i="2"/>
  <c r="S909" i="2"/>
  <c r="S1084" i="2"/>
  <c r="S1112" i="2"/>
  <c r="S1140" i="2"/>
  <c r="S690" i="2"/>
  <c r="S713" i="2"/>
  <c r="S721" i="2"/>
  <c r="S729" i="2"/>
  <c r="S975" i="2"/>
  <c r="S979" i="2"/>
  <c r="S1003" i="2"/>
  <c r="S1019" i="2"/>
  <c r="S1035" i="2"/>
  <c r="S1051" i="2"/>
  <c r="S1067" i="2"/>
  <c r="S1071" i="2"/>
  <c r="S1196" i="2"/>
  <c r="S1204" i="2"/>
  <c r="S1208" i="2"/>
  <c r="S1228" i="2"/>
  <c r="S1260" i="2"/>
  <c r="S1264" i="2"/>
  <c r="S1277" i="2"/>
  <c r="S1281" i="2"/>
  <c r="S1404" i="2"/>
  <c r="S1408" i="2"/>
  <c r="S1431" i="2"/>
  <c r="S590" i="2"/>
  <c r="S633" i="2"/>
  <c r="S725" i="2"/>
  <c r="S845" i="2"/>
  <c r="S901" i="2"/>
  <c r="S905" i="2"/>
  <c r="S926" i="2"/>
  <c r="S930" i="2"/>
  <c r="S1224" i="2"/>
  <c r="S652" i="2"/>
  <c r="S661" i="2"/>
  <c r="S705" i="2"/>
  <c r="S738" i="2"/>
  <c r="S763" i="2"/>
  <c r="S808" i="2"/>
  <c r="S945" i="2"/>
  <c r="S963" i="2"/>
  <c r="S1088" i="2"/>
  <c r="S1096" i="2"/>
  <c r="S1108" i="2"/>
  <c r="S1116" i="2"/>
  <c r="S1124" i="2"/>
  <c r="S1136" i="2"/>
  <c r="S1144" i="2"/>
  <c r="S1152" i="2"/>
  <c r="S1212" i="2"/>
  <c r="S1216" i="2"/>
  <c r="S1236" i="2"/>
  <c r="S1244" i="2"/>
  <c r="S1256" i="2"/>
  <c r="S1285" i="2"/>
  <c r="S1289" i="2"/>
  <c r="S1304" i="2"/>
  <c r="S1308" i="2"/>
  <c r="S1363" i="2"/>
  <c r="S1367" i="2"/>
  <c r="S1400" i="2"/>
  <c r="S1439" i="2"/>
  <c r="B371" i="2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K158" i="2"/>
  <c r="S158" i="2" s="1"/>
  <c r="B1706" i="2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R160" i="2"/>
  <c r="B1494" i="2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S928" i="2"/>
  <c r="S500" i="2"/>
  <c r="S511" i="2"/>
  <c r="R1513" i="2"/>
  <c r="N1512" i="2"/>
  <c r="S583" i="2"/>
  <c r="S587" i="2"/>
  <c r="S710" i="2"/>
  <c r="S739" i="2"/>
  <c r="B1358" i="2"/>
  <c r="B1359" i="2" s="1"/>
  <c r="B1360" i="2" s="1"/>
  <c r="B1361" i="2" s="1"/>
  <c r="B1362" i="2" s="1"/>
  <c r="B1363" i="2" s="1"/>
  <c r="B1364" i="2" s="1"/>
  <c r="B1365" i="2" s="1"/>
  <c r="B1366" i="2" s="1"/>
  <c r="S762" i="2"/>
  <c r="S773" i="2"/>
  <c r="S807" i="2"/>
  <c r="S1091" i="2"/>
  <c r="S1119" i="2"/>
  <c r="S1147" i="2"/>
  <c r="S1366" i="2"/>
  <c r="S1370" i="2"/>
  <c r="S1385" i="2"/>
  <c r="S1438" i="2"/>
  <c r="S1492" i="2"/>
  <c r="S1496" i="2"/>
  <c r="S55" i="2"/>
  <c r="S1335" i="2"/>
  <c r="S1327" i="2"/>
  <c r="S1491" i="2"/>
  <c r="S1495" i="2"/>
  <c r="S1511" i="2"/>
  <c r="S1523" i="2"/>
  <c r="S34" i="2"/>
  <c r="S111" i="2"/>
  <c r="S164" i="2"/>
  <c r="S1331" i="2"/>
  <c r="S591" i="2"/>
  <c r="S696" i="2"/>
  <c r="S745" i="2"/>
  <c r="S107" i="2"/>
  <c r="S129" i="2"/>
  <c r="S137" i="2"/>
  <c r="S151" i="2"/>
  <c r="S1328" i="2"/>
  <c r="S1507" i="2"/>
  <c r="S776" i="2"/>
  <c r="S788" i="2"/>
  <c r="S888" i="2"/>
  <c r="S932" i="2"/>
  <c r="S940" i="2"/>
  <c r="S965" i="2"/>
  <c r="S977" i="2"/>
  <c r="S1005" i="2"/>
  <c r="S1021" i="2"/>
  <c r="S1037" i="2"/>
  <c r="S1053" i="2"/>
  <c r="S1069" i="2"/>
  <c r="S1073" i="2"/>
  <c r="S1162" i="2"/>
  <c r="S1198" i="2"/>
  <c r="S1206" i="2"/>
  <c r="S1226" i="2"/>
  <c r="S1258" i="2"/>
  <c r="S1262" i="2"/>
  <c r="S1279" i="2"/>
  <c r="S1318" i="2"/>
  <c r="S1505" i="2"/>
  <c r="S580" i="2"/>
  <c r="S584" i="2"/>
  <c r="S588" i="2"/>
  <c r="S1377" i="2"/>
  <c r="S1406" i="2"/>
  <c r="S1429" i="2"/>
  <c r="S1441" i="2"/>
  <c r="I283" i="2"/>
  <c r="Q283" i="2" s="1"/>
  <c r="O155" i="2"/>
  <c r="S155" i="2" s="1"/>
  <c r="R1319" i="2"/>
  <c r="J1316" i="2"/>
  <c r="S912" i="2"/>
  <c r="S937" i="2"/>
  <c r="S1437" i="2"/>
  <c r="S766" i="2"/>
  <c r="S785" i="2"/>
  <c r="S823" i="2"/>
  <c r="S852" i="2"/>
  <c r="S929" i="2"/>
  <c r="S962" i="2"/>
  <c r="S990" i="2"/>
  <c r="S1087" i="2"/>
  <c r="S1095" i="2"/>
  <c r="S1103" i="2"/>
  <c r="S1115" i="2"/>
  <c r="S1123" i="2"/>
  <c r="S1131" i="2"/>
  <c r="S1143" i="2"/>
  <c r="S1151" i="2"/>
  <c r="S1159" i="2"/>
  <c r="S1215" i="2"/>
  <c r="S1235" i="2"/>
  <c r="S1243" i="2"/>
  <c r="S1255" i="2"/>
  <c r="S1288" i="2"/>
  <c r="S1307" i="2"/>
  <c r="S1315" i="2"/>
  <c r="S1365" i="2"/>
  <c r="S1369" i="2"/>
  <c r="S1450" i="2"/>
  <c r="S1490" i="2"/>
  <c r="S1494" i="2"/>
  <c r="S1510" i="2"/>
  <c r="S733" i="2"/>
  <c r="S789" i="2"/>
  <c r="S844" i="2"/>
  <c r="S900" i="2"/>
  <c r="S904" i="2"/>
  <c r="S1358" i="2"/>
  <c r="S777" i="2"/>
  <c r="S799" i="2"/>
  <c r="S827" i="2"/>
  <c r="S865" i="2"/>
  <c r="S875" i="2"/>
  <c r="S883" i="2"/>
  <c r="S969" i="2"/>
  <c r="S986" i="2"/>
  <c r="S998" i="2"/>
  <c r="S1014" i="2"/>
  <c r="S1030" i="2"/>
  <c r="S1046" i="2"/>
  <c r="S1062" i="2"/>
  <c r="S1079" i="2"/>
  <c r="S1251" i="2"/>
  <c r="S1299" i="2"/>
  <c r="S1333" i="2"/>
  <c r="S1398" i="2"/>
  <c r="S1420" i="2"/>
  <c r="S781" i="2"/>
  <c r="S835" i="2"/>
  <c r="S840" i="2"/>
  <c r="S607" i="2"/>
  <c r="S615" i="2"/>
  <c r="S624" i="2"/>
  <c r="S636" i="2"/>
  <c r="S671" i="2"/>
  <c r="S702" i="2"/>
  <c r="S743" i="2"/>
  <c r="S871" i="2"/>
  <c r="S920" i="2"/>
  <c r="S954" i="2"/>
  <c r="S958" i="2"/>
  <c r="S982" i="2"/>
  <c r="S994" i="2"/>
  <c r="S1167" i="2"/>
  <c r="S1179" i="2"/>
  <c r="S1187" i="2"/>
  <c r="S1191" i="2"/>
  <c r="S1267" i="2"/>
  <c r="S1271" i="2"/>
  <c r="S1295" i="2"/>
  <c r="S1382" i="2"/>
  <c r="S1411" i="2"/>
  <c r="S1458" i="2"/>
  <c r="S1462" i="2"/>
  <c r="S1466" i="2"/>
  <c r="S1522" i="2"/>
  <c r="Q923" i="2"/>
  <c r="I1501" i="2"/>
  <c r="Q1501" i="2" s="1"/>
  <c r="K193" i="2"/>
  <c r="S193" i="2" s="1"/>
  <c r="S518" i="2"/>
  <c r="S645" i="2"/>
  <c r="S63" i="2"/>
  <c r="S150" i="2"/>
  <c r="S154" i="2"/>
  <c r="S173" i="2"/>
  <c r="S189" i="2"/>
  <c r="S195" i="2"/>
  <c r="S617" i="2"/>
  <c r="S753" i="2"/>
  <c r="S29" i="2"/>
  <c r="S59" i="2"/>
  <c r="S67" i="2"/>
  <c r="S141" i="2"/>
  <c r="S146" i="2"/>
  <c r="S609" i="2"/>
  <c r="S626" i="2"/>
  <c r="S638" i="2"/>
  <c r="S664" i="2"/>
  <c r="S673" i="2"/>
  <c r="S700" i="2"/>
  <c r="B607" i="2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O742" i="2"/>
  <c r="S742" i="2" s="1"/>
  <c r="S622" i="2"/>
  <c r="S679" i="2"/>
  <c r="S749" i="2"/>
  <c r="O860" i="2"/>
  <c r="S860" i="2" s="1"/>
  <c r="O916" i="2"/>
  <c r="S916" i="2" s="1"/>
  <c r="K1163" i="2"/>
  <c r="S1163" i="2" s="1"/>
  <c r="S120" i="2"/>
  <c r="S133" i="2"/>
  <c r="S595" i="2"/>
  <c r="S669" i="2"/>
  <c r="S683" i="2"/>
  <c r="S714" i="2"/>
  <c r="S722" i="2"/>
  <c r="S730" i="2"/>
  <c r="K735" i="2"/>
  <c r="S735" i="2" s="1"/>
  <c r="O817" i="2"/>
  <c r="S817" i="2" s="1"/>
  <c r="K1600" i="2"/>
  <c r="S1600" i="2" s="1"/>
  <c r="S30" i="2"/>
  <c r="S60" i="2"/>
  <c r="S68" i="2"/>
  <c r="S114" i="2"/>
  <c r="S142" i="2"/>
  <c r="S156" i="2"/>
  <c r="S178" i="2"/>
  <c r="S191" i="2"/>
  <c r="K119" i="2"/>
  <c r="S119" i="2" s="1"/>
  <c r="S183" i="2"/>
  <c r="K1284" i="2"/>
  <c r="S1284" i="2" s="1"/>
  <c r="Q1610" i="2"/>
  <c r="I1620" i="2"/>
  <c r="Q1620" i="2" s="1"/>
  <c r="K1786" i="2"/>
  <c r="S1786" i="2" s="1"/>
  <c r="S25" i="2"/>
  <c r="S41" i="2"/>
  <c r="S47" i="2"/>
  <c r="S121" i="2"/>
  <c r="S198" i="2"/>
  <c r="O382" i="2"/>
  <c r="S382" i="2" s="1"/>
  <c r="S1185" i="2"/>
  <c r="S596" i="2"/>
  <c r="M1419" i="2"/>
  <c r="S655" i="2"/>
  <c r="S666" i="2"/>
  <c r="S707" i="2"/>
  <c r="K995" i="2"/>
  <c r="S995" i="2" s="1"/>
  <c r="S601" i="2"/>
  <c r="S610" i="2"/>
  <c r="S627" i="2"/>
  <c r="S635" i="2"/>
  <c r="S692" i="2"/>
  <c r="S701" i="2"/>
  <c r="S787" i="2"/>
  <c r="S861" i="2"/>
  <c r="S931" i="2"/>
  <c r="S939" i="2"/>
  <c r="S976" i="2"/>
  <c r="S980" i="2"/>
  <c r="S1004" i="2"/>
  <c r="S1020" i="2"/>
  <c r="S1036" i="2"/>
  <c r="S1052" i="2"/>
  <c r="S1068" i="2"/>
  <c r="S1072" i="2"/>
  <c r="S1161" i="2"/>
  <c r="S1197" i="2"/>
  <c r="S1205" i="2"/>
  <c r="S1229" i="2"/>
  <c r="S1261" i="2"/>
  <c r="S1265" i="2"/>
  <c r="S1278" i="2"/>
  <c r="S1317" i="2"/>
  <c r="S1332" i="2"/>
  <c r="S1336" i="2"/>
  <c r="K1519" i="2"/>
  <c r="S1519" i="2" s="1"/>
  <c r="S693" i="2"/>
  <c r="Q783" i="2"/>
  <c r="K1759" i="2"/>
  <c r="S1759" i="2" s="1"/>
  <c r="S138" i="2"/>
  <c r="S148" i="2"/>
  <c r="S152" i="2"/>
  <c r="K350" i="2"/>
  <c r="S350" i="2" s="1"/>
  <c r="S646" i="2"/>
  <c r="S746" i="2"/>
  <c r="M768" i="2"/>
  <c r="Q768" i="2" s="1"/>
  <c r="S854" i="2"/>
  <c r="S910" i="2"/>
  <c r="O944" i="2"/>
  <c r="S944" i="2" s="1"/>
  <c r="K1018" i="2"/>
  <c r="S1018" i="2" s="1"/>
  <c r="K1257" i="2"/>
  <c r="S1257" i="2" s="1"/>
  <c r="I1692" i="2"/>
  <c r="Q1692" i="2" s="1"/>
  <c r="S61" i="2"/>
  <c r="S115" i="2"/>
  <c r="S143" i="2"/>
  <c r="S684" i="2"/>
  <c r="S719" i="2"/>
  <c r="S727" i="2"/>
  <c r="S731" i="2"/>
  <c r="S764" i="2"/>
  <c r="S809" i="2"/>
  <c r="S846" i="2"/>
  <c r="S1000" i="2"/>
  <c r="S1016" i="2"/>
  <c r="S1032" i="2"/>
  <c r="S1048" i="2"/>
  <c r="S1064" i="2"/>
  <c r="S1089" i="2"/>
  <c r="S1101" i="2"/>
  <c r="S1109" i="2"/>
  <c r="S1117" i="2"/>
  <c r="S1129" i="2"/>
  <c r="S1137" i="2"/>
  <c r="S1145" i="2"/>
  <c r="S1157" i="2"/>
  <c r="S1213" i="2"/>
  <c r="S1233" i="2"/>
  <c r="S1241" i="2"/>
  <c r="S1245" i="2"/>
  <c r="S1286" i="2"/>
  <c r="S1305" i="2"/>
  <c r="S1309" i="2"/>
  <c r="S1353" i="2"/>
  <c r="S1381" i="2"/>
  <c r="S1427" i="2"/>
  <c r="S1447" i="2"/>
  <c r="S1461" i="2"/>
  <c r="S1465" i="2"/>
  <c r="S1504" i="2"/>
  <c r="J1823" i="2"/>
  <c r="R1823" i="2" s="1"/>
  <c r="S783" i="2"/>
  <c r="S877" i="2"/>
  <c r="O887" i="2"/>
  <c r="S887" i="2" s="1"/>
  <c r="S898" i="2"/>
  <c r="S1169" i="2"/>
  <c r="S15" i="2"/>
  <c r="S27" i="2"/>
  <c r="S42" i="2"/>
  <c r="S57" i="2"/>
  <c r="S126" i="2"/>
  <c r="S166" i="2"/>
  <c r="S184" i="2"/>
  <c r="J1311" i="2"/>
  <c r="R1311" i="2" s="1"/>
  <c r="S597" i="2"/>
  <c r="S641" i="2"/>
  <c r="S650" i="2"/>
  <c r="S659" i="2"/>
  <c r="S676" i="2"/>
  <c r="S736" i="2"/>
  <c r="S740" i="2"/>
  <c r="S801" i="2"/>
  <c r="S816" i="2"/>
  <c r="S821" i="2"/>
  <c r="S873" i="2"/>
  <c r="S885" i="2"/>
  <c r="S917" i="2"/>
  <c r="S947" i="2"/>
  <c r="S960" i="2"/>
  <c r="S988" i="2"/>
  <c r="S996" i="2"/>
  <c r="S1012" i="2"/>
  <c r="S1028" i="2"/>
  <c r="S1044" i="2"/>
  <c r="S1060" i="2"/>
  <c r="S1077" i="2"/>
  <c r="S1081" i="2"/>
  <c r="S1249" i="2"/>
  <c r="S1253" i="2"/>
  <c r="S1297" i="2"/>
  <c r="S1301" i="2"/>
  <c r="S1313" i="2"/>
  <c r="S1321" i="2"/>
  <c r="K109" i="2"/>
  <c r="S109" i="2" s="1"/>
  <c r="S103" i="2"/>
  <c r="K623" i="2"/>
  <c r="S623" i="2" s="1"/>
  <c r="O675" i="2"/>
  <c r="S675" i="2" s="1"/>
  <c r="S711" i="2"/>
  <c r="S760" i="2"/>
  <c r="O814" i="2"/>
  <c r="S814" i="2" s="1"/>
  <c r="I822" i="2"/>
  <c r="K822" i="2" s="1"/>
  <c r="S822" i="2" s="1"/>
  <c r="S869" i="2"/>
  <c r="S894" i="2"/>
  <c r="S923" i="2"/>
  <c r="S1105" i="2"/>
  <c r="S1133" i="2"/>
  <c r="S1201" i="2"/>
  <c r="K1225" i="2"/>
  <c r="S1225" i="2" s="1"/>
  <c r="S1440" i="2"/>
  <c r="I1587" i="2"/>
  <c r="K1804" i="2"/>
  <c r="S1804" i="2" s="1"/>
  <c r="S53" i="2"/>
  <c r="S170" i="2"/>
  <c r="S581" i="2"/>
  <c r="S585" i="2"/>
  <c r="S593" i="2"/>
  <c r="S618" i="2"/>
  <c r="S750" i="2"/>
  <c r="S775" i="2"/>
  <c r="S797" i="2"/>
  <c r="S837" i="2"/>
  <c r="S935" i="2"/>
  <c r="S952" i="2"/>
  <c r="S956" i="2"/>
  <c r="S1008" i="2"/>
  <c r="S1024" i="2"/>
  <c r="S1040" i="2"/>
  <c r="S1056" i="2"/>
  <c r="S1165" i="2"/>
  <c r="S1173" i="2"/>
  <c r="S1181" i="2"/>
  <c r="S1189" i="2"/>
  <c r="S1269" i="2"/>
  <c r="S1106" i="2"/>
  <c r="S1134" i="2"/>
  <c r="I1254" i="2"/>
  <c r="Q1254" i="2" s="1"/>
  <c r="S159" i="2"/>
  <c r="B443" i="2"/>
  <c r="B444" i="2" s="1"/>
  <c r="B445" i="2" s="1"/>
  <c r="B446" i="2" s="1"/>
  <c r="B447" i="2" s="1"/>
  <c r="B448" i="2" s="1"/>
  <c r="B449" i="2" s="1"/>
  <c r="B450" i="2" s="1"/>
  <c r="B451" i="2" s="1"/>
  <c r="B452" i="2" s="1"/>
  <c r="Q591" i="2"/>
  <c r="Q682" i="2"/>
  <c r="Q760" i="2"/>
  <c r="Q773" i="2"/>
  <c r="Q869" i="2"/>
  <c r="Q877" i="2"/>
  <c r="I1055" i="2"/>
  <c r="Q1055" i="2" s="1"/>
  <c r="S1098" i="2"/>
  <c r="S1126" i="2"/>
  <c r="S1154" i="2"/>
  <c r="Q1185" i="2"/>
  <c r="Q1192" i="2"/>
  <c r="S1238" i="2"/>
  <c r="K1350" i="2"/>
  <c r="S1350" i="2" s="1"/>
  <c r="K1488" i="2"/>
  <c r="S1488" i="2" s="1"/>
  <c r="Q1609" i="2"/>
  <c r="R600" i="2"/>
  <c r="Q109" i="2"/>
  <c r="Q171" i="2"/>
  <c r="K385" i="2"/>
  <c r="S385" i="2" s="1"/>
  <c r="Q511" i="2"/>
  <c r="S1275" i="2"/>
  <c r="Q1358" i="2"/>
  <c r="Q1759" i="2"/>
  <c r="K256" i="2"/>
  <c r="S256" i="2" s="1"/>
  <c r="K261" i="2"/>
  <c r="S261" i="2" s="1"/>
  <c r="M466" i="2"/>
  <c r="Q466" i="2" s="1"/>
  <c r="K951" i="2"/>
  <c r="S951" i="2" s="1"/>
  <c r="S1230" i="2"/>
  <c r="Q1284" i="2"/>
  <c r="Q1488" i="2"/>
  <c r="K1701" i="2"/>
  <c r="S1701" i="2" s="1"/>
  <c r="K1716" i="2"/>
  <c r="S1716" i="2" s="1"/>
  <c r="S37" i="2"/>
  <c r="S140" i="2"/>
  <c r="S145" i="2"/>
  <c r="R1444" i="2"/>
  <c r="K606" i="2"/>
  <c r="S606" i="2" s="1"/>
  <c r="Q646" i="2"/>
  <c r="Q655" i="2"/>
  <c r="O769" i="2"/>
  <c r="S769" i="2" s="1"/>
  <c r="S834" i="2"/>
  <c r="Q937" i="2"/>
  <c r="Q951" i="2"/>
  <c r="I992" i="2"/>
  <c r="Q992" i="2" s="1"/>
  <c r="Q995" i="2"/>
  <c r="I999" i="2"/>
  <c r="Q999" i="2" s="1"/>
  <c r="I1063" i="2"/>
  <c r="Q1063" i="2" s="1"/>
  <c r="Q1098" i="2"/>
  <c r="Q1106" i="2"/>
  <c r="Q1126" i="2"/>
  <c r="Q1134" i="2"/>
  <c r="Q1154" i="2"/>
  <c r="Q1230" i="2"/>
  <c r="Q1238" i="2"/>
  <c r="Q1396" i="2"/>
  <c r="Q1415" i="2"/>
  <c r="Q1437" i="2"/>
  <c r="Q1440" i="2"/>
  <c r="S16" i="2"/>
  <c r="S176" i="2"/>
  <c r="J432" i="2"/>
  <c r="R432" i="2" s="1"/>
  <c r="S685" i="2"/>
  <c r="S698" i="2"/>
  <c r="S712" i="2"/>
  <c r="S720" i="2"/>
  <c r="S728" i="2"/>
  <c r="S765" i="2"/>
  <c r="S780" i="2"/>
  <c r="S810" i="2"/>
  <c r="S863" i="2"/>
  <c r="S1001" i="2"/>
  <c r="S1017" i="2"/>
  <c r="S1033" i="2"/>
  <c r="S1049" i="2"/>
  <c r="S1065" i="2"/>
  <c r="S1094" i="2"/>
  <c r="S1102" i="2"/>
  <c r="S1110" i="2"/>
  <c r="S1122" i="2"/>
  <c r="S1130" i="2"/>
  <c r="S1138" i="2"/>
  <c r="S1150" i="2"/>
  <c r="S1158" i="2"/>
  <c r="S1214" i="2"/>
  <c r="S1234" i="2"/>
  <c r="S1242" i="2"/>
  <c r="S1287" i="2"/>
  <c r="S1306" i="2"/>
  <c r="S1376" i="2"/>
  <c r="S1405" i="2"/>
  <c r="S1432" i="2"/>
  <c r="Q518" i="2"/>
  <c r="K165" i="2"/>
  <c r="S165" i="2" s="1"/>
  <c r="O190" i="2"/>
  <c r="S190" i="2" s="1"/>
  <c r="Q193" i="2"/>
  <c r="O297" i="2"/>
  <c r="S297" i="2" s="1"/>
  <c r="K579" i="2"/>
  <c r="S579" i="2" s="1"/>
  <c r="S632" i="2"/>
  <c r="S794" i="2"/>
  <c r="S802" i="2"/>
  <c r="S949" i="2"/>
  <c r="I1097" i="2"/>
  <c r="Q1097" i="2" s="1"/>
  <c r="I1125" i="2"/>
  <c r="Q1125" i="2" s="1"/>
  <c r="M1395" i="2"/>
  <c r="M1394" i="2" s="1"/>
  <c r="K1457" i="2"/>
  <c r="S1457" i="2" s="1"/>
  <c r="K1540" i="2"/>
  <c r="S1540" i="2" s="1"/>
  <c r="S22" i="2"/>
  <c r="S44" i="2"/>
  <c r="S54" i="2"/>
  <c r="S110" i="2"/>
  <c r="S363" i="2"/>
  <c r="S598" i="2"/>
  <c r="S651" i="2"/>
  <c r="S660" i="2"/>
  <c r="S681" i="2"/>
  <c r="S737" i="2"/>
  <c r="S756" i="2"/>
  <c r="S806" i="2"/>
  <c r="S874" i="2"/>
  <c r="S882" i="2"/>
  <c r="S907" i="2"/>
  <c r="S985" i="2"/>
  <c r="S997" i="2"/>
  <c r="S1013" i="2"/>
  <c r="S1029" i="2"/>
  <c r="S1045" i="2"/>
  <c r="S1061" i="2"/>
  <c r="S1078" i="2"/>
  <c r="S1250" i="2"/>
  <c r="S1298" i="2"/>
  <c r="S1302" i="2"/>
  <c r="S1364" i="2"/>
  <c r="S1368" i="2"/>
  <c r="S1401" i="2"/>
  <c r="S1423" i="2"/>
  <c r="S1489" i="2"/>
  <c r="S1493" i="2"/>
  <c r="S1509" i="2"/>
  <c r="S1515" i="2"/>
  <c r="M135" i="2"/>
  <c r="Q135" i="2" s="1"/>
  <c r="M144" i="2"/>
  <c r="Q155" i="2"/>
  <c r="Q159" i="2"/>
  <c r="Q252" i="2"/>
  <c r="Q261" i="2"/>
  <c r="I102" i="2"/>
  <c r="K102" i="2" s="1"/>
  <c r="S102" i="2" s="1"/>
  <c r="I118" i="2"/>
  <c r="Q297" i="2"/>
  <c r="I302" i="2"/>
  <c r="Q302" i="2" s="1"/>
  <c r="Q491" i="2"/>
  <c r="Q632" i="2"/>
  <c r="Q789" i="2"/>
  <c r="Q794" i="2"/>
  <c r="Q802" i="2"/>
  <c r="S878" i="2"/>
  <c r="S936" i="2"/>
  <c r="S989" i="2"/>
  <c r="Q1084" i="2"/>
  <c r="Q1092" i="2"/>
  <c r="Q1112" i="2"/>
  <c r="Q1120" i="2"/>
  <c r="Q1140" i="2"/>
  <c r="Q1148" i="2"/>
  <c r="Q1169" i="2"/>
  <c r="S1202" i="2"/>
  <c r="Q1350" i="2"/>
  <c r="Q1387" i="2"/>
  <c r="M1414" i="2"/>
  <c r="O1414" i="2" s="1"/>
  <c r="S1414" i="2" s="1"/>
  <c r="Q1451" i="2"/>
  <c r="Q1457" i="2"/>
  <c r="Q1540" i="2"/>
  <c r="K1610" i="2"/>
  <c r="S1610" i="2" s="1"/>
  <c r="S12" i="2"/>
  <c r="S149" i="2"/>
  <c r="S153" i="2"/>
  <c r="S181" i="2"/>
  <c r="S194" i="2"/>
  <c r="J1326" i="2"/>
  <c r="R1326" i="2" s="1"/>
  <c r="S582" i="2"/>
  <c r="S586" i="2"/>
  <c r="S619" i="2"/>
  <c r="S643" i="2"/>
  <c r="S751" i="2"/>
  <c r="S818" i="2"/>
  <c r="S843" i="2"/>
  <c r="S855" i="2"/>
  <c r="S919" i="2"/>
  <c r="S953" i="2"/>
  <c r="S957" i="2"/>
  <c r="S993" i="2"/>
  <c r="S1009" i="2"/>
  <c r="S1025" i="2"/>
  <c r="S1041" i="2"/>
  <c r="S1057" i="2"/>
  <c r="S1166" i="2"/>
  <c r="S1174" i="2"/>
  <c r="S1182" i="2"/>
  <c r="S1190" i="2"/>
  <c r="S1270" i="2"/>
  <c r="S1294" i="2"/>
  <c r="S1393" i="2"/>
  <c r="S1418" i="2"/>
  <c r="N1536" i="2"/>
  <c r="H15" i="3" s="1"/>
  <c r="Q623" i="2"/>
  <c r="M662" i="2"/>
  <c r="Q662" i="2" s="1"/>
  <c r="O663" i="2"/>
  <c r="S663" i="2" s="1"/>
  <c r="Q675" i="2"/>
  <c r="Q678" i="2"/>
  <c r="Q695" i="2"/>
  <c r="K695" i="2"/>
  <c r="S695" i="2" s="1"/>
  <c r="M703" i="2"/>
  <c r="M694" i="2" s="1"/>
  <c r="O704" i="2"/>
  <c r="S704" i="2" s="1"/>
  <c r="Q707" i="2"/>
  <c r="Q725" i="2"/>
  <c r="Q733" i="2"/>
  <c r="Q746" i="2"/>
  <c r="Q781" i="2"/>
  <c r="Q817" i="2"/>
  <c r="Q835" i="2"/>
  <c r="Q844" i="2"/>
  <c r="Q854" i="2"/>
  <c r="Q887" i="2"/>
  <c r="Q900" i="2"/>
  <c r="Q911" i="2"/>
  <c r="K911" i="2"/>
  <c r="S911" i="2" s="1"/>
  <c r="Q944" i="2"/>
  <c r="Q1026" i="2"/>
  <c r="K1026" i="2"/>
  <c r="S1026" i="2" s="1"/>
  <c r="K1107" i="2"/>
  <c r="S1107" i="2" s="1"/>
  <c r="Q1107" i="2"/>
  <c r="K1135" i="2"/>
  <c r="S1135" i="2" s="1"/>
  <c r="Q1135" i="2"/>
  <c r="K1155" i="2"/>
  <c r="S1155" i="2" s="1"/>
  <c r="Q1155" i="2"/>
  <c r="I1153" i="2"/>
  <c r="Q1153" i="2" s="1"/>
  <c r="K1303" i="2"/>
  <c r="S1303" i="2" s="1"/>
  <c r="Q1303" i="2"/>
  <c r="M352" i="2"/>
  <c r="Q374" i="2"/>
  <c r="K374" i="2"/>
  <c r="S374" i="2" s="1"/>
  <c r="Q382" i="2"/>
  <c r="Q441" i="2"/>
  <c r="K441" i="2"/>
  <c r="S441" i="2" s="1"/>
  <c r="Q500" i="2"/>
  <c r="Q634" i="2"/>
  <c r="K634" i="2"/>
  <c r="S634" i="2" s="1"/>
  <c r="Q642" i="2"/>
  <c r="O642" i="2"/>
  <c r="S642" i="2" s="1"/>
  <c r="Q691" i="2"/>
  <c r="K691" i="2"/>
  <c r="S691" i="2" s="1"/>
  <c r="Q718" i="2"/>
  <c r="K718" i="2"/>
  <c r="S718" i="2" s="1"/>
  <c r="Q779" i="2"/>
  <c r="K779" i="2"/>
  <c r="S779" i="2" s="1"/>
  <c r="Q782" i="2"/>
  <c r="K782" i="2"/>
  <c r="S782" i="2" s="1"/>
  <c r="Q791" i="2"/>
  <c r="K791" i="2"/>
  <c r="S791" i="2" s="1"/>
  <c r="Q833" i="2"/>
  <c r="K833" i="2"/>
  <c r="S833" i="2" s="1"/>
  <c r="Q841" i="2"/>
  <c r="K841" i="2"/>
  <c r="S841" i="2" s="1"/>
  <c r="Q1010" i="2"/>
  <c r="I1007" i="2"/>
  <c r="Q1023" i="2"/>
  <c r="K1178" i="2"/>
  <c r="S1178" i="2" s="1"/>
  <c r="Q1178" i="2"/>
  <c r="K1296" i="2"/>
  <c r="S1296" i="2" s="1"/>
  <c r="Q1296" i="2"/>
  <c r="I1293" i="2"/>
  <c r="Q1293" i="2" s="1"/>
  <c r="Q453" i="2"/>
  <c r="K453" i="2"/>
  <c r="S453" i="2" s="1"/>
  <c r="Q521" i="2"/>
  <c r="O521" i="2"/>
  <c r="S521" i="2" s="1"/>
  <c r="Q253" i="2"/>
  <c r="M379" i="2"/>
  <c r="Q385" i="2"/>
  <c r="Q458" i="2"/>
  <c r="I78" i="2"/>
  <c r="Q78" i="2" s="1"/>
  <c r="Q103" i="2"/>
  <c r="I108" i="2"/>
  <c r="M116" i="2"/>
  <c r="Q116" i="2" s="1"/>
  <c r="Q119" i="2"/>
  <c r="Q158" i="2"/>
  <c r="Q165" i="2"/>
  <c r="Q183" i="2"/>
  <c r="Q287" i="2"/>
  <c r="M296" i="2"/>
  <c r="Q296" i="2" s="1"/>
  <c r="Q303" i="2"/>
  <c r="Q438" i="2"/>
  <c r="K438" i="2"/>
  <c r="S438" i="2" s="1"/>
  <c r="Q446" i="2"/>
  <c r="K446" i="2"/>
  <c r="S446" i="2" s="1"/>
  <c r="M639" i="2"/>
  <c r="M631" i="2" s="1"/>
  <c r="O640" i="2"/>
  <c r="S640" i="2" s="1"/>
  <c r="Q670" i="2"/>
  <c r="M674" i="2"/>
  <c r="M665" i="2" s="1"/>
  <c r="I677" i="2"/>
  <c r="Q677" i="2" s="1"/>
  <c r="Q679" i="2"/>
  <c r="Q696" i="2"/>
  <c r="Q776" i="2"/>
  <c r="I784" i="2"/>
  <c r="K786" i="2"/>
  <c r="S786" i="2" s="1"/>
  <c r="Q825" i="2"/>
  <c r="K825" i="2"/>
  <c r="S825" i="2" s="1"/>
  <c r="Q829" i="2"/>
  <c r="K829" i="2"/>
  <c r="S829" i="2" s="1"/>
  <c r="Q845" i="2"/>
  <c r="Q849" i="2"/>
  <c r="K849" i="2"/>
  <c r="S849" i="2" s="1"/>
  <c r="Q853" i="2"/>
  <c r="Q856" i="2"/>
  <c r="K856" i="2"/>
  <c r="S856" i="2" s="1"/>
  <c r="Q860" i="2"/>
  <c r="M862" i="2"/>
  <c r="O864" i="2"/>
  <c r="S864" i="2" s="1"/>
  <c r="Q894" i="2"/>
  <c r="Q899" i="2"/>
  <c r="K899" i="2"/>
  <c r="S899" i="2" s="1"/>
  <c r="Q902" i="2"/>
  <c r="K902" i="2"/>
  <c r="S902" i="2" s="1"/>
  <c r="Q905" i="2"/>
  <c r="Q909" i="2"/>
  <c r="Q912" i="2"/>
  <c r="Q918" i="2"/>
  <c r="O918" i="2"/>
  <c r="S918" i="2" s="1"/>
  <c r="Q926" i="2"/>
  <c r="M943" i="2"/>
  <c r="M921" i="2" s="1"/>
  <c r="Q946" i="2"/>
  <c r="O946" i="2"/>
  <c r="S946" i="2" s="1"/>
  <c r="Q1085" i="2"/>
  <c r="I1083" i="2"/>
  <c r="Q1083" i="2" s="1"/>
  <c r="K1093" i="2"/>
  <c r="S1093" i="2" s="1"/>
  <c r="Q1093" i="2"/>
  <c r="Q1113" i="2"/>
  <c r="I1111" i="2"/>
  <c r="Q1111" i="2" s="1"/>
  <c r="K1121" i="2"/>
  <c r="S1121" i="2" s="1"/>
  <c r="Q1121" i="2"/>
  <c r="Q1141" i="2"/>
  <c r="I1139" i="2"/>
  <c r="Q1139" i="2" s="1"/>
  <c r="K1149" i="2"/>
  <c r="S1149" i="2" s="1"/>
  <c r="Q1149" i="2"/>
  <c r="K1170" i="2"/>
  <c r="S1170" i="2" s="1"/>
  <c r="Q1170" i="2"/>
  <c r="I1168" i="2"/>
  <c r="Q1168" i="2" s="1"/>
  <c r="K1211" i="2"/>
  <c r="S1211" i="2" s="1"/>
  <c r="Q1211" i="2"/>
  <c r="Q1292" i="2"/>
  <c r="O1292" i="2"/>
  <c r="S1292" i="2" s="1"/>
  <c r="M1383" i="2"/>
  <c r="M1378" i="2" s="1"/>
  <c r="O1384" i="2"/>
  <c r="S1384" i="2" s="1"/>
  <c r="Q1384" i="2"/>
  <c r="I105" i="2"/>
  <c r="Q105" i="2" s="1"/>
  <c r="I249" i="2"/>
  <c r="Q249" i="2" s="1"/>
  <c r="Q376" i="2"/>
  <c r="O376" i="2"/>
  <c r="S376" i="2" s="1"/>
  <c r="I384" i="2"/>
  <c r="Q388" i="2"/>
  <c r="K388" i="2"/>
  <c r="S388" i="2" s="1"/>
  <c r="Q433" i="2"/>
  <c r="K433" i="2"/>
  <c r="S433" i="2" s="1"/>
  <c r="Q452" i="2"/>
  <c r="K452" i="2"/>
  <c r="S452" i="2" s="1"/>
  <c r="Q514" i="2"/>
  <c r="O514" i="2"/>
  <c r="S514" i="2" s="1"/>
  <c r="Q654" i="2"/>
  <c r="K654" i="2"/>
  <c r="S654" i="2" s="1"/>
  <c r="I656" i="2"/>
  <c r="Q656" i="2" s="1"/>
  <c r="K658" i="2"/>
  <c r="S658" i="2" s="1"/>
  <c r="I689" i="2"/>
  <c r="K689" i="2" s="1"/>
  <c r="S689" i="2" s="1"/>
  <c r="Q811" i="2"/>
  <c r="K811" i="2"/>
  <c r="S811" i="2" s="1"/>
  <c r="Q903" i="2"/>
  <c r="K903" i="2"/>
  <c r="S903" i="2" s="1"/>
  <c r="Q927" i="2"/>
  <c r="K927" i="2"/>
  <c r="S927" i="2" s="1"/>
  <c r="Q964" i="2"/>
  <c r="K964" i="2"/>
  <c r="S964" i="2" s="1"/>
  <c r="Q1034" i="2"/>
  <c r="I1031" i="2"/>
  <c r="Q1031" i="2" s="1"/>
  <c r="Q1322" i="2"/>
  <c r="K1322" i="2"/>
  <c r="S1322" i="2" s="1"/>
  <c r="Q1782" i="2"/>
  <c r="Q1591" i="2"/>
  <c r="O1591" i="2"/>
  <c r="S1591" i="2" s="1"/>
  <c r="I321" i="1"/>
  <c r="J23" i="2"/>
  <c r="R23" i="2" s="1"/>
  <c r="R24" i="2"/>
  <c r="K86" i="2"/>
  <c r="S86" i="2" s="1"/>
  <c r="S87" i="2"/>
  <c r="K78" i="2"/>
  <c r="S81" i="2"/>
  <c r="J192" i="2"/>
  <c r="R193" i="2"/>
  <c r="J168" i="2"/>
  <c r="R168" i="2" s="1"/>
  <c r="R169" i="2"/>
  <c r="J105" i="2"/>
  <c r="R105" i="2" s="1"/>
  <c r="R106" i="2"/>
  <c r="S117" i="2"/>
  <c r="J290" i="2"/>
  <c r="R291" i="2"/>
  <c r="J384" i="2"/>
  <c r="R384" i="2" s="1"/>
  <c r="R385" i="2"/>
  <c r="J1160" i="2"/>
  <c r="R1160" i="2" s="1"/>
  <c r="R1163" i="2"/>
  <c r="J1075" i="2"/>
  <c r="R1075" i="2" s="1"/>
  <c r="R1076" i="2"/>
  <c r="J1039" i="2"/>
  <c r="R1039" i="2" s="1"/>
  <c r="R1042" i="2"/>
  <c r="J1007" i="2"/>
  <c r="R1007" i="2" s="1"/>
  <c r="R1010" i="2"/>
  <c r="J972" i="2"/>
  <c r="R972" i="2" s="1"/>
  <c r="R973" i="2"/>
  <c r="K1177" i="2"/>
  <c r="S1177" i="2" s="1"/>
  <c r="K1193" i="2"/>
  <c r="S1193" i="2" s="1"/>
  <c r="J1374" i="2"/>
  <c r="R1374" i="2" s="1"/>
  <c r="R1375" i="2"/>
  <c r="S1396" i="2"/>
  <c r="K1508" i="2"/>
  <c r="S1508" i="2" s="1"/>
  <c r="J1609" i="2"/>
  <c r="K1609" i="2" s="1"/>
  <c r="S1609" i="2" s="1"/>
  <c r="R1610" i="2"/>
  <c r="J1587" i="2"/>
  <c r="R1587" i="2" s="1"/>
  <c r="R1588" i="2"/>
  <c r="K1561" i="2"/>
  <c r="S1561" i="2" s="1"/>
  <c r="K1594" i="2"/>
  <c r="S1594" i="2" s="1"/>
  <c r="J1791" i="2"/>
  <c r="R1794" i="2"/>
  <c r="J1773" i="2"/>
  <c r="R1776" i="2"/>
  <c r="J1713" i="2"/>
  <c r="R1716" i="2"/>
  <c r="K1739" i="2"/>
  <c r="S1739" i="2" s="1"/>
  <c r="K1750" i="2"/>
  <c r="S1750" i="2" s="1"/>
  <c r="K1770" i="2"/>
  <c r="S1770" i="2" s="1"/>
  <c r="K1799" i="2"/>
  <c r="S1799" i="2" s="1"/>
  <c r="N196" i="2"/>
  <c r="R197" i="2"/>
  <c r="S244" i="2"/>
  <c r="S248" i="2"/>
  <c r="S252" i="2"/>
  <c r="S257" i="2"/>
  <c r="S265" i="2"/>
  <c r="S274" i="2"/>
  <c r="S282" i="2"/>
  <c r="S286" i="2"/>
  <c r="S295" i="2"/>
  <c r="S306" i="2"/>
  <c r="R361" i="2"/>
  <c r="R362" i="2"/>
  <c r="S339" i="2"/>
  <c r="S343" i="2"/>
  <c r="S347" i="2"/>
  <c r="S351" i="2"/>
  <c r="S372" i="2"/>
  <c r="S383" i="2"/>
  <c r="S395" i="2"/>
  <c r="S445" i="2"/>
  <c r="S450" i="2"/>
  <c r="S467" i="2"/>
  <c r="S478" i="2"/>
  <c r="S482" i="2"/>
  <c r="S486" i="2"/>
  <c r="S490" i="2"/>
  <c r="S498" i="2"/>
  <c r="S503" i="2"/>
  <c r="S507" i="2"/>
  <c r="S513" i="2"/>
  <c r="S522" i="2"/>
  <c r="N967" i="2"/>
  <c r="R968" i="2"/>
  <c r="N741" i="2"/>
  <c r="R742" i="2"/>
  <c r="O1387" i="2"/>
  <c r="S1387" i="2" s="1"/>
  <c r="O1449" i="2"/>
  <c r="S1449" i="2" s="1"/>
  <c r="N1524" i="2"/>
  <c r="R1524" i="2" s="1"/>
  <c r="R1525" i="2"/>
  <c r="O1516" i="2"/>
  <c r="S1516" i="2" s="1"/>
  <c r="O1525" i="2"/>
  <c r="S1525" i="2" s="1"/>
  <c r="I1436" i="2"/>
  <c r="Q1436" i="2" s="1"/>
  <c r="Q1456" i="2"/>
  <c r="Q1547" i="2"/>
  <c r="O1547" i="2"/>
  <c r="S1547" i="2" s="1"/>
  <c r="I1583" i="2"/>
  <c r="Q1621" i="2"/>
  <c r="Q1689" i="2"/>
  <c r="O1689" i="2"/>
  <c r="S1689" i="2" s="1"/>
  <c r="I1713" i="2"/>
  <c r="Q1713" i="2" s="1"/>
  <c r="Q1716" i="2"/>
  <c r="Q1783" i="2"/>
  <c r="Q1786" i="2"/>
  <c r="I1801" i="2"/>
  <c r="Q1801" i="2" s="1"/>
  <c r="Q1804" i="2"/>
  <c r="J45" i="2"/>
  <c r="R46" i="2"/>
  <c r="J20" i="2"/>
  <c r="R20" i="2" s="1"/>
  <c r="R21" i="2"/>
  <c r="J86" i="2"/>
  <c r="R86" i="2" s="1"/>
  <c r="R87" i="2"/>
  <c r="J179" i="2"/>
  <c r="R180" i="2"/>
  <c r="J127" i="2"/>
  <c r="R127" i="2" s="1"/>
  <c r="R128" i="2"/>
  <c r="J101" i="2"/>
  <c r="R101" i="2" s="1"/>
  <c r="R102" i="2"/>
  <c r="J280" i="2"/>
  <c r="R283" i="2"/>
  <c r="J379" i="2"/>
  <c r="R380" i="2"/>
  <c r="J1063" i="2"/>
  <c r="R1063" i="2" s="1"/>
  <c r="R1066" i="2"/>
  <c r="J1031" i="2"/>
  <c r="R1031" i="2" s="1"/>
  <c r="R1034" i="2"/>
  <c r="J999" i="2"/>
  <c r="R999" i="2" s="1"/>
  <c r="R1002" i="2"/>
  <c r="J694" i="2"/>
  <c r="R697" i="2"/>
  <c r="K1058" i="2"/>
  <c r="S1058" i="2" s="1"/>
  <c r="K1210" i="2"/>
  <c r="S1210" i="2" s="1"/>
  <c r="J1399" i="2"/>
  <c r="R1399" i="2" s="1"/>
  <c r="R1402" i="2"/>
  <c r="J1354" i="2"/>
  <c r="R1354" i="2" s="1"/>
  <c r="R1355" i="2"/>
  <c r="K1424" i="2"/>
  <c r="S1424" i="2" s="1"/>
  <c r="S1451" i="2"/>
  <c r="J1500" i="2"/>
  <c r="R1500" i="2" s="1"/>
  <c r="R1501" i="2"/>
  <c r="J1583" i="2"/>
  <c r="R1583" i="2" s="1"/>
  <c r="R1584" i="2"/>
  <c r="J1761" i="2"/>
  <c r="R1761" i="2" s="1"/>
  <c r="R1764" i="2"/>
  <c r="R1701" i="2"/>
  <c r="K1735" i="2"/>
  <c r="S1735" i="2" s="1"/>
  <c r="K1767" i="2"/>
  <c r="S1767" i="2" s="1"/>
  <c r="K1783" i="2"/>
  <c r="S1783" i="2" s="1"/>
  <c r="J1830" i="2"/>
  <c r="R1830" i="2" s="1"/>
  <c r="R1833" i="2"/>
  <c r="K1824" i="2"/>
  <c r="S1824" i="2" s="1"/>
  <c r="N186" i="2"/>
  <c r="R190" i="2"/>
  <c r="N112" i="2"/>
  <c r="R112" i="2" s="1"/>
  <c r="R113" i="2"/>
  <c r="S245" i="2"/>
  <c r="S253" i="2"/>
  <c r="S262" i="2"/>
  <c r="S271" i="2"/>
  <c r="S275" i="2"/>
  <c r="S287" i="2"/>
  <c r="S292" i="2"/>
  <c r="S298" i="2"/>
  <c r="S303" i="2"/>
  <c r="S307" i="2"/>
  <c r="S344" i="2"/>
  <c r="S354" i="2"/>
  <c r="S369" i="2"/>
  <c r="S377" i="2"/>
  <c r="S442" i="2"/>
  <c r="S455" i="2"/>
  <c r="S459" i="2"/>
  <c r="S468" i="2"/>
  <c r="S479" i="2"/>
  <c r="S483" i="2"/>
  <c r="S487" i="2"/>
  <c r="S492" i="2"/>
  <c r="S499" i="2"/>
  <c r="S504" i="2"/>
  <c r="S508" i="2"/>
  <c r="S519" i="2"/>
  <c r="S523" i="2"/>
  <c r="N703" i="2"/>
  <c r="R704" i="2"/>
  <c r="Q1201" i="2"/>
  <c r="Q1221" i="2"/>
  <c r="Q1257" i="2"/>
  <c r="M1602" i="2"/>
  <c r="M1593" i="2" s="1"/>
  <c r="O1593" i="2" s="1"/>
  <c r="O1603" i="2"/>
  <c r="S1603" i="2" s="1"/>
  <c r="Q1690" i="2"/>
  <c r="O1690" i="2"/>
  <c r="S1690" i="2" s="1"/>
  <c r="Q1781" i="2"/>
  <c r="Q1840" i="2"/>
  <c r="O1840" i="2"/>
  <c r="S1840" i="2" s="1"/>
  <c r="I391" i="1"/>
  <c r="J65" i="2"/>
  <c r="R66" i="2"/>
  <c r="J31" i="2"/>
  <c r="R33" i="2"/>
  <c r="J17" i="2"/>
  <c r="R17" i="2" s="1"/>
  <c r="R18" i="2"/>
  <c r="J174" i="2"/>
  <c r="R174" i="2" s="1"/>
  <c r="R177" i="2"/>
  <c r="J118" i="2"/>
  <c r="R119" i="2"/>
  <c r="J270" i="2"/>
  <c r="R273" i="2"/>
  <c r="J391" i="2"/>
  <c r="R392" i="2"/>
  <c r="J1254" i="2"/>
  <c r="R1254" i="2" s="1"/>
  <c r="R1266" i="2"/>
  <c r="J1055" i="2"/>
  <c r="R1055" i="2" s="1"/>
  <c r="R1058" i="2"/>
  <c r="J1023" i="2"/>
  <c r="R1023" i="2" s="1"/>
  <c r="R1026" i="2"/>
  <c r="J992" i="2"/>
  <c r="R995" i="2"/>
  <c r="J723" i="2"/>
  <c r="R723" i="2" s="1"/>
  <c r="J653" i="2"/>
  <c r="J589" i="2"/>
  <c r="R589" i="2" s="1"/>
  <c r="R592" i="2"/>
  <c r="S630" i="2"/>
  <c r="S891" i="2"/>
  <c r="S970" i="2"/>
  <c r="J1433" i="2"/>
  <c r="R1433" i="2" s="1"/>
  <c r="R1436" i="2"/>
  <c r="J1349" i="2"/>
  <c r="R1350" i="2"/>
  <c r="K1356" i="2"/>
  <c r="S1356" i="2" s="1"/>
  <c r="S1415" i="2"/>
  <c r="J1487" i="2"/>
  <c r="R1487" i="2" s="1"/>
  <c r="R1488" i="2"/>
  <c r="R1597" i="2"/>
  <c r="K1565" i="2"/>
  <c r="S1565" i="2" s="1"/>
  <c r="R1565" i="2"/>
  <c r="J1727" i="2"/>
  <c r="R1727" i="2" s="1"/>
  <c r="R1728" i="2"/>
  <c r="J1692" i="2"/>
  <c r="R1692" i="2" s="1"/>
  <c r="R1693" i="2"/>
  <c r="K1693" i="2"/>
  <c r="S1693" i="2" s="1"/>
  <c r="R171" i="2"/>
  <c r="S242" i="2"/>
  <c r="S250" i="2"/>
  <c r="S254" i="2"/>
  <c r="S259" i="2"/>
  <c r="S263" i="2"/>
  <c r="S268" i="2"/>
  <c r="S272" i="2"/>
  <c r="S276" i="2"/>
  <c r="S284" i="2"/>
  <c r="S288" i="2"/>
  <c r="S293" i="2"/>
  <c r="S300" i="2"/>
  <c r="S304" i="2"/>
  <c r="N379" i="2"/>
  <c r="R382" i="2"/>
  <c r="N352" i="2"/>
  <c r="S341" i="2"/>
  <c r="S345" i="2"/>
  <c r="S349" i="2"/>
  <c r="S356" i="2"/>
  <c r="S366" i="2"/>
  <c r="S370" i="2"/>
  <c r="S389" i="2"/>
  <c r="S393" i="2"/>
  <c r="S434" i="2"/>
  <c r="S439" i="2"/>
  <c r="S443" i="2"/>
  <c r="S456" i="2"/>
  <c r="S469" i="2"/>
  <c r="S480" i="2"/>
  <c r="S484" i="2"/>
  <c r="S488" i="2"/>
  <c r="S493" i="2"/>
  <c r="S501" i="2"/>
  <c r="S505" i="2"/>
  <c r="S509" i="2"/>
  <c r="S515" i="2"/>
  <c r="S520" i="2"/>
  <c r="S524" i="2"/>
  <c r="N674" i="2"/>
  <c r="R675" i="2"/>
  <c r="N628" i="2"/>
  <c r="R629" i="2"/>
  <c r="N1468" i="2"/>
  <c r="R1469" i="2"/>
  <c r="N1419" i="2"/>
  <c r="R1428" i="2"/>
  <c r="O1416" i="2"/>
  <c r="S1416" i="2" s="1"/>
  <c r="O1428" i="2"/>
  <c r="S1428" i="2" s="1"/>
  <c r="Q1521" i="2"/>
  <c r="Q1544" i="2"/>
  <c r="O1544" i="2"/>
  <c r="S1544" i="2" s="1"/>
  <c r="I1555" i="2"/>
  <c r="K1555" i="2" s="1"/>
  <c r="S1555" i="2" s="1"/>
  <c r="Q1575" i="2"/>
  <c r="O1575" i="2"/>
  <c r="S1575" i="2" s="1"/>
  <c r="Q1603" i="2"/>
  <c r="Q1622" i="2"/>
  <c r="Q1701" i="2"/>
  <c r="I1785" i="2"/>
  <c r="Q1785" i="2" s="1"/>
  <c r="J26" i="2"/>
  <c r="R26" i="2" s="1"/>
  <c r="R28" i="2"/>
  <c r="J10" i="2"/>
  <c r="R10" i="2" s="1"/>
  <c r="R11" i="2"/>
  <c r="R84" i="2"/>
  <c r="J144" i="2"/>
  <c r="R147" i="2"/>
  <c r="J108" i="2"/>
  <c r="R109" i="2"/>
  <c r="J302" i="2"/>
  <c r="R303" i="2"/>
  <c r="J241" i="2"/>
  <c r="R241" i="2" s="1"/>
  <c r="R243" i="2"/>
  <c r="K460" i="2"/>
  <c r="S460" i="2" s="1"/>
  <c r="R460" i="2"/>
  <c r="J1047" i="2"/>
  <c r="R1047" i="2" s="1"/>
  <c r="R1050" i="2"/>
  <c r="J1015" i="2"/>
  <c r="R1015" i="2" s="1"/>
  <c r="R1018" i="2"/>
  <c r="J981" i="2"/>
  <c r="R981" i="2" s="1"/>
  <c r="R984" i="2"/>
  <c r="J744" i="2"/>
  <c r="R744" i="2" s="1"/>
  <c r="R747" i="2"/>
  <c r="J603" i="2"/>
  <c r="R603" i="2" s="1"/>
  <c r="R606" i="2"/>
  <c r="J578" i="2"/>
  <c r="R578" i="2" s="1"/>
  <c r="R579" i="2"/>
  <c r="K1221" i="2"/>
  <c r="S1221" i="2" s="1"/>
  <c r="K1246" i="2"/>
  <c r="S1246" i="2" s="1"/>
  <c r="J1419" i="2"/>
  <c r="J1409" i="2" s="1"/>
  <c r="R1422" i="2"/>
  <c r="J1378" i="2"/>
  <c r="R1379" i="2"/>
  <c r="J1518" i="2"/>
  <c r="R1519" i="2"/>
  <c r="J1613" i="2"/>
  <c r="R1614" i="2"/>
  <c r="K1621" i="2"/>
  <c r="S1621" i="2" s="1"/>
  <c r="J1801" i="2"/>
  <c r="R1804" i="2"/>
  <c r="J1782" i="2"/>
  <c r="R1782" i="2" s="1"/>
  <c r="R1783" i="2"/>
  <c r="J1749" i="2"/>
  <c r="R1749" i="2" s="1"/>
  <c r="R1750" i="2"/>
  <c r="J1680" i="2"/>
  <c r="R1683" i="2"/>
  <c r="N144" i="2"/>
  <c r="R155" i="2"/>
  <c r="S247" i="2"/>
  <c r="S251" i="2"/>
  <c r="S260" i="2"/>
  <c r="S264" i="2"/>
  <c r="S277" i="2"/>
  <c r="S281" i="2"/>
  <c r="S285" i="2"/>
  <c r="S289" i="2"/>
  <c r="S294" i="2"/>
  <c r="S305" i="2"/>
  <c r="N365" i="2"/>
  <c r="R376" i="2"/>
  <c r="S338" i="2"/>
  <c r="S342" i="2"/>
  <c r="S346" i="2"/>
  <c r="S367" i="2"/>
  <c r="S371" i="2"/>
  <c r="S375" i="2"/>
  <c r="S381" i="2"/>
  <c r="S386" i="2"/>
  <c r="S390" i="2"/>
  <c r="S394" i="2"/>
  <c r="S440" i="2"/>
  <c r="S444" i="2"/>
  <c r="S448" i="2"/>
  <c r="S457" i="2"/>
  <c r="S461" i="2"/>
  <c r="S470" i="2"/>
  <c r="S481" i="2"/>
  <c r="S485" i="2"/>
  <c r="S489" i="2"/>
  <c r="S494" i="2"/>
  <c r="S502" i="2"/>
  <c r="S506" i="2"/>
  <c r="S516" i="2"/>
  <c r="N1290" i="2"/>
  <c r="R1291" i="2"/>
  <c r="N768" i="2"/>
  <c r="R769" i="2"/>
  <c r="N662" i="2"/>
  <c r="R663" i="2"/>
  <c r="R1448" i="2"/>
  <c r="N1383" i="2"/>
  <c r="N1378" i="2" s="1"/>
  <c r="R1386" i="2"/>
  <c r="O1386" i="2"/>
  <c r="S1386" i="2" s="1"/>
  <c r="O1397" i="2"/>
  <c r="S1397" i="2" s="1"/>
  <c r="O1470" i="2"/>
  <c r="S1470" i="2" s="1"/>
  <c r="N1822" i="2"/>
  <c r="N1394" i="2"/>
  <c r="N1413" i="2"/>
  <c r="Q358" i="2"/>
  <c r="K358" i="2"/>
  <c r="S358" i="2" s="1"/>
  <c r="O124" i="2"/>
  <c r="S124" i="2" s="1"/>
  <c r="M123" i="2"/>
  <c r="M122" i="2" s="1"/>
  <c r="Q185" i="2"/>
  <c r="K185" i="2"/>
  <c r="S185" i="2" s="1"/>
  <c r="I647" i="2"/>
  <c r="Q649" i="2"/>
  <c r="K649" i="2"/>
  <c r="S649" i="2" s="1"/>
  <c r="I723" i="2"/>
  <c r="K724" i="2"/>
  <c r="S724" i="2" s="1"/>
  <c r="Q847" i="2"/>
  <c r="K847" i="2"/>
  <c r="S847" i="2" s="1"/>
  <c r="Q1100" i="2"/>
  <c r="K1100" i="2"/>
  <c r="S1100" i="2" s="1"/>
  <c r="Q1320" i="2"/>
  <c r="K1320" i="2"/>
  <c r="S1320" i="2" s="1"/>
  <c r="Q668" i="2"/>
  <c r="K668" i="2"/>
  <c r="S668" i="2" s="1"/>
  <c r="Q807" i="2"/>
  <c r="I805" i="2"/>
  <c r="Q891" i="2"/>
  <c r="M890" i="2"/>
  <c r="O890" i="2" s="1"/>
  <c r="S890" i="2" s="1"/>
  <c r="Q922" i="2"/>
  <c r="K922" i="2"/>
  <c r="S922" i="2" s="1"/>
  <c r="Q1099" i="2"/>
  <c r="K1099" i="2"/>
  <c r="S1099" i="2" s="1"/>
  <c r="Q1127" i="2"/>
  <c r="K1127" i="2"/>
  <c r="S1127" i="2" s="1"/>
  <c r="K1203" i="2"/>
  <c r="S1203" i="2" s="1"/>
  <c r="Q1203" i="2"/>
  <c r="K1219" i="2"/>
  <c r="S1219" i="2" s="1"/>
  <c r="I1218" i="2"/>
  <c r="K1223" i="2"/>
  <c r="S1223" i="2" s="1"/>
  <c r="Q1223" i="2"/>
  <c r="Q1375" i="2"/>
  <c r="K1375" i="2"/>
  <c r="S1375" i="2" s="1"/>
  <c r="I1374" i="2"/>
  <c r="K1379" i="2"/>
  <c r="S1379" i="2" s="1"/>
  <c r="Q1379" i="2"/>
  <c r="I1378" i="2"/>
  <c r="Q1455" i="2"/>
  <c r="K1455" i="2"/>
  <c r="S1455" i="2" s="1"/>
  <c r="Q1623" i="2"/>
  <c r="K1623" i="2"/>
  <c r="S1623" i="2" s="1"/>
  <c r="K1683" i="2"/>
  <c r="S1683" i="2" s="1"/>
  <c r="Q1683" i="2"/>
  <c r="Q1728" i="2"/>
  <c r="K1728" i="2"/>
  <c r="S1728" i="2" s="1"/>
  <c r="Q1833" i="2"/>
  <c r="I1830" i="2"/>
  <c r="Q125" i="2"/>
  <c r="O125" i="2"/>
  <c r="S125" i="2" s="1"/>
  <c r="K132" i="2"/>
  <c r="S132" i="2" s="1"/>
  <c r="Q132" i="2"/>
  <c r="Q147" i="2"/>
  <c r="I144" i="2"/>
  <c r="Q161" i="2"/>
  <c r="K161" i="2"/>
  <c r="S161" i="2" s="1"/>
  <c r="O353" i="2"/>
  <c r="S353" i="2" s="1"/>
  <c r="Q353" i="2"/>
  <c r="M364" i="2"/>
  <c r="Q447" i="2"/>
  <c r="K447" i="2"/>
  <c r="S447" i="2" s="1"/>
  <c r="I592" i="2"/>
  <c r="I589" i="2" s="1"/>
  <c r="Q594" i="2"/>
  <c r="Q680" i="2"/>
  <c r="K680" i="2"/>
  <c r="S680" i="2" s="1"/>
  <c r="I697" i="2"/>
  <c r="I694" i="2" s="1"/>
  <c r="Q699" i="2"/>
  <c r="Q717" i="2"/>
  <c r="K717" i="2"/>
  <c r="S717" i="2" s="1"/>
  <c r="Q798" i="2"/>
  <c r="K798" i="2"/>
  <c r="S798" i="2" s="1"/>
  <c r="I796" i="2"/>
  <c r="K796" i="2" s="1"/>
  <c r="S796" i="2" s="1"/>
  <c r="K908" i="2"/>
  <c r="S908" i="2" s="1"/>
  <c r="Q908" i="2"/>
  <c r="Q916" i="2"/>
  <c r="M915" i="2"/>
  <c r="Q915" i="2" s="1"/>
  <c r="Q938" i="2"/>
  <c r="K938" i="2"/>
  <c r="S938" i="2" s="1"/>
  <c r="Q1018" i="2"/>
  <c r="I1015" i="2"/>
  <c r="Q1232" i="2"/>
  <c r="K1232" i="2"/>
  <c r="S1232" i="2" s="1"/>
  <c r="Q1240" i="2"/>
  <c r="K1240" i="2"/>
  <c r="S1240" i="2" s="1"/>
  <c r="Q1248" i="2"/>
  <c r="K1248" i="2"/>
  <c r="S1248" i="2" s="1"/>
  <c r="Q1402" i="2"/>
  <c r="K1402" i="2"/>
  <c r="S1402" i="2" s="1"/>
  <c r="K1614" i="2"/>
  <c r="S1614" i="2" s="1"/>
  <c r="Q1614" i="2"/>
  <c r="I1613" i="2"/>
  <c r="Q1682" i="2"/>
  <c r="I1680" i="2"/>
  <c r="Q1757" i="2"/>
  <c r="K1757" i="2"/>
  <c r="S1757" i="2" s="1"/>
  <c r="K182" i="2"/>
  <c r="S182" i="2" s="1"/>
  <c r="K380" i="2"/>
  <c r="S380" i="2" s="1"/>
  <c r="K1050" i="2"/>
  <c r="S1050" i="2" s="1"/>
  <c r="K1314" i="2"/>
  <c r="S1314" i="2" s="1"/>
  <c r="O136" i="2"/>
  <c r="S136" i="2" s="1"/>
  <c r="M1543" i="2"/>
  <c r="K175" i="2"/>
  <c r="S175" i="2" s="1"/>
  <c r="K392" i="2"/>
  <c r="S392" i="2" s="1"/>
  <c r="K726" i="2"/>
  <c r="S726" i="2" s="1"/>
  <c r="K1357" i="2"/>
  <c r="S1357" i="2" s="1"/>
  <c r="K1597" i="2"/>
  <c r="S1597" i="2" s="1"/>
  <c r="K1833" i="2"/>
  <c r="S1833" i="2" s="1"/>
  <c r="O139" i="2"/>
  <c r="S139" i="2" s="1"/>
  <c r="O355" i="2"/>
  <c r="S355" i="2" s="1"/>
  <c r="Q117" i="2"/>
  <c r="I192" i="2"/>
  <c r="I241" i="2"/>
  <c r="Q256" i="2"/>
  <c r="I340" i="2"/>
  <c r="Q343" i="2"/>
  <c r="Q350" i="2"/>
  <c r="I379" i="2"/>
  <c r="Q663" i="2"/>
  <c r="Q878" i="2"/>
  <c r="Q901" i="2"/>
  <c r="Q904" i="2"/>
  <c r="Q930" i="2"/>
  <c r="Q1225" i="2"/>
  <c r="K1276" i="2"/>
  <c r="S1276" i="2" s="1"/>
  <c r="I1454" i="2"/>
  <c r="I1442" i="2" s="1"/>
  <c r="M1469" i="2"/>
  <c r="M1468" i="2" s="1"/>
  <c r="Q1487" i="2"/>
  <c r="Q1505" i="2"/>
  <c r="M1546" i="2"/>
  <c r="K130" i="2"/>
  <c r="S130" i="2" s="1"/>
  <c r="K163" i="2"/>
  <c r="S163" i="2" s="1"/>
  <c r="K437" i="2"/>
  <c r="S437" i="2" s="1"/>
  <c r="K687" i="2"/>
  <c r="S687" i="2" s="1"/>
  <c r="K699" i="2"/>
  <c r="S699" i="2" s="1"/>
  <c r="K804" i="2"/>
  <c r="S804" i="2" s="1"/>
  <c r="K824" i="2"/>
  <c r="S824" i="2" s="1"/>
  <c r="K973" i="2"/>
  <c r="S973" i="2" s="1"/>
  <c r="K1002" i="2"/>
  <c r="S1002" i="2" s="1"/>
  <c r="K1034" i="2"/>
  <c r="S1034" i="2" s="1"/>
  <c r="K1066" i="2"/>
  <c r="S1066" i="2" s="1"/>
  <c r="K1086" i="2"/>
  <c r="S1086" i="2" s="1"/>
  <c r="K1114" i="2"/>
  <c r="S1114" i="2" s="1"/>
  <c r="K1142" i="2"/>
  <c r="S1142" i="2" s="1"/>
  <c r="K1186" i="2"/>
  <c r="S1186" i="2" s="1"/>
  <c r="K1209" i="2"/>
  <c r="S1209" i="2" s="1"/>
  <c r="K1282" i="2"/>
  <c r="S1282" i="2" s="1"/>
  <c r="K1329" i="2"/>
  <c r="S1329" i="2" s="1"/>
  <c r="K1412" i="2"/>
  <c r="S1412" i="2" s="1"/>
  <c r="K1709" i="2"/>
  <c r="S1709" i="2" s="1"/>
  <c r="K1734" i="2"/>
  <c r="S1734" i="2" s="1"/>
  <c r="N9" i="2"/>
  <c r="O171" i="2"/>
  <c r="S171" i="2" s="1"/>
  <c r="O299" i="2"/>
  <c r="S299" i="2" s="1"/>
  <c r="O497" i="2"/>
  <c r="S497" i="2" s="1"/>
  <c r="K169" i="2"/>
  <c r="S169" i="2" s="1"/>
  <c r="I168" i="2"/>
  <c r="Q510" i="2"/>
  <c r="O510" i="2"/>
  <c r="S510" i="2" s="1"/>
  <c r="Q621" i="2"/>
  <c r="K621" i="2"/>
  <c r="S621" i="2" s="1"/>
  <c r="Q666" i="2"/>
  <c r="I665" i="2"/>
  <c r="I879" i="2"/>
  <c r="K881" i="2"/>
  <c r="S881" i="2" s="1"/>
  <c r="Q1128" i="2"/>
  <c r="K1128" i="2"/>
  <c r="S1128" i="2" s="1"/>
  <c r="K1724" i="2"/>
  <c r="S1724" i="2" s="1"/>
  <c r="Q1724" i="2"/>
  <c r="Q197" i="2"/>
  <c r="O197" i="2"/>
  <c r="S197" i="2" s="1"/>
  <c r="K359" i="2"/>
  <c r="S359" i="2" s="1"/>
  <c r="Q359" i="2"/>
  <c r="K708" i="2"/>
  <c r="S708" i="2" s="1"/>
  <c r="Q708" i="2"/>
  <c r="Q830" i="2"/>
  <c r="K830" i="2"/>
  <c r="S830" i="2" s="1"/>
  <c r="Q838" i="2"/>
  <c r="K838" i="2"/>
  <c r="S838" i="2" s="1"/>
  <c r="Q850" i="2"/>
  <c r="K850" i="2"/>
  <c r="S850" i="2" s="1"/>
  <c r="Q970" i="2"/>
  <c r="M968" i="2"/>
  <c r="O968" i="2" s="1"/>
  <c r="S968" i="2" s="1"/>
  <c r="K177" i="2"/>
  <c r="S177" i="2" s="1"/>
  <c r="Q177" i="2"/>
  <c r="Q278" i="2"/>
  <c r="K278" i="2"/>
  <c r="S278" i="2" s="1"/>
  <c r="Q373" i="2"/>
  <c r="K373" i="2"/>
  <c r="S373" i="2" s="1"/>
  <c r="Q604" i="2"/>
  <c r="K604" i="2"/>
  <c r="S604" i="2" s="1"/>
  <c r="Q612" i="2"/>
  <c r="K612" i="2"/>
  <c r="S612" i="2" s="1"/>
  <c r="Q711" i="2"/>
  <c r="I709" i="2"/>
  <c r="I706" i="2" s="1"/>
  <c r="Q716" i="2"/>
  <c r="K716" i="2"/>
  <c r="S716" i="2" s="1"/>
  <c r="I715" i="2"/>
  <c r="K772" i="2"/>
  <c r="S772" i="2" s="1"/>
  <c r="Q772" i="2"/>
  <c r="I870" i="2"/>
  <c r="K872" i="2"/>
  <c r="S872" i="2" s="1"/>
  <c r="Q898" i="2"/>
  <c r="I896" i="2"/>
  <c r="K896" i="2" s="1"/>
  <c r="S896" i="2" s="1"/>
  <c r="Q913" i="2"/>
  <c r="K913" i="2"/>
  <c r="S913" i="2" s="1"/>
  <c r="Q941" i="2"/>
  <c r="K941" i="2"/>
  <c r="S941" i="2" s="1"/>
  <c r="Q950" i="2"/>
  <c r="K950" i="2"/>
  <c r="S950" i="2" s="1"/>
  <c r="Q1220" i="2"/>
  <c r="K1220" i="2"/>
  <c r="S1220" i="2" s="1"/>
  <c r="Q1231" i="2"/>
  <c r="K1231" i="2"/>
  <c r="S1231" i="2" s="1"/>
  <c r="Q1239" i="2"/>
  <c r="K1239" i="2"/>
  <c r="S1239" i="2" s="1"/>
  <c r="Q1247" i="2"/>
  <c r="K1247" i="2"/>
  <c r="S1247" i="2" s="1"/>
  <c r="Q1788" i="2"/>
  <c r="K1788" i="2"/>
  <c r="S1788" i="2" s="1"/>
  <c r="I1039" i="2"/>
  <c r="K243" i="2"/>
  <c r="S243" i="2" s="1"/>
  <c r="K1266" i="2"/>
  <c r="S1266" i="2" s="1"/>
  <c r="K1274" i="2"/>
  <c r="S1274" i="2" s="1"/>
  <c r="I1697" i="2"/>
  <c r="I1696" i="2" s="1"/>
  <c r="I1723" i="2"/>
  <c r="K670" i="2"/>
  <c r="S670" i="2" s="1"/>
  <c r="K795" i="2"/>
  <c r="S795" i="2" s="1"/>
  <c r="Q124" i="2"/>
  <c r="Q136" i="2"/>
  <c r="Q169" i="2"/>
  <c r="I631" i="2"/>
  <c r="Q633" i="2"/>
  <c r="Q724" i="2"/>
  <c r="Q759" i="2"/>
  <c r="Q881" i="2"/>
  <c r="I1047" i="2"/>
  <c r="Q1266" i="2"/>
  <c r="I1326" i="2"/>
  <c r="Q1359" i="2"/>
  <c r="Q1600" i="2"/>
  <c r="K106" i="2"/>
  <c r="S106" i="2" s="1"/>
  <c r="K147" i="2"/>
  <c r="S147" i="2" s="1"/>
  <c r="K162" i="2"/>
  <c r="S162" i="2" s="1"/>
  <c r="K167" i="2"/>
  <c r="S167" i="2" s="1"/>
  <c r="K273" i="2"/>
  <c r="S273" i="2" s="1"/>
  <c r="K594" i="2"/>
  <c r="S594" i="2" s="1"/>
  <c r="K667" i="2"/>
  <c r="S667" i="2" s="1"/>
  <c r="K682" i="2"/>
  <c r="S682" i="2" s="1"/>
  <c r="K734" i="2"/>
  <c r="S734" i="2" s="1"/>
  <c r="K803" i="2"/>
  <c r="S803" i="2" s="1"/>
  <c r="K828" i="2"/>
  <c r="S828" i="2" s="1"/>
  <c r="K895" i="2"/>
  <c r="S895" i="2" s="1"/>
  <c r="K961" i="2"/>
  <c r="S961" i="2" s="1"/>
  <c r="K1010" i="2"/>
  <c r="S1010" i="2" s="1"/>
  <c r="K1042" i="2"/>
  <c r="S1042" i="2" s="1"/>
  <c r="K1085" i="2"/>
  <c r="S1085" i="2" s="1"/>
  <c r="K1113" i="2"/>
  <c r="S1113" i="2" s="1"/>
  <c r="K1141" i="2"/>
  <c r="S1141" i="2" s="1"/>
  <c r="K1194" i="2"/>
  <c r="S1194" i="2" s="1"/>
  <c r="K1392" i="2"/>
  <c r="S1392" i="2" s="1"/>
  <c r="K1425" i="2"/>
  <c r="S1425" i="2" s="1"/>
  <c r="K1726" i="2"/>
  <c r="S1726" i="2" s="1"/>
  <c r="K1794" i="2"/>
  <c r="S1794" i="2" s="1"/>
  <c r="O512" i="2"/>
  <c r="S512" i="2" s="1"/>
  <c r="J56" i="2"/>
  <c r="R56" i="2" s="1"/>
  <c r="K267" i="2"/>
  <c r="S267" i="2" s="1"/>
  <c r="K291" i="2"/>
  <c r="S291" i="2" s="1"/>
  <c r="K348" i="2"/>
  <c r="S348" i="2" s="1"/>
  <c r="K605" i="2"/>
  <c r="S605" i="2" s="1"/>
  <c r="K613" i="2"/>
  <c r="S613" i="2" s="1"/>
  <c r="K1076" i="2"/>
  <c r="S1076" i="2" s="1"/>
  <c r="K1156" i="2"/>
  <c r="S1156" i="2" s="1"/>
  <c r="K1312" i="2"/>
  <c r="S1312" i="2" s="1"/>
  <c r="K1521" i="2"/>
  <c r="S1521" i="2" s="1"/>
  <c r="K1538" i="2"/>
  <c r="S1538" i="2" s="1"/>
  <c r="K1584" i="2"/>
  <c r="S1584" i="2" s="1"/>
  <c r="K1588" i="2"/>
  <c r="S1588" i="2" s="1"/>
  <c r="K1745" i="2"/>
  <c r="S1745" i="2" s="1"/>
  <c r="K1827" i="2"/>
  <c r="S1827" i="2" s="1"/>
  <c r="N122" i="2"/>
  <c r="O113" i="2"/>
  <c r="S113" i="2" s="1"/>
  <c r="O362" i="2"/>
  <c r="S362" i="2" s="1"/>
  <c r="O517" i="2"/>
  <c r="S517" i="2" s="1"/>
  <c r="N886" i="2"/>
  <c r="N859" i="2"/>
  <c r="I934" i="2"/>
  <c r="I1075" i="2"/>
  <c r="Q1075" i="2" s="1"/>
  <c r="J337" i="2"/>
  <c r="K454" i="2"/>
  <c r="S454" i="2" s="1"/>
  <c r="K458" i="2"/>
  <c r="S458" i="2" s="1"/>
  <c r="K688" i="2"/>
  <c r="S688" i="2" s="1"/>
  <c r="K826" i="2"/>
  <c r="S826" i="2" s="1"/>
  <c r="K868" i="2"/>
  <c r="S868" i="2" s="1"/>
  <c r="K1171" i="2"/>
  <c r="S1171" i="2" s="1"/>
  <c r="K1283" i="2"/>
  <c r="S1283" i="2" s="1"/>
  <c r="K1323" i="2"/>
  <c r="S1323" i="2" s="1"/>
  <c r="K1562" i="2"/>
  <c r="S1562" i="2" s="1"/>
  <c r="J1785" i="2"/>
  <c r="K1776" i="2"/>
  <c r="S1776" i="2" s="1"/>
  <c r="O188" i="2"/>
  <c r="S188" i="2" s="1"/>
  <c r="N296" i="2"/>
  <c r="R296" i="2" s="1"/>
  <c r="N639" i="2"/>
  <c r="N813" i="2"/>
  <c r="N915" i="2"/>
  <c r="N943" i="2"/>
  <c r="N465" i="2"/>
  <c r="N135" i="2"/>
  <c r="N39" i="2"/>
  <c r="N48" i="2"/>
  <c r="J1733" i="2"/>
  <c r="J1552" i="2"/>
  <c r="J1620" i="2"/>
  <c r="J1454" i="2"/>
  <c r="J620" i="2"/>
  <c r="J631" i="2"/>
  <c r="J644" i="2"/>
  <c r="R644" i="2" s="1"/>
  <c r="J665" i="2"/>
  <c r="J686" i="2"/>
  <c r="R686" i="2" s="1"/>
  <c r="J706" i="2"/>
  <c r="R706" i="2" s="1"/>
  <c r="J715" i="2"/>
  <c r="R715" i="2" s="1"/>
  <c r="J732" i="2"/>
  <c r="J758" i="2"/>
  <c r="J819" i="2"/>
  <c r="R819" i="2" s="1"/>
  <c r="J1083" i="2"/>
  <c r="J1090" i="2"/>
  <c r="R1090" i="2" s="1"/>
  <c r="J1097" i="2"/>
  <c r="J1104" i="2"/>
  <c r="R1104" i="2" s="1"/>
  <c r="J1111" i="2"/>
  <c r="J1118" i="2"/>
  <c r="R1118" i="2" s="1"/>
  <c r="J1125" i="2"/>
  <c r="J1132" i="2"/>
  <c r="R1132" i="2" s="1"/>
  <c r="J1139" i="2"/>
  <c r="R1139" i="2" s="1"/>
  <c r="J1146" i="2"/>
  <c r="R1146" i="2" s="1"/>
  <c r="J1153" i="2"/>
  <c r="J1168" i="2"/>
  <c r="J1175" i="2"/>
  <c r="R1175" i="2" s="1"/>
  <c r="J1183" i="2"/>
  <c r="R1183" i="2" s="1"/>
  <c r="J1200" i="2"/>
  <c r="R1200" i="2" s="1"/>
  <c r="J1217" i="2"/>
  <c r="R1217" i="2" s="1"/>
  <c r="J1222" i="2"/>
  <c r="R1222" i="2" s="1"/>
  <c r="J1237" i="2"/>
  <c r="R1237" i="2" s="1"/>
  <c r="J1273" i="2"/>
  <c r="J1293" i="2"/>
  <c r="J867" i="2"/>
  <c r="R771" i="2"/>
  <c r="J677" i="2"/>
  <c r="R677" i="2" s="1"/>
  <c r="J611" i="2"/>
  <c r="R611" i="2" s="1"/>
  <c r="J451" i="2"/>
  <c r="J365" i="2"/>
  <c r="J364" i="2" s="1"/>
  <c r="J357" i="2" s="1"/>
  <c r="J246" i="2"/>
  <c r="R246" i="2" s="1"/>
  <c r="J258" i="2"/>
  <c r="R258" i="2" s="1"/>
  <c r="I258" i="2"/>
  <c r="I290" i="2"/>
  <c r="J78" i="2"/>
  <c r="I434" i="1"/>
  <c r="I433" i="1" s="1"/>
  <c r="I432" i="1" s="1"/>
  <c r="I442" i="1" s="1"/>
  <c r="I449" i="1" s="1"/>
  <c r="H4" i="3" s="1"/>
  <c r="I369" i="1"/>
  <c r="I347" i="1"/>
  <c r="I329" i="1"/>
  <c r="I307" i="1"/>
  <c r="I207" i="1"/>
  <c r="I141" i="1" s="1"/>
  <c r="I130" i="1"/>
  <c r="I97" i="1"/>
  <c r="I30" i="1"/>
  <c r="I25" i="1" s="1"/>
  <c r="I9" i="1"/>
  <c r="I8" i="1" s="1"/>
  <c r="I380" i="1"/>
  <c r="I336" i="1"/>
  <c r="I123" i="1"/>
  <c r="I401" i="1"/>
  <c r="I400" i="1" s="1"/>
  <c r="I399" i="1" s="1"/>
  <c r="I398" i="1" s="1"/>
  <c r="I358" i="1"/>
  <c r="I105" i="1"/>
  <c r="I90" i="1"/>
  <c r="I79" i="1"/>
  <c r="I295" i="1"/>
  <c r="I214" i="1" s="1"/>
  <c r="I1823" i="2"/>
  <c r="M1839" i="2"/>
  <c r="O1839" i="2" s="1"/>
  <c r="S1839" i="2" s="1"/>
  <c r="I1791" i="2"/>
  <c r="M1680" i="2"/>
  <c r="I1727" i="2"/>
  <c r="I1736" i="2"/>
  <c r="K1736" i="2" s="1"/>
  <c r="S1736" i="2" s="1"/>
  <c r="I1773" i="2"/>
  <c r="I1749" i="2"/>
  <c r="I1744" i="2" s="1"/>
  <c r="I1764" i="2"/>
  <c r="K1764" i="2" s="1"/>
  <c r="S1764" i="2" s="1"/>
  <c r="M1552" i="2"/>
  <c r="O1552" i="2" s="1"/>
  <c r="M1590" i="2"/>
  <c r="O1590" i="2" s="1"/>
  <c r="S1590" i="2" s="1"/>
  <c r="I1593" i="2"/>
  <c r="Q1519" i="2"/>
  <c r="I1518" i="2"/>
  <c r="M1524" i="2"/>
  <c r="M1513" i="2"/>
  <c r="I1410" i="2"/>
  <c r="K1410" i="2" s="1"/>
  <c r="S1410" i="2" s="1"/>
  <c r="I1422" i="2"/>
  <c r="K1422" i="2" s="1"/>
  <c r="S1422" i="2" s="1"/>
  <c r="I1355" i="2"/>
  <c r="K1355" i="2" s="1"/>
  <c r="S1355" i="2" s="1"/>
  <c r="I1399" i="2"/>
  <c r="M1448" i="2"/>
  <c r="O1448" i="2" s="1"/>
  <c r="S1448" i="2" s="1"/>
  <c r="Q590" i="2"/>
  <c r="Q840" i="2"/>
  <c r="Q928" i="2"/>
  <c r="I924" i="2"/>
  <c r="Q949" i="2"/>
  <c r="I747" i="2"/>
  <c r="Q749" i="2"/>
  <c r="Q814" i="2"/>
  <c r="M813" i="2"/>
  <c r="I959" i="2"/>
  <c r="Q579" i="2"/>
  <c r="I578" i="2"/>
  <c r="Q616" i="2"/>
  <c r="I614" i="2"/>
  <c r="I611" i="2" s="1"/>
  <c r="Q622" i="2"/>
  <c r="I620" i="2"/>
  <c r="Q630" i="2"/>
  <c r="M629" i="2"/>
  <c r="O629" i="2" s="1"/>
  <c r="S629" i="2" s="1"/>
  <c r="Q645" i="2"/>
  <c r="Q735" i="2"/>
  <c r="I732" i="2"/>
  <c r="Q834" i="2"/>
  <c r="I831" i="2"/>
  <c r="K831" i="2" s="1"/>
  <c r="S831" i="2" s="1"/>
  <c r="Q1176" i="2"/>
  <c r="I1175" i="2"/>
  <c r="Q742" i="2"/>
  <c r="M741" i="2"/>
  <c r="Q745" i="2"/>
  <c r="Q989" i="2"/>
  <c r="I984" i="2"/>
  <c r="K984" i="2" s="1"/>
  <c r="S984" i="2" s="1"/>
  <c r="Q1091" i="2"/>
  <c r="I1090" i="2"/>
  <c r="Q1105" i="2"/>
  <c r="I1104" i="2"/>
  <c r="Q1119" i="2"/>
  <c r="I1118" i="2"/>
  <c r="Q1133" i="2"/>
  <c r="I1132" i="2"/>
  <c r="Q1147" i="2"/>
  <c r="I1146" i="2"/>
  <c r="Q1163" i="2"/>
  <c r="I1160" i="2"/>
  <c r="I1311" i="2"/>
  <c r="I1319" i="2"/>
  <c r="K600" i="2"/>
  <c r="S600" i="2" s="1"/>
  <c r="I603" i="2"/>
  <c r="I774" i="2"/>
  <c r="K774" i="2" s="1"/>
  <c r="S774" i="2" s="1"/>
  <c r="Q824" i="2"/>
  <c r="I842" i="2"/>
  <c r="I851" i="2"/>
  <c r="Q936" i="2"/>
  <c r="I1237" i="2"/>
  <c r="Q910" i="2"/>
  <c r="I906" i="2"/>
  <c r="Q762" i="2"/>
  <c r="I761" i="2"/>
  <c r="Q1184" i="2"/>
  <c r="I1183" i="2"/>
  <c r="Q1202" i="2"/>
  <c r="I1200" i="2"/>
  <c r="Q1224" i="2"/>
  <c r="I1222" i="2"/>
  <c r="Q1275" i="2"/>
  <c r="I1273" i="2"/>
  <c r="I972" i="2"/>
  <c r="M1291" i="2"/>
  <c r="O1291" i="2" s="1"/>
  <c r="S1291" i="2" s="1"/>
  <c r="M496" i="2"/>
  <c r="O496" i="2" s="1"/>
  <c r="S496" i="2" s="1"/>
  <c r="I432" i="2"/>
  <c r="I436" i="2"/>
  <c r="K436" i="2" s="1"/>
  <c r="S436" i="2" s="1"/>
  <c r="O449" i="2"/>
  <c r="S449" i="2" s="1"/>
  <c r="I451" i="2"/>
  <c r="M361" i="2"/>
  <c r="I368" i="2"/>
  <c r="K368" i="2" s="1"/>
  <c r="S368" i="2" s="1"/>
  <c r="I391" i="2"/>
  <c r="I270" i="2"/>
  <c r="I174" i="2"/>
  <c r="M187" i="2"/>
  <c r="O187" i="2" s="1"/>
  <c r="S187" i="2" s="1"/>
  <c r="M196" i="2"/>
  <c r="I128" i="2"/>
  <c r="K128" i="2" s="1"/>
  <c r="S128" i="2" s="1"/>
  <c r="I180" i="2"/>
  <c r="K180" i="2" s="1"/>
  <c r="S180" i="2" s="1"/>
  <c r="M112" i="2"/>
  <c r="I160" i="2"/>
  <c r="K160" i="2" s="1"/>
  <c r="S160" i="2" s="1"/>
  <c r="I86" i="2"/>
  <c r="Q86" i="2" s="1"/>
  <c r="O466" i="2" l="1"/>
  <c r="S466" i="2" s="1"/>
  <c r="B137" i="2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266" i="2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Q1606" i="2"/>
  <c r="I1605" i="2"/>
  <c r="I1582" i="2"/>
  <c r="B1615" i="2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Q102" i="2"/>
  <c r="B1511" i="2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Q822" i="2"/>
  <c r="I1500" i="2"/>
  <c r="K1500" i="2" s="1"/>
  <c r="S1500" i="2" s="1"/>
  <c r="K1501" i="2"/>
  <c r="S1501" i="2" s="1"/>
  <c r="J157" i="2"/>
  <c r="I157" i="2"/>
  <c r="I991" i="2"/>
  <c r="Q991" i="2" s="1"/>
  <c r="Q1583" i="2"/>
  <c r="B453" i="2"/>
  <c r="B454" i="2" s="1"/>
  <c r="B455" i="2" s="1"/>
  <c r="B456" i="2" s="1"/>
  <c r="B457" i="2" s="1"/>
  <c r="B458" i="2" s="1"/>
  <c r="B459" i="2" s="1"/>
  <c r="B460" i="2" s="1"/>
  <c r="B461" i="2" s="1"/>
  <c r="I1619" i="2"/>
  <c r="Q1619" i="2" s="1"/>
  <c r="O1513" i="2"/>
  <c r="S1513" i="2" s="1"/>
  <c r="M1512" i="2"/>
  <c r="M653" i="2"/>
  <c r="Q943" i="2"/>
  <c r="K302" i="2"/>
  <c r="S302" i="2" s="1"/>
  <c r="B1367" i="2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K432" i="2"/>
  <c r="S432" i="2" s="1"/>
  <c r="K283" i="2"/>
  <c r="S283" i="2" s="1"/>
  <c r="K1031" i="2"/>
  <c r="S1031" i="2" s="1"/>
  <c r="O1419" i="2"/>
  <c r="I280" i="2"/>
  <c r="I279" i="2" s="1"/>
  <c r="K1311" i="2"/>
  <c r="S1311" i="2" s="1"/>
  <c r="I686" i="2"/>
  <c r="Q686" i="2" s="1"/>
  <c r="M1413" i="2"/>
  <c r="O1413" i="2" s="1"/>
  <c r="S1413" i="2" s="1"/>
  <c r="K249" i="2"/>
  <c r="S249" i="2" s="1"/>
  <c r="O741" i="2"/>
  <c r="S741" i="2" s="1"/>
  <c r="N108" i="2"/>
  <c r="R108" i="2" s="1"/>
  <c r="K1319" i="2"/>
  <c r="S1319" i="2" s="1"/>
  <c r="I1316" i="2"/>
  <c r="I1310" i="2" s="1"/>
  <c r="R379" i="2"/>
  <c r="B750" i="2"/>
  <c r="B751" i="2" s="1"/>
  <c r="B752" i="2" s="1"/>
  <c r="B753" i="2" s="1"/>
  <c r="B754" i="2" s="1"/>
  <c r="B755" i="2" s="1"/>
  <c r="B756" i="2" s="1"/>
  <c r="B757" i="2" s="1"/>
  <c r="B758" i="2" s="1"/>
  <c r="B759" i="2" s="1"/>
  <c r="K1587" i="2"/>
  <c r="I301" i="2"/>
  <c r="Q301" i="2" s="1"/>
  <c r="K1791" i="2"/>
  <c r="S1791" i="2" s="1"/>
  <c r="K290" i="2"/>
  <c r="J1582" i="2"/>
  <c r="R1582" i="2" s="1"/>
  <c r="O116" i="2"/>
  <c r="S116" i="2" s="1"/>
  <c r="O144" i="2"/>
  <c r="M131" i="2"/>
  <c r="M290" i="2"/>
  <c r="M240" i="2" s="1"/>
  <c r="G9" i="3" s="1"/>
  <c r="J1822" i="2"/>
  <c r="J1821" i="2" s="1"/>
  <c r="E17" i="3" s="1"/>
  <c r="I1433" i="2"/>
  <c r="K1433" i="2" s="1"/>
  <c r="S1433" i="2" s="1"/>
  <c r="K1075" i="2"/>
  <c r="S1075" i="2" s="1"/>
  <c r="Q1555" i="2"/>
  <c r="K694" i="2"/>
  <c r="Q896" i="2"/>
  <c r="K379" i="2"/>
  <c r="K83" i="2"/>
  <c r="S83" i="2" s="1"/>
  <c r="J1755" i="2"/>
  <c r="R1755" i="2" s="1"/>
  <c r="J83" i="2"/>
  <c r="R83" i="2" s="1"/>
  <c r="O196" i="2"/>
  <c r="S196" i="2" s="1"/>
  <c r="Q703" i="2"/>
  <c r="O112" i="2"/>
  <c r="S112" i="2" s="1"/>
  <c r="K1773" i="2"/>
  <c r="S1773" i="2" s="1"/>
  <c r="K1436" i="2"/>
  <c r="S1436" i="2" s="1"/>
  <c r="K1830" i="2"/>
  <c r="K1007" i="2"/>
  <c r="S1007" i="2" s="1"/>
  <c r="I246" i="2"/>
  <c r="K246" i="2" s="1"/>
  <c r="S246" i="2" s="1"/>
  <c r="Q689" i="2"/>
  <c r="K578" i="2"/>
  <c r="S578" i="2" s="1"/>
  <c r="Q631" i="2"/>
  <c r="Q1007" i="2"/>
  <c r="Q1414" i="2"/>
  <c r="O352" i="2"/>
  <c r="S352" i="2" s="1"/>
  <c r="N1443" i="2"/>
  <c r="R1443" i="2" s="1"/>
  <c r="K992" i="2"/>
  <c r="S992" i="2" s="1"/>
  <c r="K118" i="2"/>
  <c r="I104" i="2"/>
  <c r="M758" i="2"/>
  <c r="M757" i="2" s="1"/>
  <c r="J1722" i="2"/>
  <c r="R1722" i="2" s="1"/>
  <c r="O1468" i="2"/>
  <c r="S1468" i="2" s="1"/>
  <c r="K1823" i="2"/>
  <c r="S1823" i="2" s="1"/>
  <c r="K999" i="2"/>
  <c r="S999" i="2" s="1"/>
  <c r="K270" i="2"/>
  <c r="S270" i="2" s="1"/>
  <c r="K1063" i="2"/>
  <c r="S1063" i="2" s="1"/>
  <c r="K656" i="2"/>
  <c r="S656" i="2" s="1"/>
  <c r="I1552" i="2"/>
  <c r="K1552" i="2" s="1"/>
  <c r="S1552" i="2" s="1"/>
  <c r="K1801" i="2"/>
  <c r="S1801" i="2" s="1"/>
  <c r="K1254" i="2"/>
  <c r="S1254" i="2" s="1"/>
  <c r="K1399" i="2"/>
  <c r="S1399" i="2" s="1"/>
  <c r="I653" i="2"/>
  <c r="K653" i="2" s="1"/>
  <c r="K732" i="2"/>
  <c r="Q674" i="2"/>
  <c r="K620" i="2"/>
  <c r="O813" i="2"/>
  <c r="S813" i="2" s="1"/>
  <c r="O1394" i="2"/>
  <c r="S1394" i="2" s="1"/>
  <c r="J1391" i="2"/>
  <c r="J1373" i="2" s="1"/>
  <c r="K1696" i="2"/>
  <c r="S1696" i="2" s="1"/>
  <c r="O157" i="2"/>
  <c r="K391" i="2"/>
  <c r="S391" i="2" s="1"/>
  <c r="I921" i="2"/>
  <c r="Q921" i="2" s="1"/>
  <c r="I1800" i="2"/>
  <c r="Q1800" i="2" s="1"/>
  <c r="I1712" i="2"/>
  <c r="Q1712" i="2" s="1"/>
  <c r="J104" i="2"/>
  <c r="J1744" i="2"/>
  <c r="R1744" i="2" s="1"/>
  <c r="Q352" i="2"/>
  <c r="I867" i="2"/>
  <c r="K867" i="2" s="1"/>
  <c r="M337" i="2"/>
  <c r="K192" i="2"/>
  <c r="K1692" i="2"/>
  <c r="S1692" i="2" s="1"/>
  <c r="R1419" i="2"/>
  <c r="K1055" i="2"/>
  <c r="S1055" i="2" s="1"/>
  <c r="O1395" i="2"/>
  <c r="S1395" i="2" s="1"/>
  <c r="Q1395" i="2"/>
  <c r="K1713" i="2"/>
  <c r="S1713" i="2" s="1"/>
  <c r="I101" i="2"/>
  <c r="K101" i="2" s="1"/>
  <c r="S101" i="2" s="1"/>
  <c r="I83" i="2"/>
  <c r="Q83" i="2" s="1"/>
  <c r="K972" i="2"/>
  <c r="S972" i="2" s="1"/>
  <c r="J9" i="2"/>
  <c r="R9" i="2" s="1"/>
  <c r="Q379" i="2"/>
  <c r="K105" i="2"/>
  <c r="S105" i="2" s="1"/>
  <c r="Q665" i="2"/>
  <c r="R78" i="2"/>
  <c r="J435" i="2"/>
  <c r="J431" i="2" s="1"/>
  <c r="E11" i="3" s="1"/>
  <c r="R451" i="2"/>
  <c r="J1537" i="2"/>
  <c r="R1537" i="2" s="1"/>
  <c r="R1552" i="2"/>
  <c r="N45" i="2"/>
  <c r="R45" i="2" s="1"/>
  <c r="R48" i="2"/>
  <c r="N921" i="2"/>
  <c r="R921" i="2" s="1"/>
  <c r="R943" i="2"/>
  <c r="M893" i="2"/>
  <c r="O915" i="2"/>
  <c r="S915" i="2" s="1"/>
  <c r="N1391" i="2"/>
  <c r="R1394" i="2"/>
  <c r="N1821" i="2"/>
  <c r="N364" i="2"/>
  <c r="O364" i="2" s="1"/>
  <c r="R365" i="2"/>
  <c r="J1679" i="2"/>
  <c r="R1679" i="2" s="1"/>
  <c r="R1680" i="2"/>
  <c r="K755" i="2"/>
  <c r="S755" i="2" s="1"/>
  <c r="R755" i="2"/>
  <c r="J269" i="2"/>
  <c r="R269" i="2" s="1"/>
  <c r="R270" i="2"/>
  <c r="N948" i="2"/>
  <c r="R948" i="2" s="1"/>
  <c r="R967" i="2"/>
  <c r="J1772" i="2"/>
  <c r="R1772" i="2" s="1"/>
  <c r="R1773" i="2"/>
  <c r="O943" i="2"/>
  <c r="S943" i="2" s="1"/>
  <c r="O379" i="2"/>
  <c r="O703" i="2"/>
  <c r="S703" i="2" s="1"/>
  <c r="J1310" i="2"/>
  <c r="R1310" i="2" s="1"/>
  <c r="R1316" i="2"/>
  <c r="K1111" i="2"/>
  <c r="S1111" i="2" s="1"/>
  <c r="R1111" i="2"/>
  <c r="K1083" i="2"/>
  <c r="S1083" i="2" s="1"/>
  <c r="R1083" i="2"/>
  <c r="J757" i="2"/>
  <c r="J754" i="2" s="1"/>
  <c r="N31" i="2"/>
  <c r="R31" i="2" s="1"/>
  <c r="R39" i="2"/>
  <c r="N893" i="2"/>
  <c r="R893" i="2" s="1"/>
  <c r="R915" i="2"/>
  <c r="K1785" i="2"/>
  <c r="S1785" i="2" s="1"/>
  <c r="R1785" i="2"/>
  <c r="K1139" i="2"/>
  <c r="S1139" i="2" s="1"/>
  <c r="K677" i="2"/>
  <c r="S677" i="2" s="1"/>
  <c r="Q1543" i="2"/>
  <c r="O1543" i="2"/>
  <c r="S1543" i="2" s="1"/>
  <c r="O365" i="2"/>
  <c r="R1378" i="2"/>
  <c r="R1383" i="2"/>
  <c r="N653" i="2"/>
  <c r="R662" i="2"/>
  <c r="N1273" i="2"/>
  <c r="N1074" i="2" s="1"/>
  <c r="R1290" i="2"/>
  <c r="J301" i="2"/>
  <c r="R301" i="2" s="1"/>
  <c r="R302" i="2"/>
  <c r="N1454" i="2"/>
  <c r="R1468" i="2"/>
  <c r="N665" i="2"/>
  <c r="O665" i="2" s="1"/>
  <c r="R674" i="2"/>
  <c r="J279" i="2"/>
  <c r="R279" i="2" s="1"/>
  <c r="R280" i="2"/>
  <c r="K1583" i="2"/>
  <c r="S1583" i="2" s="1"/>
  <c r="Q1444" i="2"/>
  <c r="O1444" i="2"/>
  <c r="S1444" i="2" s="1"/>
  <c r="K1487" i="2"/>
  <c r="S1487" i="2" s="1"/>
  <c r="O862" i="2"/>
  <c r="S862" i="2" s="1"/>
  <c r="Q862" i="2"/>
  <c r="M859" i="2"/>
  <c r="M1679" i="2"/>
  <c r="O1680" i="2"/>
  <c r="K1293" i="2"/>
  <c r="S1293" i="2" s="1"/>
  <c r="R1293" i="2"/>
  <c r="K1168" i="2"/>
  <c r="S1168" i="2" s="1"/>
  <c r="R1168" i="2"/>
  <c r="J1619" i="2"/>
  <c r="R1619" i="2" s="1"/>
  <c r="R1620" i="2"/>
  <c r="J1732" i="2"/>
  <c r="R1732" i="2" s="1"/>
  <c r="R1733" i="2"/>
  <c r="N793" i="2"/>
  <c r="R793" i="2" s="1"/>
  <c r="R813" i="2"/>
  <c r="N839" i="2"/>
  <c r="R839" i="2" s="1"/>
  <c r="R859" i="2"/>
  <c r="Q1469" i="2"/>
  <c r="O1469" i="2"/>
  <c r="S1469" i="2" s="1"/>
  <c r="N435" i="2"/>
  <c r="R449" i="2"/>
  <c r="J1800" i="2"/>
  <c r="R1800" i="2" s="1"/>
  <c r="R1801" i="2"/>
  <c r="J1612" i="2"/>
  <c r="R1612" i="2" s="1"/>
  <c r="R1613" i="2"/>
  <c r="J1506" i="2"/>
  <c r="R1518" i="2"/>
  <c r="J131" i="2"/>
  <c r="R144" i="2"/>
  <c r="K1349" i="2"/>
  <c r="S1349" i="2" s="1"/>
  <c r="R1349" i="2"/>
  <c r="J991" i="2"/>
  <c r="R992" i="2"/>
  <c r="J387" i="2"/>
  <c r="R387" i="2" s="1"/>
  <c r="R391" i="2"/>
  <c r="J64" i="2"/>
  <c r="R64" i="2" s="1"/>
  <c r="R65" i="2"/>
  <c r="Q1602" i="2"/>
  <c r="O1602" i="2"/>
  <c r="S1602" i="2" s="1"/>
  <c r="N179" i="2"/>
  <c r="R179" i="2" s="1"/>
  <c r="R186" i="2"/>
  <c r="J1695" i="2"/>
  <c r="R1695" i="2" s="1"/>
  <c r="R1696" i="2"/>
  <c r="N732" i="2"/>
  <c r="R732" i="2" s="1"/>
  <c r="R741" i="2"/>
  <c r="J1712" i="2"/>
  <c r="R1712" i="2" s="1"/>
  <c r="R1713" i="2"/>
  <c r="J1790" i="2"/>
  <c r="R1790" i="2" s="1"/>
  <c r="R1791" i="2"/>
  <c r="J1608" i="2"/>
  <c r="J1606" i="2" s="1"/>
  <c r="K1606" i="2" s="1"/>
  <c r="S1606" i="2" s="1"/>
  <c r="R1609" i="2"/>
  <c r="S78" i="2"/>
  <c r="K1782" i="2"/>
  <c r="S1782" i="2" s="1"/>
  <c r="Q1383" i="2"/>
  <c r="O1383" i="2"/>
  <c r="S1383" i="2" s="1"/>
  <c r="K784" i="2"/>
  <c r="S784" i="2" s="1"/>
  <c r="Q784" i="2"/>
  <c r="Q639" i="2"/>
  <c r="O639" i="2"/>
  <c r="S639" i="2" s="1"/>
  <c r="K1023" i="2"/>
  <c r="S1023" i="2" s="1"/>
  <c r="O662" i="2"/>
  <c r="S662" i="2" s="1"/>
  <c r="Q1524" i="2"/>
  <c r="O1524" i="2"/>
  <c r="S1524" i="2" s="1"/>
  <c r="K1153" i="2"/>
  <c r="S1153" i="2" s="1"/>
  <c r="R1153" i="2"/>
  <c r="K1125" i="2"/>
  <c r="S1125" i="2" s="1"/>
  <c r="R1125" i="2"/>
  <c r="K1097" i="2"/>
  <c r="S1097" i="2" s="1"/>
  <c r="R1097" i="2"/>
  <c r="J1442" i="2"/>
  <c r="N131" i="2"/>
  <c r="R135" i="2"/>
  <c r="N464" i="2"/>
  <c r="R465" i="2"/>
  <c r="N631" i="2"/>
  <c r="R639" i="2"/>
  <c r="N867" i="2"/>
  <c r="R867" i="2" s="1"/>
  <c r="R886" i="2"/>
  <c r="N118" i="2"/>
  <c r="R122" i="2"/>
  <c r="Q1546" i="2"/>
  <c r="O1546" i="2"/>
  <c r="S1546" i="2" s="1"/>
  <c r="N1409" i="2"/>
  <c r="R1409" i="2" s="1"/>
  <c r="R1413" i="2"/>
  <c r="N758" i="2"/>
  <c r="N757" i="2" s="1"/>
  <c r="R768" i="2"/>
  <c r="N620" i="2"/>
  <c r="R620" i="2" s="1"/>
  <c r="R628" i="2"/>
  <c r="N337" i="2"/>
  <c r="R337" i="2" s="1"/>
  <c r="R352" i="2"/>
  <c r="N694" i="2"/>
  <c r="R694" i="2" s="1"/>
  <c r="R703" i="2"/>
  <c r="N192" i="2"/>
  <c r="R192" i="2" s="1"/>
  <c r="R196" i="2"/>
  <c r="Q384" i="2"/>
  <c r="K384" i="2"/>
  <c r="S384" i="2" s="1"/>
  <c r="O674" i="2"/>
  <c r="S674" i="2" s="1"/>
  <c r="K108" i="2"/>
  <c r="O768" i="2"/>
  <c r="S768" i="2" s="1"/>
  <c r="Q1183" i="2"/>
  <c r="K1183" i="2"/>
  <c r="S1183" i="2" s="1"/>
  <c r="Q1237" i="2"/>
  <c r="K1237" i="2"/>
  <c r="S1237" i="2" s="1"/>
  <c r="Q589" i="2"/>
  <c r="K589" i="2"/>
  <c r="S589" i="2" s="1"/>
  <c r="Q258" i="2"/>
  <c r="K258" i="2"/>
  <c r="S258" i="2" s="1"/>
  <c r="Q241" i="2"/>
  <c r="K241" i="2"/>
  <c r="S241" i="2" s="1"/>
  <c r="Q723" i="2"/>
  <c r="K723" i="2"/>
  <c r="S723" i="2" s="1"/>
  <c r="Q842" i="2"/>
  <c r="K842" i="2"/>
  <c r="S842" i="2" s="1"/>
  <c r="Q1118" i="2"/>
  <c r="K1118" i="2"/>
  <c r="S1118" i="2" s="1"/>
  <c r="Q1090" i="2"/>
  <c r="K1090" i="2"/>
  <c r="S1090" i="2" s="1"/>
  <c r="Q1727" i="2"/>
  <c r="K1727" i="2"/>
  <c r="S1727" i="2" s="1"/>
  <c r="Q122" i="2"/>
  <c r="O122" i="2"/>
  <c r="S122" i="2" s="1"/>
  <c r="Q934" i="2"/>
  <c r="K934" i="2"/>
  <c r="S934" i="2" s="1"/>
  <c r="Q1047" i="2"/>
  <c r="K1047" i="2"/>
  <c r="S1047" i="2" s="1"/>
  <c r="K1039" i="2"/>
  <c r="S1039" i="2" s="1"/>
  <c r="Q1039" i="2"/>
  <c r="Q870" i="2"/>
  <c r="K870" i="2"/>
  <c r="S870" i="2" s="1"/>
  <c r="Q709" i="2"/>
  <c r="K709" i="2"/>
  <c r="S709" i="2" s="1"/>
  <c r="Q1015" i="2"/>
  <c r="K1015" i="2"/>
  <c r="S1015" i="2" s="1"/>
  <c r="Q1378" i="2"/>
  <c r="K1378" i="2"/>
  <c r="Q1218" i="2"/>
  <c r="K1218" i="2"/>
  <c r="S1218" i="2" s="1"/>
  <c r="I1217" i="2"/>
  <c r="K805" i="2"/>
  <c r="S805" i="2" s="1"/>
  <c r="Q805" i="2"/>
  <c r="Q647" i="2"/>
  <c r="K647" i="2"/>
  <c r="S647" i="2" s="1"/>
  <c r="Q451" i="2"/>
  <c r="K451" i="2"/>
  <c r="S451" i="2" s="1"/>
  <c r="Q1200" i="2"/>
  <c r="K1200" i="2"/>
  <c r="S1200" i="2" s="1"/>
  <c r="Q906" i="2"/>
  <c r="K906" i="2"/>
  <c r="S906" i="2" s="1"/>
  <c r="Q851" i="2"/>
  <c r="K851" i="2"/>
  <c r="S851" i="2" s="1"/>
  <c r="Q959" i="2"/>
  <c r="K959" i="2"/>
  <c r="S959" i="2" s="1"/>
  <c r="Q1749" i="2"/>
  <c r="K1749" i="2"/>
  <c r="S1749" i="2" s="1"/>
  <c r="Q1697" i="2"/>
  <c r="K1697" i="2"/>
  <c r="S1697" i="2" s="1"/>
  <c r="Q879" i="2"/>
  <c r="K879" i="2"/>
  <c r="S879" i="2" s="1"/>
  <c r="Q340" i="2"/>
  <c r="K340" i="2"/>
  <c r="S340" i="2" s="1"/>
  <c r="I337" i="2"/>
  <c r="K1680" i="2"/>
  <c r="I1679" i="2"/>
  <c r="K144" i="2"/>
  <c r="Q144" i="2"/>
  <c r="Q1374" i="2"/>
  <c r="K1374" i="2"/>
  <c r="S1374" i="2" s="1"/>
  <c r="Q123" i="2"/>
  <c r="O123" i="2"/>
  <c r="S123" i="2" s="1"/>
  <c r="K1620" i="2"/>
  <c r="S1620" i="2" s="1"/>
  <c r="K1273" i="2"/>
  <c r="Q796" i="2"/>
  <c r="K1454" i="2"/>
  <c r="I131" i="2"/>
  <c r="Q1222" i="2"/>
  <c r="K1222" i="2"/>
  <c r="S1222" i="2" s="1"/>
  <c r="Q761" i="2"/>
  <c r="K761" i="2"/>
  <c r="S761" i="2" s="1"/>
  <c r="Q603" i="2"/>
  <c r="K603" i="2"/>
  <c r="S603" i="2" s="1"/>
  <c r="Q1518" i="2"/>
  <c r="K1518" i="2"/>
  <c r="S1518" i="2" s="1"/>
  <c r="Q715" i="2"/>
  <c r="K715" i="2"/>
  <c r="S715" i="2" s="1"/>
  <c r="Q1613" i="2"/>
  <c r="K1613" i="2"/>
  <c r="S1613" i="2" s="1"/>
  <c r="I1612" i="2"/>
  <c r="Q611" i="2"/>
  <c r="K611" i="2"/>
  <c r="S611" i="2" s="1"/>
  <c r="Q1146" i="2"/>
  <c r="K1146" i="2"/>
  <c r="S1146" i="2" s="1"/>
  <c r="Q1175" i="2"/>
  <c r="K1175" i="2"/>
  <c r="S1175" i="2" s="1"/>
  <c r="Q614" i="2"/>
  <c r="K614" i="2"/>
  <c r="S614" i="2" s="1"/>
  <c r="Q1593" i="2"/>
  <c r="Q1744" i="2"/>
  <c r="Q706" i="2"/>
  <c r="K706" i="2"/>
  <c r="S706" i="2" s="1"/>
  <c r="Q174" i="2"/>
  <c r="K174" i="2"/>
  <c r="S174" i="2" s="1"/>
  <c r="Q361" i="2"/>
  <c r="O361" i="2"/>
  <c r="S361" i="2" s="1"/>
  <c r="Q1160" i="2"/>
  <c r="K1160" i="2"/>
  <c r="S1160" i="2" s="1"/>
  <c r="Q1132" i="2"/>
  <c r="K1132" i="2"/>
  <c r="S1132" i="2" s="1"/>
  <c r="Q1104" i="2"/>
  <c r="K1104" i="2"/>
  <c r="S1104" i="2" s="1"/>
  <c r="Q747" i="2"/>
  <c r="K747" i="2"/>
  <c r="S747" i="2" s="1"/>
  <c r="Q924" i="2"/>
  <c r="K924" i="2"/>
  <c r="S924" i="2" s="1"/>
  <c r="N290" i="2"/>
  <c r="O296" i="2"/>
  <c r="S296" i="2" s="1"/>
  <c r="Q1326" i="2"/>
  <c r="K1326" i="2"/>
  <c r="S1326" i="2" s="1"/>
  <c r="Q1723" i="2"/>
  <c r="K1723" i="2"/>
  <c r="S1723" i="2" s="1"/>
  <c r="Q968" i="2"/>
  <c r="M967" i="2"/>
  <c r="O967" i="2" s="1"/>
  <c r="S967" i="2" s="1"/>
  <c r="K168" i="2"/>
  <c r="S168" i="2" s="1"/>
  <c r="Q168" i="2"/>
  <c r="Q697" i="2"/>
  <c r="K697" i="2"/>
  <c r="S697" i="2" s="1"/>
  <c r="Q592" i="2"/>
  <c r="K592" i="2"/>
  <c r="S592" i="2" s="1"/>
  <c r="M886" i="2"/>
  <c r="O886" i="2" s="1"/>
  <c r="S886" i="2" s="1"/>
  <c r="Q890" i="2"/>
  <c r="O135" i="2"/>
  <c r="S135" i="2" s="1"/>
  <c r="I77" i="2"/>
  <c r="I793" i="2"/>
  <c r="K793" i="2" s="1"/>
  <c r="I644" i="2"/>
  <c r="M1537" i="2"/>
  <c r="O1537" i="2" s="1"/>
  <c r="K631" i="2"/>
  <c r="K665" i="2"/>
  <c r="M118" i="2"/>
  <c r="J599" i="2"/>
  <c r="J1082" i="2"/>
  <c r="I54" i="1"/>
  <c r="I24" i="1" s="1"/>
  <c r="I426" i="1" s="1"/>
  <c r="I448" i="1" s="1"/>
  <c r="E4" i="3" s="1"/>
  <c r="K4" i="3" s="1"/>
  <c r="I1822" i="2"/>
  <c r="Q1823" i="2"/>
  <c r="Q1839" i="2"/>
  <c r="M1830" i="2"/>
  <c r="O1830" i="2" s="1"/>
  <c r="Q1764" i="2"/>
  <c r="I1761" i="2"/>
  <c r="K1761" i="2" s="1"/>
  <c r="S1761" i="2" s="1"/>
  <c r="I1733" i="2"/>
  <c r="K1733" i="2" s="1"/>
  <c r="S1733" i="2" s="1"/>
  <c r="Q1736" i="2"/>
  <c r="Q1791" i="2"/>
  <c r="I1790" i="2"/>
  <c r="Q1773" i="2"/>
  <c r="I1772" i="2"/>
  <c r="Q1696" i="2"/>
  <c r="I1695" i="2"/>
  <c r="I1722" i="2"/>
  <c r="Q1680" i="2"/>
  <c r="M1587" i="2"/>
  <c r="O1587" i="2" s="1"/>
  <c r="Q1590" i="2"/>
  <c r="Q1513" i="2"/>
  <c r="I1506" i="2"/>
  <c r="Q1399" i="2"/>
  <c r="I1391" i="2"/>
  <c r="I1419" i="2"/>
  <c r="Q1422" i="2"/>
  <c r="Q1448" i="2"/>
  <c r="M1443" i="2"/>
  <c r="M1391" i="2"/>
  <c r="Q1394" i="2"/>
  <c r="M1454" i="2"/>
  <c r="Q1468" i="2"/>
  <c r="Q1355" i="2"/>
  <c r="I1354" i="2"/>
  <c r="K1354" i="2" s="1"/>
  <c r="S1354" i="2" s="1"/>
  <c r="Q1410" i="2"/>
  <c r="Q972" i="2"/>
  <c r="Q1319" i="2"/>
  <c r="Q774" i="2"/>
  <c r="I771" i="2"/>
  <c r="Q600" i="2"/>
  <c r="Q741" i="2"/>
  <c r="M732" i="2"/>
  <c r="Q629" i="2"/>
  <c r="M628" i="2"/>
  <c r="O628" i="2" s="1"/>
  <c r="S628" i="2" s="1"/>
  <c r="Q813" i="2"/>
  <c r="M793" i="2"/>
  <c r="Q694" i="2"/>
  <c r="I839" i="2"/>
  <c r="M1290" i="2"/>
  <c r="O1290" i="2" s="1"/>
  <c r="S1290" i="2" s="1"/>
  <c r="Q1291" i="2"/>
  <c r="Q1311" i="2"/>
  <c r="Q984" i="2"/>
  <c r="I981" i="2"/>
  <c r="I819" i="2"/>
  <c r="Q831" i="2"/>
  <c r="Q578" i="2"/>
  <c r="I758" i="2"/>
  <c r="K758" i="2" s="1"/>
  <c r="I744" i="2"/>
  <c r="I1082" i="2"/>
  <c r="I948" i="2"/>
  <c r="I893" i="2"/>
  <c r="M465" i="2"/>
  <c r="O465" i="2" s="1"/>
  <c r="S465" i="2" s="1"/>
  <c r="Q496" i="2"/>
  <c r="Q432" i="2"/>
  <c r="I435" i="2"/>
  <c r="Q436" i="2"/>
  <c r="Q449" i="2"/>
  <c r="M435" i="2"/>
  <c r="Q368" i="2"/>
  <c r="I365" i="2"/>
  <c r="K365" i="2" s="1"/>
  <c r="Q391" i="2"/>
  <c r="I387" i="2"/>
  <c r="M357" i="2"/>
  <c r="Q270" i="2"/>
  <c r="I269" i="2"/>
  <c r="Q112" i="2"/>
  <c r="M108" i="2"/>
  <c r="Q196" i="2"/>
  <c r="M192" i="2"/>
  <c r="Q160" i="2"/>
  <c r="Q128" i="2"/>
  <c r="I127" i="2"/>
  <c r="I179" i="2"/>
  <c r="K179" i="2" s="1"/>
  <c r="Q180" i="2"/>
  <c r="Q187" i="2"/>
  <c r="M186" i="2"/>
  <c r="O186" i="2" s="1"/>
  <c r="S186" i="2" s="1"/>
  <c r="M1409" i="2" l="1"/>
  <c r="B462" i="2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J336" i="2"/>
  <c r="E10" i="3" s="1"/>
  <c r="K991" i="2"/>
  <c r="S991" i="2" s="1"/>
  <c r="K686" i="2"/>
  <c r="S686" i="2" s="1"/>
  <c r="N104" i="2"/>
  <c r="N100" i="2" s="1"/>
  <c r="H8" i="3" s="1"/>
  <c r="I450" i="1"/>
  <c r="B760" i="2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N1373" i="2"/>
  <c r="Q1605" i="2"/>
  <c r="J1605" i="2"/>
  <c r="R1606" i="2"/>
  <c r="O653" i="2"/>
  <c r="S653" i="2" s="1"/>
  <c r="K280" i="2"/>
  <c r="S280" i="2" s="1"/>
  <c r="Q280" i="2"/>
  <c r="Q653" i="2"/>
  <c r="I1537" i="2"/>
  <c r="Q1537" i="2" s="1"/>
  <c r="B1381" i="2"/>
  <c r="Q1413" i="2"/>
  <c r="Q290" i="2"/>
  <c r="K435" i="2"/>
  <c r="Q1500" i="2"/>
  <c r="S1587" i="2"/>
  <c r="K77" i="2"/>
  <c r="S77" i="2" s="1"/>
  <c r="J77" i="2"/>
  <c r="E7" i="3" s="1"/>
  <c r="K7" i="3" s="1"/>
  <c r="O1391" i="2"/>
  <c r="S1830" i="2"/>
  <c r="N1442" i="2"/>
  <c r="O131" i="2"/>
  <c r="O732" i="2"/>
  <c r="S732" i="2" s="1"/>
  <c r="O1409" i="2"/>
  <c r="O1512" i="2"/>
  <c r="S1512" i="2" s="1"/>
  <c r="Q1552" i="2"/>
  <c r="O108" i="2"/>
  <c r="S108" i="2" s="1"/>
  <c r="R435" i="2"/>
  <c r="R1822" i="2"/>
  <c r="Q131" i="2"/>
  <c r="Q1433" i="2"/>
  <c r="S144" i="2"/>
  <c r="K1506" i="2"/>
  <c r="K1695" i="2"/>
  <c r="S1695" i="2" s="1"/>
  <c r="K1800" i="2"/>
  <c r="S1800" i="2" s="1"/>
  <c r="K104" i="2"/>
  <c r="K1391" i="2"/>
  <c r="K1582" i="2"/>
  <c r="S379" i="2"/>
  <c r="K1744" i="2"/>
  <c r="S1744" i="2" s="1"/>
  <c r="Q246" i="2"/>
  <c r="J1348" i="2"/>
  <c r="E13" i="3" s="1"/>
  <c r="J1721" i="2"/>
  <c r="J1678" i="2" s="1"/>
  <c r="K921" i="2"/>
  <c r="Q101" i="2"/>
  <c r="K1722" i="2"/>
  <c r="S1722" i="2" s="1"/>
  <c r="R1454" i="2"/>
  <c r="R1273" i="2"/>
  <c r="O1454" i="2"/>
  <c r="S1454" i="2" s="1"/>
  <c r="R1391" i="2"/>
  <c r="R157" i="2"/>
  <c r="J100" i="2"/>
  <c r="E8" i="3" s="1"/>
  <c r="S1680" i="2"/>
  <c r="K1082" i="2"/>
  <c r="S1082" i="2" s="1"/>
  <c r="O921" i="2"/>
  <c r="O793" i="2"/>
  <c r="S793" i="2" s="1"/>
  <c r="J240" i="2"/>
  <c r="E9" i="3" s="1"/>
  <c r="K1619" i="2"/>
  <c r="S1619" i="2" s="1"/>
  <c r="K301" i="2"/>
  <c r="S301" i="2" s="1"/>
  <c r="R665" i="2"/>
  <c r="R653" i="2"/>
  <c r="K1537" i="2"/>
  <c r="S1537" i="2" s="1"/>
  <c r="O435" i="2"/>
  <c r="N754" i="2"/>
  <c r="R754" i="2" s="1"/>
  <c r="K1712" i="2"/>
  <c r="S1712" i="2" s="1"/>
  <c r="N8" i="2"/>
  <c r="H6" i="3" s="1"/>
  <c r="K131" i="2"/>
  <c r="S665" i="2"/>
  <c r="N599" i="2"/>
  <c r="N577" i="2" s="1"/>
  <c r="J1486" i="2"/>
  <c r="J8" i="2"/>
  <c r="O859" i="2"/>
  <c r="S859" i="2" s="1"/>
  <c r="Q859" i="2"/>
  <c r="M839" i="2"/>
  <c r="O839" i="2" s="1"/>
  <c r="R757" i="2"/>
  <c r="K1442" i="2"/>
  <c r="R631" i="2"/>
  <c r="Q732" i="2"/>
  <c r="J577" i="2"/>
  <c r="Q77" i="2"/>
  <c r="D7" i="3"/>
  <c r="R118" i="2"/>
  <c r="O694" i="2"/>
  <c r="S694" i="2" s="1"/>
  <c r="O337" i="2"/>
  <c r="O758" i="2"/>
  <c r="S758" i="2" s="1"/>
  <c r="H17" i="3"/>
  <c r="K17" i="3" s="1"/>
  <c r="R1821" i="2"/>
  <c r="O893" i="2"/>
  <c r="N240" i="2"/>
  <c r="O240" i="2" s="1"/>
  <c r="R290" i="2"/>
  <c r="N431" i="2"/>
  <c r="R464" i="2"/>
  <c r="R1608" i="2"/>
  <c r="K1608" i="2"/>
  <c r="S1608" i="2" s="1"/>
  <c r="R991" i="2"/>
  <c r="J971" i="2"/>
  <c r="R971" i="2" s="1"/>
  <c r="R131" i="2"/>
  <c r="M1678" i="2"/>
  <c r="O1679" i="2"/>
  <c r="S365" i="2"/>
  <c r="O631" i="2"/>
  <c r="S631" i="2" s="1"/>
  <c r="O757" i="2"/>
  <c r="O1378" i="2"/>
  <c r="S1378" i="2" s="1"/>
  <c r="Q1443" i="2"/>
  <c r="O1443" i="2"/>
  <c r="S1443" i="2" s="1"/>
  <c r="J1074" i="2"/>
  <c r="R1074" i="2" s="1"/>
  <c r="R1082" i="2"/>
  <c r="O290" i="2"/>
  <c r="S290" i="2" s="1"/>
  <c r="N1506" i="2"/>
  <c r="N1486" i="2" s="1"/>
  <c r="H14" i="3" s="1"/>
  <c r="R1512" i="2"/>
  <c r="R758" i="2"/>
  <c r="R364" i="2"/>
  <c r="N357" i="2"/>
  <c r="O357" i="2" s="1"/>
  <c r="Q192" i="2"/>
  <c r="O192" i="2"/>
  <c r="S192" i="2" s="1"/>
  <c r="Q279" i="2"/>
  <c r="K279" i="2"/>
  <c r="S279" i="2" s="1"/>
  <c r="Q387" i="2"/>
  <c r="K387" i="2"/>
  <c r="S387" i="2" s="1"/>
  <c r="Q893" i="2"/>
  <c r="K893" i="2"/>
  <c r="Q744" i="2"/>
  <c r="K744" i="2"/>
  <c r="S744" i="2" s="1"/>
  <c r="K839" i="2"/>
  <c r="Q1772" i="2"/>
  <c r="K1772" i="2"/>
  <c r="S1772" i="2" s="1"/>
  <c r="M867" i="2"/>
  <c r="O867" i="2" s="1"/>
  <c r="S867" i="2" s="1"/>
  <c r="Q886" i="2"/>
  <c r="K1679" i="2"/>
  <c r="Q1679" i="2"/>
  <c r="Q1419" i="2"/>
  <c r="K1419" i="2"/>
  <c r="S1419" i="2" s="1"/>
  <c r="I1821" i="2"/>
  <c r="K1822" i="2"/>
  <c r="Q118" i="2"/>
  <c r="O118" i="2"/>
  <c r="S118" i="2" s="1"/>
  <c r="M948" i="2"/>
  <c r="Q967" i="2"/>
  <c r="Q1612" i="2"/>
  <c r="K1612" i="2"/>
  <c r="S1612" i="2" s="1"/>
  <c r="Q793" i="2"/>
  <c r="I1536" i="2"/>
  <c r="Q127" i="2"/>
  <c r="K127" i="2"/>
  <c r="S127" i="2" s="1"/>
  <c r="Q819" i="2"/>
  <c r="K819" i="2"/>
  <c r="S819" i="2" s="1"/>
  <c r="Q644" i="2"/>
  <c r="K644" i="2"/>
  <c r="S644" i="2" s="1"/>
  <c r="Q1217" i="2"/>
  <c r="K1217" i="2"/>
  <c r="S1217" i="2" s="1"/>
  <c r="Q1310" i="2"/>
  <c r="K1310" i="2"/>
  <c r="S1310" i="2" s="1"/>
  <c r="Q1316" i="2"/>
  <c r="K1316" i="2"/>
  <c r="S1316" i="2" s="1"/>
  <c r="Q269" i="2"/>
  <c r="K269" i="2"/>
  <c r="S269" i="2" s="1"/>
  <c r="K948" i="2"/>
  <c r="Q981" i="2"/>
  <c r="K981" i="2"/>
  <c r="S981" i="2" s="1"/>
  <c r="Q771" i="2"/>
  <c r="K771" i="2"/>
  <c r="S771" i="2" s="1"/>
  <c r="Q1790" i="2"/>
  <c r="K1790" i="2"/>
  <c r="S1790" i="2" s="1"/>
  <c r="K337" i="2"/>
  <c r="Q337" i="2"/>
  <c r="I431" i="2"/>
  <c r="I1486" i="2"/>
  <c r="Q1830" i="2"/>
  <c r="M1822" i="2"/>
  <c r="O1822" i="2" s="1"/>
  <c r="S1822" i="2" s="1"/>
  <c r="Q1695" i="2"/>
  <c r="Q1761" i="2"/>
  <c r="I1755" i="2"/>
  <c r="Q1722" i="2"/>
  <c r="Q1733" i="2"/>
  <c r="I1732" i="2"/>
  <c r="M1582" i="2"/>
  <c r="O1582" i="2" s="1"/>
  <c r="Q1587" i="2"/>
  <c r="Q1512" i="2"/>
  <c r="M1506" i="2"/>
  <c r="Q1506" i="2" s="1"/>
  <c r="Q1391" i="2"/>
  <c r="Q1354" i="2"/>
  <c r="M1442" i="2"/>
  <c r="Q1454" i="2"/>
  <c r="M1373" i="2"/>
  <c r="I1409" i="2"/>
  <c r="Q1082" i="2"/>
  <c r="I1074" i="2"/>
  <c r="Q758" i="2"/>
  <c r="I757" i="2"/>
  <c r="K757" i="2" s="1"/>
  <c r="M1273" i="2"/>
  <c r="O1273" i="2" s="1"/>
  <c r="S1273" i="2" s="1"/>
  <c r="Q1290" i="2"/>
  <c r="M620" i="2"/>
  <c r="O620" i="2" s="1"/>
  <c r="S620" i="2" s="1"/>
  <c r="Q628" i="2"/>
  <c r="I971" i="2"/>
  <c r="I599" i="2"/>
  <c r="K599" i="2" s="1"/>
  <c r="Q435" i="2"/>
  <c r="M464" i="2"/>
  <c r="Q465" i="2"/>
  <c r="M336" i="2"/>
  <c r="I364" i="2"/>
  <c r="K364" i="2" s="1"/>
  <c r="S364" i="2" s="1"/>
  <c r="Q365" i="2"/>
  <c r="I240" i="2"/>
  <c r="D9" i="3" s="1"/>
  <c r="K157" i="2"/>
  <c r="S157" i="2" s="1"/>
  <c r="Q186" i="2"/>
  <c r="M179" i="2"/>
  <c r="M104" i="2"/>
  <c r="Q108" i="2"/>
  <c r="N1348" i="2" l="1"/>
  <c r="H13" i="3" s="1"/>
  <c r="K13" i="3" s="1"/>
  <c r="O104" i="2"/>
  <c r="R104" i="2"/>
  <c r="R1605" i="2"/>
  <c r="J1593" i="2"/>
  <c r="B784" i="2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K1605" i="2"/>
  <c r="S1605" i="2" s="1"/>
  <c r="R1442" i="2"/>
  <c r="B1382" i="2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R77" i="2"/>
  <c r="S435" i="2"/>
  <c r="S921" i="2"/>
  <c r="S1582" i="2"/>
  <c r="R1721" i="2"/>
  <c r="S893" i="2"/>
  <c r="S1391" i="2"/>
  <c r="R1373" i="2"/>
  <c r="S131" i="2"/>
  <c r="S757" i="2"/>
  <c r="S104" i="2"/>
  <c r="S839" i="2"/>
  <c r="R100" i="2"/>
  <c r="F9" i="3"/>
  <c r="R577" i="2"/>
  <c r="S1679" i="2"/>
  <c r="R599" i="2"/>
  <c r="K1074" i="2"/>
  <c r="Q839" i="2"/>
  <c r="J576" i="2"/>
  <c r="E12" i="3" s="1"/>
  <c r="N576" i="2"/>
  <c r="H12" i="3" s="1"/>
  <c r="F7" i="3"/>
  <c r="L7" i="3" s="1"/>
  <c r="H11" i="3"/>
  <c r="K11" i="3" s="1"/>
  <c r="R431" i="2"/>
  <c r="H9" i="3"/>
  <c r="R240" i="2"/>
  <c r="S337" i="2"/>
  <c r="E6" i="3"/>
  <c r="K6" i="3" s="1"/>
  <c r="R8" i="2"/>
  <c r="Q1442" i="2"/>
  <c r="O1442" i="2"/>
  <c r="S1442" i="2" s="1"/>
  <c r="D15" i="3"/>
  <c r="M1486" i="2"/>
  <c r="Q1486" i="2" s="1"/>
  <c r="O1506" i="2"/>
  <c r="S1506" i="2" s="1"/>
  <c r="K1486" i="2"/>
  <c r="D14" i="3"/>
  <c r="Q948" i="2"/>
  <c r="O948" i="2"/>
  <c r="S948" i="2" s="1"/>
  <c r="K1821" i="2"/>
  <c r="D17" i="3"/>
  <c r="F17" i="3" s="1"/>
  <c r="E16" i="3"/>
  <c r="K16" i="3" s="1"/>
  <c r="R1678" i="2"/>
  <c r="E14" i="3"/>
  <c r="K14" i="3" s="1"/>
  <c r="R1486" i="2"/>
  <c r="G10" i="3"/>
  <c r="M1348" i="2"/>
  <c r="O1373" i="2"/>
  <c r="K431" i="2"/>
  <c r="D11" i="3"/>
  <c r="F11" i="3" s="1"/>
  <c r="N336" i="2"/>
  <c r="O336" i="2" s="1"/>
  <c r="R357" i="2"/>
  <c r="G16" i="3"/>
  <c r="I16" i="3" s="1"/>
  <c r="O1678" i="2"/>
  <c r="R1506" i="2"/>
  <c r="K8" i="3"/>
  <c r="Q464" i="2"/>
  <c r="O464" i="2"/>
  <c r="S464" i="2" s="1"/>
  <c r="Q1409" i="2"/>
  <c r="K1409" i="2"/>
  <c r="S1409" i="2" s="1"/>
  <c r="Q179" i="2"/>
  <c r="O179" i="2"/>
  <c r="S179" i="2" s="1"/>
  <c r="Q240" i="2"/>
  <c r="K240" i="2"/>
  <c r="S240" i="2" s="1"/>
  <c r="Q971" i="2"/>
  <c r="K971" i="2"/>
  <c r="S971" i="2" s="1"/>
  <c r="Q1732" i="2"/>
  <c r="K1732" i="2"/>
  <c r="S1732" i="2" s="1"/>
  <c r="Q867" i="2"/>
  <c r="M754" i="2"/>
  <c r="O754" i="2" s="1"/>
  <c r="Q1755" i="2"/>
  <c r="K1755" i="2"/>
  <c r="S1755" i="2" s="1"/>
  <c r="M431" i="2"/>
  <c r="G11" i="3" s="1"/>
  <c r="M1821" i="2"/>
  <c r="Q1822" i="2"/>
  <c r="I1721" i="2"/>
  <c r="K1721" i="2" s="1"/>
  <c r="S1721" i="2" s="1"/>
  <c r="Q1582" i="2"/>
  <c r="M1536" i="2"/>
  <c r="I1373" i="2"/>
  <c r="K1373" i="2" s="1"/>
  <c r="M1074" i="2"/>
  <c r="O1074" i="2" s="1"/>
  <c r="Q1273" i="2"/>
  <c r="I577" i="2"/>
  <c r="K577" i="2" s="1"/>
  <c r="M599" i="2"/>
  <c r="Q620" i="2"/>
  <c r="Q757" i="2"/>
  <c r="I754" i="2"/>
  <c r="I357" i="2"/>
  <c r="K357" i="2" s="1"/>
  <c r="S357" i="2" s="1"/>
  <c r="Q364" i="2"/>
  <c r="Q104" i="2"/>
  <c r="M100" i="2"/>
  <c r="Q157" i="2"/>
  <c r="I100" i="2"/>
  <c r="R1348" i="2" l="1"/>
  <c r="B1445" i="2"/>
  <c r="B1446" i="2" s="1"/>
  <c r="B1447" i="2" s="1"/>
  <c r="B1448" i="2" s="1"/>
  <c r="B1449" i="2" s="1"/>
  <c r="R1593" i="2"/>
  <c r="K1593" i="2"/>
  <c r="S1593" i="2" s="1"/>
  <c r="J1536" i="2"/>
  <c r="B808" i="2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I11" i="3"/>
  <c r="L11" i="3" s="1"/>
  <c r="R576" i="2"/>
  <c r="S1074" i="2"/>
  <c r="S1373" i="2"/>
  <c r="Q1074" i="2"/>
  <c r="K12" i="3"/>
  <c r="M577" i="2"/>
  <c r="Q577" i="2" s="1"/>
  <c r="O599" i="2"/>
  <c r="S599" i="2" s="1"/>
  <c r="Q1821" i="2"/>
  <c r="G17" i="3"/>
  <c r="I17" i="3" s="1"/>
  <c r="L17" i="3" s="1"/>
  <c r="O1821" i="2"/>
  <c r="S1821" i="2" s="1"/>
  <c r="G14" i="3"/>
  <c r="I14" i="3" s="1"/>
  <c r="O1486" i="2"/>
  <c r="S1486" i="2" s="1"/>
  <c r="F14" i="3"/>
  <c r="H10" i="3"/>
  <c r="K10" i="3" s="1"/>
  <c r="R336" i="2"/>
  <c r="G13" i="3"/>
  <c r="I13" i="3" s="1"/>
  <c r="O1348" i="2"/>
  <c r="I9" i="3"/>
  <c r="L9" i="3" s="1"/>
  <c r="K9" i="3"/>
  <c r="O100" i="2"/>
  <c r="G8" i="3"/>
  <c r="I8" i="3" s="1"/>
  <c r="K100" i="2"/>
  <c r="D8" i="3"/>
  <c r="F8" i="3" s="1"/>
  <c r="Q1536" i="2"/>
  <c r="G15" i="3"/>
  <c r="I15" i="3" s="1"/>
  <c r="O1536" i="2"/>
  <c r="Q431" i="2"/>
  <c r="O431" i="2"/>
  <c r="S431" i="2" s="1"/>
  <c r="Q754" i="2"/>
  <c r="K754" i="2"/>
  <c r="S754" i="2" s="1"/>
  <c r="Q1721" i="2"/>
  <c r="I1678" i="2"/>
  <c r="D16" i="3" s="1"/>
  <c r="F16" i="3" s="1"/>
  <c r="L16" i="3" s="1"/>
  <c r="Q1373" i="2"/>
  <c r="I1348" i="2"/>
  <c r="D13" i="3" s="1"/>
  <c r="F13" i="3" s="1"/>
  <c r="I576" i="2"/>
  <c r="Q599" i="2"/>
  <c r="I336" i="2"/>
  <c r="D10" i="3" s="1"/>
  <c r="F10" i="3" s="1"/>
  <c r="Q357" i="2"/>
  <c r="Q100" i="2"/>
  <c r="B1450" i="2" l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R1536" i="2"/>
  <c r="K1536" i="2"/>
  <c r="S1536" i="2" s="1"/>
  <c r="E15" i="3"/>
  <c r="B856" i="2"/>
  <c r="B857" i="2" s="1"/>
  <c r="B858" i="2" s="1"/>
  <c r="B859" i="2" s="1"/>
  <c r="B860" i="2" s="1"/>
  <c r="B861" i="2" s="1"/>
  <c r="B862" i="2" s="1"/>
  <c r="B863" i="2" s="1"/>
  <c r="B864" i="2" s="1"/>
  <c r="B865" i="2" s="1"/>
  <c r="H5" i="3"/>
  <c r="L13" i="3"/>
  <c r="D12" i="3"/>
  <c r="F12" i="3" s="1"/>
  <c r="K576" i="2"/>
  <c r="M576" i="2"/>
  <c r="Q576" i="2" s="1"/>
  <c r="O577" i="2"/>
  <c r="S577" i="2" s="1"/>
  <c r="L8" i="3"/>
  <c r="L14" i="3"/>
  <c r="I10" i="3"/>
  <c r="L10" i="3" s="1"/>
  <c r="S100" i="2"/>
  <c r="Q336" i="2"/>
  <c r="K336" i="2"/>
  <c r="S336" i="2" s="1"/>
  <c r="Q1678" i="2"/>
  <c r="K1678" i="2"/>
  <c r="S1678" i="2" s="1"/>
  <c r="Q1348" i="2"/>
  <c r="K1348" i="2"/>
  <c r="S1348" i="2" s="1"/>
  <c r="K15" i="3" l="1"/>
  <c r="E5" i="3"/>
  <c r="E18" i="3" s="1"/>
  <c r="F15" i="3"/>
  <c r="L15" i="3" s="1"/>
  <c r="B866" i="2"/>
  <c r="B867" i="2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H19" i="3"/>
  <c r="G12" i="3"/>
  <c r="I12" i="3" s="1"/>
  <c r="L12" i="3" s="1"/>
  <c r="O576" i="2"/>
  <c r="S576" i="2" s="1"/>
  <c r="H402" i="1"/>
  <c r="J402" i="1" s="1"/>
  <c r="M50" i="2"/>
  <c r="O50" i="2" s="1"/>
  <c r="S50" i="2" s="1"/>
  <c r="H438" i="1"/>
  <c r="J438" i="1" s="1"/>
  <c r="K5" i="3" l="1"/>
  <c r="B906" i="2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M52" i="2"/>
  <c r="O52" i="2" s="1"/>
  <c r="S52" i="2" s="1"/>
  <c r="H440" i="1"/>
  <c r="I36" i="2"/>
  <c r="K36" i="2" s="1"/>
  <c r="S36" i="2" s="1"/>
  <c r="I35" i="2"/>
  <c r="K35" i="2" s="1"/>
  <c r="S35" i="2" s="1"/>
  <c r="I14" i="2"/>
  <c r="K14" i="2" s="1"/>
  <c r="S14" i="2" s="1"/>
  <c r="I13" i="2"/>
  <c r="K13" i="2" s="1"/>
  <c r="S13" i="2" s="1"/>
  <c r="K20" i="3" l="1"/>
  <c r="K38" i="3" s="1"/>
  <c r="B935" i="2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H439" i="1"/>
  <c r="J439" i="1" s="1"/>
  <c r="J440" i="1"/>
  <c r="H418" i="1"/>
  <c r="H411" i="1"/>
  <c r="J411" i="1" s="1"/>
  <c r="H408" i="1"/>
  <c r="J408" i="1" s="1"/>
  <c r="H407" i="1"/>
  <c r="J407" i="1" s="1"/>
  <c r="H111" i="1"/>
  <c r="J111" i="1" s="1"/>
  <c r="H108" i="1"/>
  <c r="J108" i="1" s="1"/>
  <c r="B962" i="2" l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H417" i="1"/>
  <c r="J417" i="1" s="1"/>
  <c r="J418" i="1"/>
  <c r="I19" i="2"/>
  <c r="K19" i="2" s="1"/>
  <c r="S19" i="2" s="1"/>
  <c r="B1321" i="2" l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H437" i="1"/>
  <c r="J437" i="1" s="1"/>
  <c r="H436" i="1"/>
  <c r="H435" i="1" l="1"/>
  <c r="J435" i="1" s="1"/>
  <c r="J436" i="1"/>
  <c r="H434" i="1" l="1"/>
  <c r="H389" i="1"/>
  <c r="J389" i="1" s="1"/>
  <c r="H378" i="1"/>
  <c r="J378" i="1" s="1"/>
  <c r="H363" i="1"/>
  <c r="J363" i="1" s="1"/>
  <c r="H326" i="1"/>
  <c r="J326" i="1" s="1"/>
  <c r="H125" i="1"/>
  <c r="J125" i="1" s="1"/>
  <c r="H36" i="1"/>
  <c r="J36" i="1" s="1"/>
  <c r="H433" i="1" l="1"/>
  <c r="J433" i="1" s="1"/>
  <c r="J434" i="1"/>
  <c r="J24" i="3"/>
  <c r="J23" i="3" l="1"/>
  <c r="L23" i="3" s="1"/>
  <c r="L24" i="3"/>
  <c r="H29" i="1"/>
  <c r="H27" i="1" l="1"/>
  <c r="J29" i="1"/>
  <c r="Q55" i="2"/>
  <c r="Q54" i="2"/>
  <c r="Q53" i="2"/>
  <c r="Q67" i="2"/>
  <c r="Q63" i="2"/>
  <c r="Q61" i="2"/>
  <c r="Q60" i="2"/>
  <c r="Q59" i="2"/>
  <c r="Q57" i="2"/>
  <c r="Q52" i="2"/>
  <c r="Q50" i="2"/>
  <c r="Q47" i="2"/>
  <c r="Q44" i="2"/>
  <c r="Q42" i="2"/>
  <c r="Q41" i="2"/>
  <c r="Q37" i="2"/>
  <c r="Q36" i="2"/>
  <c r="Q35" i="2"/>
  <c r="Q34" i="2"/>
  <c r="Q30" i="2"/>
  <c r="Q29" i="2"/>
  <c r="Q27" i="2"/>
  <c r="Q25" i="2"/>
  <c r="Q22" i="2"/>
  <c r="Q19" i="2"/>
  <c r="Q16" i="2"/>
  <c r="Q15" i="2"/>
  <c r="Q14" i="2"/>
  <c r="Q13" i="2"/>
  <c r="Q12" i="2"/>
  <c r="H26" i="1" l="1"/>
  <c r="J26" i="1" s="1"/>
  <c r="J27" i="1"/>
  <c r="H49" i="1"/>
  <c r="J49" i="1" s="1"/>
  <c r="H12" i="1" l="1"/>
  <c r="J12" i="1" s="1"/>
  <c r="H406" i="1" l="1"/>
  <c r="J406" i="1" s="1"/>
  <c r="M40" i="2"/>
  <c r="Q40" i="2" l="1"/>
  <c r="O40" i="2"/>
  <c r="S40" i="2" s="1"/>
  <c r="H16" i="1"/>
  <c r="J16" i="1" s="1"/>
  <c r="H19" i="1" l="1"/>
  <c r="J19" i="1" s="1"/>
  <c r="M26" i="2" l="1"/>
  <c r="O26" i="2" s="1"/>
  <c r="H110" i="1"/>
  <c r="H104" i="1"/>
  <c r="J104" i="1" s="1"/>
  <c r="H96" i="1"/>
  <c r="J96" i="1" s="1"/>
  <c r="H84" i="1"/>
  <c r="H78" i="1"/>
  <c r="J78" i="1" s="1"/>
  <c r="H129" i="1"/>
  <c r="J129" i="1" s="1"/>
  <c r="H374" i="1"/>
  <c r="J374" i="1" s="1"/>
  <c r="H109" i="1" l="1"/>
  <c r="J109" i="1" s="1"/>
  <c r="J110" i="1"/>
  <c r="H83" i="1"/>
  <c r="J83" i="1" s="1"/>
  <c r="J84" i="1"/>
  <c r="H401" i="1"/>
  <c r="H400" i="1" l="1"/>
  <c r="J400" i="1" s="1"/>
  <c r="J401" i="1"/>
  <c r="H48" i="1"/>
  <c r="J48" i="1" s="1"/>
  <c r="H47" i="1"/>
  <c r="J47" i="1" s="1"/>
  <c r="I58" i="2"/>
  <c r="Q58" i="2" l="1"/>
  <c r="K58" i="2"/>
  <c r="S58" i="2" s="1"/>
  <c r="H45" i="1"/>
  <c r="J45" i="1" s="1"/>
  <c r="M49" i="2" l="1"/>
  <c r="M51" i="2"/>
  <c r="M43" i="2"/>
  <c r="M23" i="2"/>
  <c r="O23" i="2" s="1"/>
  <c r="M20" i="2"/>
  <c r="O20" i="2" s="1"/>
  <c r="M17" i="2"/>
  <c r="O17" i="2" s="1"/>
  <c r="M10" i="2"/>
  <c r="O10" i="2" s="1"/>
  <c r="Q51" i="2" l="1"/>
  <c r="O51" i="2"/>
  <c r="S51" i="2" s="1"/>
  <c r="Q43" i="2"/>
  <c r="O43" i="2"/>
  <c r="S43" i="2" s="1"/>
  <c r="Q49" i="2"/>
  <c r="O49" i="2"/>
  <c r="S49" i="2" s="1"/>
  <c r="M48" i="2"/>
  <c r="O48" i="2" s="1"/>
  <c r="S48" i="2" s="1"/>
  <c r="M39" i="2"/>
  <c r="O39" i="2" s="1"/>
  <c r="S39" i="2" s="1"/>
  <c r="M9" i="2"/>
  <c r="O9" i="2" s="1"/>
  <c r="M31" i="2" l="1"/>
  <c r="O31" i="2" s="1"/>
  <c r="Q39" i="2"/>
  <c r="M45" i="2"/>
  <c r="Q48" i="2"/>
  <c r="H367" i="1"/>
  <c r="J367" i="1" s="1"/>
  <c r="H352" i="1"/>
  <c r="J352" i="1" s="1"/>
  <c r="H341" i="1"/>
  <c r="J341" i="1" s="1"/>
  <c r="H312" i="1"/>
  <c r="J312" i="1" s="1"/>
  <c r="H201" i="1"/>
  <c r="J201" i="1" s="1"/>
  <c r="H193" i="1"/>
  <c r="J193" i="1" s="1"/>
  <c r="H189" i="1"/>
  <c r="J189" i="1" s="1"/>
  <c r="H181" i="1"/>
  <c r="J181" i="1" s="1"/>
  <c r="H176" i="1"/>
  <c r="J176" i="1" s="1"/>
  <c r="H172" i="1"/>
  <c r="J172" i="1" s="1"/>
  <c r="H168" i="1"/>
  <c r="J168" i="1" s="1"/>
  <c r="H164" i="1"/>
  <c r="J164" i="1" s="1"/>
  <c r="H160" i="1"/>
  <c r="J160" i="1" s="1"/>
  <c r="H156" i="1"/>
  <c r="J156" i="1" s="1"/>
  <c r="H152" i="1"/>
  <c r="J152" i="1" s="1"/>
  <c r="H148" i="1"/>
  <c r="J148" i="1" s="1"/>
  <c r="H144" i="1"/>
  <c r="J14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O45" i="2" l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l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l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l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I11" i="2" l="1"/>
  <c r="K11" i="2" s="1"/>
  <c r="S11" i="2" s="1"/>
  <c r="I10" i="2" l="1"/>
  <c r="K10" i="2" s="1"/>
  <c r="S10" i="2" s="1"/>
  <c r="Q11" i="2"/>
  <c r="H135" i="1"/>
  <c r="H132" i="1"/>
  <c r="H424" i="1"/>
  <c r="H393" i="1"/>
  <c r="H396" i="1"/>
  <c r="H382" i="1"/>
  <c r="H385" i="1"/>
  <c r="H388" i="1"/>
  <c r="J388" i="1" s="1"/>
  <c r="H371" i="1"/>
  <c r="H373" i="1"/>
  <c r="J373" i="1" s="1"/>
  <c r="H377" i="1"/>
  <c r="J377" i="1" s="1"/>
  <c r="H360" i="1"/>
  <c r="H362" i="1"/>
  <c r="J362" i="1" s="1"/>
  <c r="H366" i="1"/>
  <c r="J366" i="1" s="1"/>
  <c r="H349" i="1"/>
  <c r="H351" i="1"/>
  <c r="J351" i="1" s="1"/>
  <c r="H356" i="1"/>
  <c r="H338" i="1"/>
  <c r="H340" i="1"/>
  <c r="J340" i="1" s="1"/>
  <c r="H345" i="1"/>
  <c r="H331" i="1"/>
  <c r="H334" i="1"/>
  <c r="H323" i="1"/>
  <c r="H325" i="1"/>
  <c r="J325" i="1" s="1"/>
  <c r="H309" i="1"/>
  <c r="H311" i="1"/>
  <c r="J311" i="1" s="1"/>
  <c r="H316" i="1"/>
  <c r="H31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09" i="1"/>
  <c r="H212" i="1"/>
  <c r="H205" i="1"/>
  <c r="H200" i="1"/>
  <c r="H197" i="1"/>
  <c r="H192" i="1"/>
  <c r="H188" i="1"/>
  <c r="H185" i="1"/>
  <c r="H180" i="1"/>
  <c r="H175" i="1"/>
  <c r="H171" i="1"/>
  <c r="H167" i="1"/>
  <c r="H163" i="1"/>
  <c r="H159" i="1"/>
  <c r="H155" i="1"/>
  <c r="H151" i="1"/>
  <c r="H147" i="1"/>
  <c r="H143" i="1"/>
  <c r="H139" i="1"/>
  <c r="H128" i="1"/>
  <c r="H124" i="1"/>
  <c r="J124" i="1" s="1"/>
  <c r="H118" i="1"/>
  <c r="H121" i="1"/>
  <c r="H114" i="1"/>
  <c r="H107" i="1"/>
  <c r="H103" i="1"/>
  <c r="H99" i="1"/>
  <c r="H95" i="1"/>
  <c r="H92" i="1"/>
  <c r="H88" i="1"/>
  <c r="H81" i="1"/>
  <c r="H77" i="1"/>
  <c r="H73" i="1"/>
  <c r="H69" i="1"/>
  <c r="H65" i="1"/>
  <c r="H61" i="1"/>
  <c r="H57" i="1"/>
  <c r="H52" i="1"/>
  <c r="H42" i="1"/>
  <c r="H39" i="1"/>
  <c r="J39" i="1" s="1"/>
  <c r="H34" i="1"/>
  <c r="J34" i="1" s="1"/>
  <c r="H31" i="1"/>
  <c r="J31" i="1" s="1"/>
  <c r="H44" i="1"/>
  <c r="J44" i="1" s="1"/>
  <c r="H60" i="1" l="1"/>
  <c r="J61" i="1"/>
  <c r="H94" i="1"/>
  <c r="J94" i="1" s="1"/>
  <c r="J95" i="1"/>
  <c r="H150" i="1"/>
  <c r="J150" i="1" s="1"/>
  <c r="J151" i="1"/>
  <c r="H184" i="1"/>
  <c r="J185" i="1"/>
  <c r="H216" i="1"/>
  <c r="J217" i="1"/>
  <c r="H248" i="1"/>
  <c r="J249" i="1"/>
  <c r="H264" i="1"/>
  <c r="J265" i="1"/>
  <c r="H295" i="1"/>
  <c r="J295" i="1" s="1"/>
  <c r="J297" i="1"/>
  <c r="H315" i="1"/>
  <c r="J315" i="1" s="1"/>
  <c r="J316" i="1"/>
  <c r="H322" i="1"/>
  <c r="J322" i="1" s="1"/>
  <c r="J323" i="1"/>
  <c r="H348" i="1"/>
  <c r="J348" i="1" s="1"/>
  <c r="J349" i="1"/>
  <c r="H384" i="1"/>
  <c r="J384" i="1" s="1"/>
  <c r="J385" i="1"/>
  <c r="H422" i="1"/>
  <c r="J422" i="1" s="1"/>
  <c r="J424" i="1"/>
  <c r="H56" i="1"/>
  <c r="J57" i="1"/>
  <c r="H72" i="1"/>
  <c r="J73" i="1"/>
  <c r="H91" i="1"/>
  <c r="J91" i="1" s="1"/>
  <c r="J92" i="1"/>
  <c r="H106" i="1"/>
  <c r="J107" i="1"/>
  <c r="H146" i="1"/>
  <c r="J146" i="1" s="1"/>
  <c r="J147" i="1"/>
  <c r="H162" i="1"/>
  <c r="J162" i="1" s="1"/>
  <c r="J163" i="1"/>
  <c r="H179" i="1"/>
  <c r="J179" i="1" s="1"/>
  <c r="J180" i="1"/>
  <c r="H196" i="1"/>
  <c r="J197" i="1"/>
  <c r="H208" i="1"/>
  <c r="J208" i="1" s="1"/>
  <c r="J209" i="1"/>
  <c r="H228" i="1"/>
  <c r="J229" i="1"/>
  <c r="H244" i="1"/>
  <c r="J245" i="1"/>
  <c r="H260" i="1"/>
  <c r="J261" i="1"/>
  <c r="H276" i="1"/>
  <c r="J277" i="1"/>
  <c r="H292" i="1"/>
  <c r="J293" i="1"/>
  <c r="H318" i="1"/>
  <c r="J318" i="1" s="1"/>
  <c r="J319" i="1"/>
  <c r="H344" i="1"/>
  <c r="J344" i="1" s="1"/>
  <c r="J345" i="1"/>
  <c r="H359" i="1"/>
  <c r="J359" i="1" s="1"/>
  <c r="J360" i="1"/>
  <c r="H392" i="1"/>
  <c r="J392" i="1" s="1"/>
  <c r="J393" i="1"/>
  <c r="H76" i="1"/>
  <c r="J77" i="1"/>
  <c r="H113" i="1"/>
  <c r="J114" i="1"/>
  <c r="H127" i="1"/>
  <c r="J127" i="1" s="1"/>
  <c r="J128" i="1"/>
  <c r="H166" i="1"/>
  <c r="J166" i="1" s="1"/>
  <c r="J167" i="1"/>
  <c r="H199" i="1"/>
  <c r="J199" i="1" s="1"/>
  <c r="J200" i="1"/>
  <c r="H232" i="1"/>
  <c r="J233" i="1"/>
  <c r="H280" i="1"/>
  <c r="J281" i="1"/>
  <c r="H51" i="1"/>
  <c r="J52" i="1"/>
  <c r="H68" i="1"/>
  <c r="J69" i="1"/>
  <c r="H87" i="1"/>
  <c r="J88" i="1"/>
  <c r="H102" i="1"/>
  <c r="J102" i="1" s="1"/>
  <c r="J103" i="1"/>
  <c r="H117" i="1"/>
  <c r="J117" i="1" s="1"/>
  <c r="J118" i="1"/>
  <c r="H142" i="1"/>
  <c r="J142" i="1" s="1"/>
  <c r="J143" i="1"/>
  <c r="H158" i="1"/>
  <c r="J158" i="1" s="1"/>
  <c r="J159" i="1"/>
  <c r="H174" i="1"/>
  <c r="J174" i="1" s="1"/>
  <c r="J175" i="1"/>
  <c r="H191" i="1"/>
  <c r="J191" i="1" s="1"/>
  <c r="J192" i="1"/>
  <c r="H211" i="1"/>
  <c r="J211" i="1" s="1"/>
  <c r="J212" i="1"/>
  <c r="H224" i="1"/>
  <c r="J225" i="1"/>
  <c r="H240" i="1"/>
  <c r="J241" i="1"/>
  <c r="H256" i="1"/>
  <c r="J257" i="1"/>
  <c r="H272" i="1"/>
  <c r="J273" i="1"/>
  <c r="H288" i="1"/>
  <c r="J289" i="1"/>
  <c r="H304" i="1"/>
  <c r="J305" i="1"/>
  <c r="H308" i="1"/>
  <c r="J308" i="1" s="1"/>
  <c r="J309" i="1"/>
  <c r="H330" i="1"/>
  <c r="J330" i="1" s="1"/>
  <c r="J331" i="1"/>
  <c r="H355" i="1"/>
  <c r="J355" i="1" s="1"/>
  <c r="J356" i="1"/>
  <c r="H370" i="1"/>
  <c r="J370" i="1" s="1"/>
  <c r="J371" i="1"/>
  <c r="H395" i="1"/>
  <c r="J395" i="1" s="1"/>
  <c r="J396" i="1"/>
  <c r="H134" i="1"/>
  <c r="J134" i="1" s="1"/>
  <c r="J135" i="1"/>
  <c r="H41" i="1"/>
  <c r="J41" i="1" s="1"/>
  <c r="J42" i="1"/>
  <c r="H64" i="1"/>
  <c r="J65" i="1"/>
  <c r="H80" i="1"/>
  <c r="J81" i="1"/>
  <c r="H98" i="1"/>
  <c r="J98" i="1" s="1"/>
  <c r="J99" i="1"/>
  <c r="H120" i="1"/>
  <c r="J120" i="1" s="1"/>
  <c r="J121" i="1"/>
  <c r="H138" i="1"/>
  <c r="J139" i="1"/>
  <c r="H154" i="1"/>
  <c r="J154" i="1" s="1"/>
  <c r="J155" i="1"/>
  <c r="H170" i="1"/>
  <c r="J170" i="1" s="1"/>
  <c r="J171" i="1"/>
  <c r="H187" i="1"/>
  <c r="J187" i="1" s="1"/>
  <c r="J188" i="1"/>
  <c r="H204" i="1"/>
  <c r="J205" i="1"/>
  <c r="H220" i="1"/>
  <c r="J221" i="1"/>
  <c r="H236" i="1"/>
  <c r="J237" i="1"/>
  <c r="H252" i="1"/>
  <c r="J253" i="1"/>
  <c r="H268" i="1"/>
  <c r="J269" i="1"/>
  <c r="H284" i="1"/>
  <c r="J285" i="1"/>
  <c r="H300" i="1"/>
  <c r="J301" i="1"/>
  <c r="H333" i="1"/>
  <c r="J333" i="1" s="1"/>
  <c r="J334" i="1"/>
  <c r="H337" i="1"/>
  <c r="J337" i="1" s="1"/>
  <c r="J338" i="1"/>
  <c r="H381" i="1"/>
  <c r="J381" i="1" s="1"/>
  <c r="J382" i="1"/>
  <c r="H131" i="1"/>
  <c r="J131" i="1" s="1"/>
  <c r="J132" i="1"/>
  <c r="H391" i="1"/>
  <c r="J391" i="1" s="1"/>
  <c r="H347" i="1"/>
  <c r="J347" i="1" s="1"/>
  <c r="H321" i="1"/>
  <c r="J321" i="1" s="1"/>
  <c r="Q10" i="2"/>
  <c r="H97" i="1"/>
  <c r="J97" i="1" s="1"/>
  <c r="B226" i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H296" i="1"/>
  <c r="J296" i="1" s="1"/>
  <c r="H116" i="1"/>
  <c r="J116" i="1" s="1"/>
  <c r="H421" i="1"/>
  <c r="H30" i="1"/>
  <c r="J30" i="1" s="1"/>
  <c r="H251" i="1" l="1"/>
  <c r="J251" i="1" s="1"/>
  <c r="J252" i="1"/>
  <c r="H79" i="1"/>
  <c r="J79" i="1" s="1"/>
  <c r="J80" i="1"/>
  <c r="H287" i="1"/>
  <c r="J287" i="1" s="1"/>
  <c r="J288" i="1"/>
  <c r="H255" i="1"/>
  <c r="J255" i="1" s="1"/>
  <c r="J256" i="1"/>
  <c r="H223" i="1"/>
  <c r="J223" i="1" s="1"/>
  <c r="J224" i="1"/>
  <c r="H86" i="1"/>
  <c r="J86" i="1" s="1"/>
  <c r="J87" i="1"/>
  <c r="H50" i="1"/>
  <c r="J50" i="1" s="1"/>
  <c r="J51" i="1"/>
  <c r="H231" i="1"/>
  <c r="J231" i="1" s="1"/>
  <c r="J232" i="1"/>
  <c r="H112" i="1"/>
  <c r="J112" i="1" s="1"/>
  <c r="J113" i="1"/>
  <c r="H291" i="1"/>
  <c r="J291" i="1" s="1"/>
  <c r="J292" i="1"/>
  <c r="H259" i="1"/>
  <c r="J259" i="1" s="1"/>
  <c r="J260" i="1"/>
  <c r="H227" i="1"/>
  <c r="J227" i="1" s="1"/>
  <c r="J228" i="1"/>
  <c r="H195" i="1"/>
  <c r="J195" i="1" s="1"/>
  <c r="J196" i="1"/>
  <c r="H105" i="1"/>
  <c r="J105" i="1" s="1"/>
  <c r="J106" i="1"/>
  <c r="H71" i="1"/>
  <c r="J71" i="1" s="1"/>
  <c r="J72" i="1"/>
  <c r="H263" i="1"/>
  <c r="J263" i="1" s="1"/>
  <c r="J264" i="1"/>
  <c r="H215" i="1"/>
  <c r="J216" i="1"/>
  <c r="H59" i="1"/>
  <c r="J59" i="1" s="1"/>
  <c r="J60" i="1"/>
  <c r="H130" i="1"/>
  <c r="J130" i="1" s="1"/>
  <c r="H336" i="1"/>
  <c r="J336" i="1" s="1"/>
  <c r="H369" i="1"/>
  <c r="J369" i="1" s="1"/>
  <c r="H420" i="1"/>
  <c r="J420" i="1" s="1"/>
  <c r="J421" i="1"/>
  <c r="H283" i="1"/>
  <c r="J283" i="1" s="1"/>
  <c r="J284" i="1"/>
  <c r="H219" i="1"/>
  <c r="J219" i="1" s="1"/>
  <c r="J220" i="1"/>
  <c r="H299" i="1"/>
  <c r="J299" i="1" s="1"/>
  <c r="J300" i="1"/>
  <c r="H267" i="1"/>
  <c r="J267" i="1" s="1"/>
  <c r="J268" i="1"/>
  <c r="H235" i="1"/>
  <c r="J235" i="1" s="1"/>
  <c r="J236" i="1"/>
  <c r="H203" i="1"/>
  <c r="J203" i="1" s="1"/>
  <c r="J204" i="1"/>
  <c r="H137" i="1"/>
  <c r="J137" i="1" s="1"/>
  <c r="J138" i="1"/>
  <c r="H63" i="1"/>
  <c r="J63" i="1" s="1"/>
  <c r="J64" i="1"/>
  <c r="H303" i="1"/>
  <c r="J303" i="1" s="1"/>
  <c r="J304" i="1"/>
  <c r="H271" i="1"/>
  <c r="J271" i="1" s="1"/>
  <c r="J272" i="1"/>
  <c r="H239" i="1"/>
  <c r="J239" i="1" s="1"/>
  <c r="J240" i="1"/>
  <c r="H67" i="1"/>
  <c r="J67" i="1" s="1"/>
  <c r="J68" i="1"/>
  <c r="H279" i="1"/>
  <c r="J279" i="1" s="1"/>
  <c r="J280" i="1"/>
  <c r="H75" i="1"/>
  <c r="J75" i="1" s="1"/>
  <c r="J76" i="1"/>
  <c r="H275" i="1"/>
  <c r="J275" i="1" s="1"/>
  <c r="J276" i="1"/>
  <c r="H243" i="1"/>
  <c r="J243" i="1" s="1"/>
  <c r="J244" i="1"/>
  <c r="H55" i="1"/>
  <c r="J55" i="1" s="1"/>
  <c r="J56" i="1"/>
  <c r="H247" i="1"/>
  <c r="J247" i="1" s="1"/>
  <c r="J248" i="1"/>
  <c r="H183" i="1"/>
  <c r="J183" i="1" s="1"/>
  <c r="J184" i="1"/>
  <c r="H329" i="1"/>
  <c r="J329" i="1" s="1"/>
  <c r="H380" i="1"/>
  <c r="J380" i="1" s="1"/>
  <c r="H307" i="1"/>
  <c r="J307" i="1" s="1"/>
  <c r="H90" i="1"/>
  <c r="J90" i="1" s="1"/>
  <c r="H123" i="1"/>
  <c r="J123" i="1" s="1"/>
  <c r="H207" i="1"/>
  <c r="J207" i="1" s="1"/>
  <c r="H358" i="1"/>
  <c r="J358" i="1" s="1"/>
  <c r="H432" i="1"/>
  <c r="H54" i="1"/>
  <c r="J54" i="1" s="1"/>
  <c r="H25" i="1"/>
  <c r="J25" i="1" s="1"/>
  <c r="J215" i="1" l="1"/>
  <c r="H214" i="1"/>
  <c r="J214" i="1" s="1"/>
  <c r="H442" i="1"/>
  <c r="J442" i="1" s="1"/>
  <c r="J432" i="1"/>
  <c r="H141" i="1"/>
  <c r="J141" i="1" s="1"/>
  <c r="B316" i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l="1"/>
  <c r="B416" i="1" s="1"/>
  <c r="B417" i="1" l="1"/>
  <c r="B418" i="1" s="1"/>
  <c r="B419" i="1" s="1"/>
  <c r="B420" i="1" s="1"/>
  <c r="B421" i="1" s="1"/>
  <c r="B422" i="1" s="1"/>
  <c r="B423" i="1" s="1"/>
  <c r="B424" i="1" l="1"/>
  <c r="B425" i="1" s="1"/>
  <c r="B426" i="1" s="1"/>
  <c r="I32" i="2" l="1"/>
  <c r="I38" i="2"/>
  <c r="K38" i="2" s="1"/>
  <c r="S38" i="2" s="1"/>
  <c r="I66" i="2"/>
  <c r="K66" i="2" s="1"/>
  <c r="S66" i="2" s="1"/>
  <c r="I62" i="2"/>
  <c r="K62" i="2" s="1"/>
  <c r="S62" i="2" s="1"/>
  <c r="I46" i="2"/>
  <c r="K46" i="2" s="1"/>
  <c r="S46" i="2" s="1"/>
  <c r="I18" i="2"/>
  <c r="K18" i="2" s="1"/>
  <c r="S18" i="2" s="1"/>
  <c r="Q32" i="2" l="1"/>
  <c r="K32" i="2"/>
  <c r="S32" i="2" s="1"/>
  <c r="Q46" i="2"/>
  <c r="I45" i="2"/>
  <c r="K45" i="2" s="1"/>
  <c r="S45" i="2" s="1"/>
  <c r="I65" i="2"/>
  <c r="K65" i="2" s="1"/>
  <c r="S65" i="2" s="1"/>
  <c r="Q66" i="2"/>
  <c r="I17" i="2"/>
  <c r="K17" i="2" s="1"/>
  <c r="S17" i="2" s="1"/>
  <c r="Q18" i="2"/>
  <c r="I56" i="2"/>
  <c r="K56" i="2" s="1"/>
  <c r="S56" i="2" s="1"/>
  <c r="Q62" i="2"/>
  <c r="I33" i="2"/>
  <c r="Q38" i="2"/>
  <c r="Q33" i="2" l="1"/>
  <c r="K33" i="2"/>
  <c r="S33" i="2" s="1"/>
  <c r="I31" i="2"/>
  <c r="I64" i="2"/>
  <c r="K64" i="2" s="1"/>
  <c r="S64" i="2" s="1"/>
  <c r="Q65" i="2"/>
  <c r="Q45" i="2"/>
  <c r="Q56" i="2"/>
  <c r="Q17" i="2"/>
  <c r="Q31" i="2" l="1"/>
  <c r="K31" i="2"/>
  <c r="S31" i="2" s="1"/>
  <c r="Q64" i="2"/>
  <c r="B24" i="3" l="1"/>
  <c r="B25" i="3" s="1"/>
  <c r="B26" i="3" s="1"/>
  <c r="B27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I24" i="2"/>
  <c r="K24" i="2" s="1"/>
  <c r="S24" i="2" s="1"/>
  <c r="I21" i="2"/>
  <c r="K21" i="2" s="1"/>
  <c r="S21" i="2" s="1"/>
  <c r="B28" i="3" l="1"/>
  <c r="B29" i="3" s="1"/>
  <c r="I20" i="2"/>
  <c r="K20" i="2" s="1"/>
  <c r="S20" i="2" s="1"/>
  <c r="Q21" i="2"/>
  <c r="I23" i="2"/>
  <c r="K23" i="2" s="1"/>
  <c r="S23" i="2" s="1"/>
  <c r="Q24" i="2"/>
  <c r="I28" i="2"/>
  <c r="J31" i="3"/>
  <c r="L31" i="3" s="1"/>
  <c r="Q28" i="2" l="1"/>
  <c r="K28" i="2"/>
  <c r="S28" i="2" s="1"/>
  <c r="B30" i="3"/>
  <c r="B31" i="3" s="1"/>
  <c r="B32" i="3" s="1"/>
  <c r="B33" i="3" s="1"/>
  <c r="B34" i="3" s="1"/>
  <c r="B35" i="3" s="1"/>
  <c r="B36" i="3" s="1"/>
  <c r="B37" i="3" s="1"/>
  <c r="B38" i="3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Q68" i="2"/>
  <c r="Q23" i="2"/>
  <c r="Q20" i="2"/>
  <c r="I26" i="2"/>
  <c r="K26" i="2" s="1"/>
  <c r="S26" i="2" s="1"/>
  <c r="I9" i="2" l="1"/>
  <c r="K9" i="2" s="1"/>
  <c r="S9" i="2" s="1"/>
  <c r="Q26" i="2"/>
  <c r="I8" i="2" l="1"/>
  <c r="K8" i="2" s="1"/>
  <c r="Q9" i="2"/>
  <c r="J7" i="3"/>
  <c r="H11" i="1"/>
  <c r="H10" i="1" l="1"/>
  <c r="J10" i="1" s="1"/>
  <c r="J11" i="1"/>
  <c r="H18" i="1"/>
  <c r="J18" i="1" s="1"/>
  <c r="H14" i="1"/>
  <c r="H13" i="1" l="1"/>
  <c r="J13" i="1" s="1"/>
  <c r="J14" i="1"/>
  <c r="M8" i="2"/>
  <c r="J17" i="3"/>
  <c r="D6" i="3"/>
  <c r="F6" i="3" s="1"/>
  <c r="J12" i="3"/>
  <c r="H24" i="1"/>
  <c r="J24" i="1" s="1"/>
  <c r="F5" i="3" l="1"/>
  <c r="H9" i="1"/>
  <c r="Q8" i="2"/>
  <c r="O8" i="2"/>
  <c r="S8" i="2" s="1"/>
  <c r="H449" i="1"/>
  <c r="J449" i="1" s="1"/>
  <c r="J10" i="3"/>
  <c r="J13" i="3"/>
  <c r="G6" i="3"/>
  <c r="J9" i="3"/>
  <c r="J16" i="3"/>
  <c r="J8" i="3"/>
  <c r="J11" i="3"/>
  <c r="J6" i="3" l="1"/>
  <c r="I6" i="3"/>
  <c r="H8" i="1"/>
  <c r="J8" i="1" s="1"/>
  <c r="J9" i="1"/>
  <c r="J14" i="3"/>
  <c r="G5" i="3"/>
  <c r="I5" i="3" l="1"/>
  <c r="L5" i="3" s="1"/>
  <c r="L6" i="3"/>
  <c r="G4" i="3"/>
  <c r="G19" i="3" l="1"/>
  <c r="I4" i="3"/>
  <c r="I19" i="3" s="1"/>
  <c r="J15" i="3"/>
  <c r="D5" i="3" l="1"/>
  <c r="H399" i="1"/>
  <c r="J399" i="1" s="1"/>
  <c r="H398" i="1" l="1"/>
  <c r="J398" i="1" s="1"/>
  <c r="J5" i="3"/>
  <c r="H426" i="1" l="1"/>
  <c r="H448" i="1" l="1"/>
  <c r="J426" i="1"/>
  <c r="H450" i="1" l="1"/>
  <c r="J450" i="1" s="1"/>
  <c r="J448" i="1"/>
  <c r="D4" i="3"/>
  <c r="J4" i="3" l="1"/>
  <c r="J20" i="3" s="1"/>
  <c r="J38" i="3" s="1"/>
  <c r="L38" i="3" s="1"/>
  <c r="F4" i="3"/>
  <c r="D18" i="3"/>
  <c r="F18" i="3" l="1"/>
  <c r="L4" i="3"/>
  <c r="L20" i="3" s="1"/>
</calcChain>
</file>

<file path=xl/sharedStrings.xml><?xml version="1.0" encoding="utf-8"?>
<sst xmlns="http://schemas.openxmlformats.org/spreadsheetml/2006/main" count="3549" uniqueCount="678">
  <si>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</si>
  <si>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</si>
  <si>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</si>
  <si>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</si>
  <si>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</si>
  <si>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</si>
  <si>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</si>
  <si>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</si>
  <si>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</si>
  <si>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</si>
  <si>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</si>
  <si>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</si>
  <si>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</si>
  <si>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</si>
  <si>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</si>
  <si>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</si>
  <si>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</si>
  <si>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</si>
  <si>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</si>
  <si>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</si>
  <si>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</si>
  <si>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</si>
  <si>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</si>
  <si>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</si>
  <si>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</si>
  <si>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</si>
  <si>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</si>
  <si>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</si>
  <si>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</si>
  <si>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</si>
  <si>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</si>
  <si>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</si>
  <si>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</si>
  <si>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</si>
  <si>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</si>
  <si>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</si>
  <si>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</si>
  <si>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</si>
  <si>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</si>
  <si>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</si>
  <si>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</si>
  <si>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</si>
  <si>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</si>
  <si>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</si>
  <si>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</si>
  <si>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</si>
  <si>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</si>
  <si>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</si>
  <si>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</si>
  <si>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</si>
  <si>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</si>
  <si>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</si>
  <si>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</si>
  <si>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</si>
  <si>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</si>
  <si>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</si>
  <si>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</si>
  <si>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</si>
  <si>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</si>
  <si>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</si>
  <si>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</si>
  <si>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</si>
  <si>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</si>
  <si>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</si>
  <si>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</si>
  <si>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</si>
  <si>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</si>
  <si>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</si>
  <si>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</si>
  <si>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</si>
  <si>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</si>
  <si>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</si>
  <si>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</si>
  <si>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</si>
  <si>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</si>
  <si>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</si>
  <si>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</si>
  <si>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</si>
  <si>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</si>
  <si>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</si>
  <si>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</si>
  <si>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</si>
  <si>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</si>
  <si>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</si>
  <si>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</si>
  <si>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</si>
  <si>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</si>
  <si>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</si>
  <si>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</si>
  <si>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</si>
  <si>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</si>
  <si>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</si>
  <si>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</si>
  <si>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</si>
  <si>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</si>
  <si>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</si>
  <si>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</si>
  <si>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</si>
  <si>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</si>
  <si>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</si>
  <si>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</si>
  <si>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</si>
  <si>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</si>
  <si>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</si>
  <si>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</si>
  <si>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</si>
  <si>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</si>
  <si>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</si>
  <si>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</si>
  <si>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</si>
  <si>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</si>
  <si>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</si>
  <si>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</si>
  <si>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</si>
  <si>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</si>
  <si>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</si>
  <si>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</si>
  <si>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</si>
  <si>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</si>
  <si>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</si>
  <si>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</si>
  <si>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</si>
  <si>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</si>
  <si>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</si>
  <si>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</si>
  <si>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</si>
  <si>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</si>
  <si>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</si>
  <si>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</si>
  <si>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</si>
  <si>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</si>
  <si>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</si>
  <si>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</si>
  <si>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</si>
  <si>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</si>
  <si>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</si>
  <si>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</si>
  <si>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</si>
  <si>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</si>
  <si>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</si>
  <si>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</si>
  <si>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</si>
  <si>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</si>
  <si>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</si>
  <si>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</si>
  <si>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</si>
  <si>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</si>
  <si>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</si>
  <si>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</si>
  <si>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</si>
  <si>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</si>
  <si>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</si>
  <si>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</si>
  <si>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</si>
  <si>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</si>
  <si>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</si>
  <si>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</si>
  <si>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</si>
  <si>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</si>
  <si>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</si>
  <si>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</si>
  <si>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</si>
  <si>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</si>
  <si>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</si>
  <si>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</si>
  <si>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</si>
  <si>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</si>
  <si>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</si>
  <si>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</si>
  <si>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</si>
  <si>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</si>
  <si>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</si>
  <si>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</si>
  <si>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</si>
  <si>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</si>
  <si>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</si>
  <si>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</si>
  <si>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</si>
  <si>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</si>
  <si>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</si>
  <si>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90 30 0003</t>
  </si>
  <si>
    <t>MPSVaR - soc.zabezp. ZOS</t>
  </si>
  <si>
    <t>90 30 0018</t>
  </si>
  <si>
    <t>ÚPSVR - rodinné prídavky</t>
  </si>
  <si>
    <t>KŠÚ - školstvo-prenes.komp., mzdy, platy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</si>
  <si>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</si>
  <si>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</si>
  <si>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</si>
  <si>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</si>
  <si>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</si>
  <si>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</si>
  <si>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</si>
  <si>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</si>
  <si>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</si>
  <si>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</si>
  <si>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</si>
  <si>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</si>
  <si>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</si>
  <si>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</si>
  <si>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</si>
  <si>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</si>
  <si>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</si>
  <si>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</si>
  <si>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</si>
  <si>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</si>
  <si>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</si>
  <si>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</si>
  <si>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</si>
  <si>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</si>
  <si>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</si>
  <si>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</si>
  <si>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</si>
  <si>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</si>
  <si>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</si>
  <si>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</si>
  <si>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</si>
  <si>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</si>
  <si>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</si>
  <si>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</si>
  <si>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</si>
  <si>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</si>
  <si>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</si>
  <si>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</si>
  <si>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</si>
  <si>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</si>
  <si>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</si>
  <si>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</si>
  <si>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</si>
  <si>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</si>
  <si>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</si>
  <si>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</si>
  <si>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</si>
  <si>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</si>
  <si>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</si>
  <si>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</si>
  <si>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</si>
  <si>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</si>
  <si>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</si>
  <si>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</si>
  <si>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</si>
  <si>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</si>
  <si>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</si>
  <si>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</si>
  <si>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</si>
  <si>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</si>
  <si>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</si>
  <si>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</si>
  <si>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</si>
  <si>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</si>
  <si>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</si>
  <si>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</si>
  <si>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</si>
  <si>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</si>
  <si>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</si>
  <si>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</si>
  <si>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</si>
  <si>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</si>
  <si>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</si>
  <si>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</si>
  <si>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</si>
  <si>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</si>
  <si>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</si>
  <si>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</si>
  <si>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</si>
  <si>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</si>
  <si>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</si>
  <si>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</si>
  <si>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</si>
  <si>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</si>
  <si>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</si>
  <si>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</si>
  <si>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</si>
  <si>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</si>
  <si>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</si>
  <si>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</si>
  <si>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</si>
  <si>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</si>
  <si>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</si>
  <si>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</si>
  <si>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</si>
  <si>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</si>
  <si>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</si>
  <si>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</si>
  <si>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</si>
  <si>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</si>
  <si>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</si>
  <si>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</si>
  <si>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</si>
  <si>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</si>
  <si>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</si>
  <si>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</si>
  <si>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</si>
  <si>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</si>
  <si>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</si>
  <si>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</si>
  <si>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</si>
  <si>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</si>
  <si>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</si>
  <si>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</si>
  <si>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</si>
  <si>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</si>
  <si>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</si>
  <si>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</si>
  <si>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</si>
  <si>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</si>
  <si>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</si>
  <si>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</si>
  <si>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</si>
  <si>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</si>
  <si>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</si>
  <si>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</si>
  <si>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</si>
  <si>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</si>
  <si>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</si>
  <si>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</si>
  <si>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</si>
  <si>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</si>
  <si>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</si>
  <si>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</si>
  <si>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</si>
  <si>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</si>
  <si>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</si>
  <si>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</si>
  <si>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</si>
  <si>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</si>
  <si>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</si>
  <si>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</si>
  <si>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</si>
  <si>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</si>
  <si>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</si>
  <si>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</si>
  <si>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</si>
  <si>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</si>
  <si>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</si>
  <si>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</si>
  <si>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</si>
  <si>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</si>
  <si>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</si>
  <si>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</si>
  <si>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</si>
  <si>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</si>
  <si>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</si>
  <si>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0511</t>
  </si>
  <si>
    <t>Program odpadového hospodárstva</t>
  </si>
  <si>
    <t>Zneškodňovanie odpadu</t>
  </si>
  <si>
    <t>Skládka Zámostie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</si>
  <si>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</si>
  <si>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</si>
  <si>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</si>
  <si>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</si>
  <si>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</si>
  <si>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</si>
  <si>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</si>
  <si>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</si>
  <si>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</si>
  <si>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</si>
  <si>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</si>
  <si>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</si>
  <si>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</si>
  <si>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</si>
  <si>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</si>
  <si>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</si>
  <si>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</si>
  <si>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</si>
  <si>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</si>
  <si>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</si>
  <si>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</si>
  <si>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</si>
  <si>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</si>
  <si>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</si>
  <si>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</si>
  <si>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</si>
  <si>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</si>
  <si>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</si>
  <si>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</si>
  <si>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</si>
  <si>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</si>
  <si>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</si>
  <si>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</si>
  <si>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</si>
  <si>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</si>
  <si>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</si>
  <si>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</si>
  <si>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</si>
  <si>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</si>
  <si>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</si>
  <si>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</si>
  <si>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</si>
  <si>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</si>
  <si>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</si>
  <si>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</si>
  <si>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</si>
  <si>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</si>
  <si>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</si>
  <si>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</si>
  <si>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</si>
  <si>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</si>
  <si>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</si>
  <si>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</si>
  <si>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</si>
  <si>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</si>
  <si>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</si>
  <si>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</si>
  <si>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</si>
  <si>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</si>
  <si>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</si>
  <si>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</si>
  <si>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</si>
  <si>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</si>
  <si>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</si>
  <si>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</si>
  <si>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</si>
  <si>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</si>
  <si>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</si>
  <si>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</si>
  <si>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Dotácie na strategické športy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</si>
  <si>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</si>
  <si>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</si>
  <si>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</si>
  <si>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</si>
  <si>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</si>
  <si>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</si>
  <si>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</si>
  <si>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</si>
  <si>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</si>
  <si>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</si>
  <si>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</si>
  <si>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</si>
  <si>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</si>
  <si>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</si>
  <si>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</si>
  <si>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</si>
  <si>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</si>
  <si>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Refugium n.o. - Hospic milosrdných sestier v Trenčíne dotácia na činnosť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</si>
  <si>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</si>
  <si>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</si>
  <si>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</si>
  <si>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</si>
  <si>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</si>
  <si>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</si>
  <si>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</si>
  <si>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</si>
  <si>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</si>
  <si>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</si>
  <si>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</si>
  <si>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</si>
  <si>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</si>
  <si>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Azylový dom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</si>
  <si>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</si>
  <si>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</si>
  <si>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</si>
  <si>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</si>
  <si>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</si>
  <si>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</si>
  <si>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</si>
  <si>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</si>
  <si>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</si>
  <si>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</si>
  <si>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</si>
  <si>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</si>
  <si>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</si>
  <si>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</si>
  <si>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</si>
  <si>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</si>
  <si>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</si>
  <si>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</si>
  <si>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</si>
  <si>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</si>
  <si>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</si>
  <si>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</si>
  <si>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</si>
  <si>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</si>
  <si>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</si>
  <si>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</si>
  <si>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</si>
  <si>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</si>
  <si>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</si>
  <si>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</si>
  <si>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</si>
  <si>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</si>
  <si>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</si>
  <si>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</si>
  <si>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</si>
  <si>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</si>
  <si>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</si>
  <si>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</si>
  <si>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</si>
  <si>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</si>
  <si>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Mestský zásah Sever - úprava hrádze na Sihoti IA16</t>
  </si>
  <si>
    <t>MČ Sever - PD komunikácia Volavé IA16</t>
  </si>
  <si>
    <t>Chodník pred Poľom IA16</t>
  </si>
  <si>
    <t>Nozdrkovský chodník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</si>
  <si>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</si>
  <si>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</si>
  <si>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</si>
  <si>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</si>
  <si>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</si>
  <si>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</si>
  <si>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</si>
  <si>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</si>
  <si>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</si>
  <si>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</si>
  <si>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</si>
  <si>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</si>
  <si>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</si>
  <si>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</si>
  <si>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</si>
  <si>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</si>
  <si>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</si>
  <si>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</si>
  <si>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</si>
  <si>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Detské ihrisko Nábrežná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</si>
  <si>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</si>
  <si>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</si>
  <si>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</si>
  <si>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</si>
  <si>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</si>
  <si>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</si>
  <si>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</si>
  <si>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</si>
  <si>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</si>
  <si>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</si>
  <si>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</si>
  <si>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</si>
  <si>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</si>
  <si>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</si>
  <si>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</si>
  <si>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</si>
  <si>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</si>
  <si>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</si>
  <si>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</si>
  <si>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Nové parkovacie miesta (Sever + Juh)</t>
  </si>
  <si>
    <t>PD námestie Rozkvet</t>
  </si>
  <si>
    <t>Oprava povrchu hrádze</t>
  </si>
  <si>
    <t>Výmena okien</t>
  </si>
  <si>
    <t>Obnova fasády</t>
  </si>
  <si>
    <t>MČ Sever - Úprava verejného priestranstva v časti Kubra IA16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</si>
  <si>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</si>
  <si>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</si>
  <si>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</si>
  <si>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</si>
  <si>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</si>
  <si>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</si>
  <si>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</si>
  <si>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</si>
  <si>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</si>
  <si>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</si>
  <si>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</si>
  <si>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</si>
  <si>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</si>
  <si>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</si>
  <si>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</si>
  <si>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</si>
  <si>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</si>
  <si>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</si>
  <si>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</si>
  <si>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</si>
  <si>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</si>
  <si>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Mestský  zásah MČ Stred - Námestie študentov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</si>
  <si>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</si>
  <si>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</si>
  <si>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</si>
  <si>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</si>
  <si>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</si>
  <si>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</si>
  <si>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</si>
  <si>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</si>
  <si>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</si>
  <si>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</si>
  <si>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</si>
  <si>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</si>
  <si>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</si>
  <si>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</si>
  <si>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</si>
  <si>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</si>
  <si>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</si>
  <si>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</si>
  <si>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</si>
  <si>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prekládka (gr.-kat.kostol)</t>
  </si>
  <si>
    <t>Trafostanica - prekládka IA16 (Mládežnícka ul.)</t>
  </si>
  <si>
    <t>Chodník Čerešňový sad IA16</t>
  </si>
  <si>
    <t>Príjmy</t>
  </si>
  <si>
    <t>Výdavky</t>
  </si>
  <si>
    <t>CVČ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</si>
  <si>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</si>
  <si>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</si>
  <si>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</si>
  <si>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</si>
  <si>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</si>
  <si>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</si>
  <si>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diagnostika stropnej konštrukcie, posudok</t>
  </si>
  <si>
    <t>z predaja pozemkov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</si>
  <si>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</si>
  <si>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</si>
  <si>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</si>
  <si>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</si>
  <si>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</si>
  <si>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</si>
  <si>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</si>
  <si>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</si>
  <si>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</si>
  <si>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</si>
  <si>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</si>
  <si>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</si>
  <si>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</si>
  <si>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</si>
  <si>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</si>
  <si>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</si>
  <si>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</si>
  <si>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MŠ Turkovej - aktualizácia PD a úprava rozpočtu pre stavebné úpravy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</si>
  <si>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</si>
  <si>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</si>
  <si>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</si>
  <si>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</si>
  <si>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</si>
  <si>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</si>
  <si>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</si>
  <si>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Dni Juhu 2017</t>
  </si>
  <si>
    <t>Dni Sihote 2017</t>
  </si>
  <si>
    <t>Kultúrne leto na Zámostí 2017</t>
  </si>
  <si>
    <t>Dary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</si>
  <si>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</si>
  <si>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</si>
  <si>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</si>
  <si>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</si>
  <si>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</si>
  <si>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</si>
  <si>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</si>
  <si>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</si>
  <si>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</si>
  <si>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</si>
  <si>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</si>
  <si>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</si>
  <si>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</si>
  <si>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Návrh na Zmenu Programového rozpočtu Mesta Trenčín na rok 2017</t>
  </si>
  <si>
    <t>Návrh na zmenu +/-</t>
  </si>
  <si>
    <t>Upravený rozpočet 2017</t>
  </si>
  <si>
    <t>Upravený bežný rozpočet 2017</t>
  </si>
  <si>
    <t>Upravený kapitálový rozpočet 2017</t>
  </si>
  <si>
    <t>Upravený rozpočet na rok 2017</t>
  </si>
  <si>
    <t>Kosačka</t>
  </si>
  <si>
    <t>Jednota Sokol Trenčín - dotácia na činnosť</t>
  </si>
  <si>
    <t>Letci Trenčín - dotácia na činnosť</t>
  </si>
  <si>
    <t>Nákup svetelnej vianočnej výzdoby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</si>
  <si>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</si>
  <si>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</si>
  <si>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</si>
  <si>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Ochrana prostredia pre život</t>
  </si>
  <si>
    <t>Komplexná svetelné - technická štúdia prioritných opatrení rekonštrukcie VO</t>
  </si>
  <si>
    <t>Otoč MHD Sihoť</t>
  </si>
  <si>
    <t>Kapitálové transfery</t>
  </si>
  <si>
    <t>TJ Družstevník Opatová - výstavba automatického zavlažovania trávnika a rekonštrukciu toaliet</t>
  </si>
  <si>
    <t>KS Hviezda - strecha</t>
  </si>
  <si>
    <t>Oporný múr Horný Šianec - posudok</t>
  </si>
  <si>
    <t>Vybudovanie šatní</t>
  </si>
  <si>
    <t>Priechod pre chodcov pri Fiate</t>
  </si>
  <si>
    <t>Siete hradné bralo</t>
  </si>
  <si>
    <t>Ihrisko Termion</t>
  </si>
  <si>
    <t>453: Prevod nevyčerpaných dotácií z roku 2016</t>
  </si>
  <si>
    <t>453: Prevod prostriedkov na náhradnú výsadbu drevín z roku 2016</t>
  </si>
  <si>
    <t>Nevyčerpaná dotácia z roku 2016</t>
  </si>
  <si>
    <t>Nevyčerpaná dotácia z roku 2016 - vratka do ŠR</t>
  </si>
  <si>
    <t>Nevyčerpaná dotácia za rok 2016 - ŠR</t>
  </si>
  <si>
    <t>Hospic milosrdných sestier o.z. - dotácia na činnosť</t>
  </si>
  <si>
    <t>Žihadielko</t>
  </si>
  <si>
    <t>Kotolňa Sokolovňa - podklady k sanácii</t>
  </si>
  <si>
    <t>PD - Nozdrkovský chodník</t>
  </si>
  <si>
    <t>PD Cyklotrasy</t>
  </si>
  <si>
    <t xml:space="preserve">PD  Cyklotrasa ul. Stárka k priemyselnému parku 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</si>
  <si>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</si>
  <si>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</si>
  <si>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</si>
  <si>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</si>
  <si>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</si>
  <si>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</si>
  <si>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Asociácia športov Trenčín (Futbal, hádzaná, florbal) - dotácia na činnosť</t>
  </si>
  <si>
    <t>Dukla Trenčín n.o.  - dotácia na činnosť</t>
  </si>
  <si>
    <t>1.FBC Trenčín - dotácia na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</si>
</sst>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8"/>
      <color rgb="FFC00000"/>
      <name val="Arial"/>
      <family val="2"/>
      <charset val="238"/>
    </font>
    <font>
      <b/>
      <sz val="10"/>
      <color indexed="9"/>
      <name val="Arial CE"/>
      <charset val="238"/>
    </font>
    <font>
      <b/>
      <sz val="9"/>
      <color indexed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33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2" fillId="0" borderId="0"/>
  </cellStyleXfs>
  <cellXfs count="267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0" fontId="39" fillId="3" borderId="18" xfId="0" applyFont="1" applyFill="1" applyBorder="1" applyAlignment="1"/>
    <xf numFmtId="0" fontId="0" fillId="0" borderId="19" xfId="0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37" fillId="14" borderId="20" xfId="0" applyFont="1" applyFill="1" applyBorder="1" applyAlignment="1"/>
    <xf numFmtId="3" fontId="41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3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0" fontId="7" fillId="0" borderId="0" xfId="0" applyFont="1"/>
    <xf numFmtId="0" fontId="51" fillId="0" borderId="0" xfId="0" applyFont="1" applyBorder="1" applyAlignment="1">
      <alignment vertical="center"/>
    </xf>
    <xf numFmtId="3" fontId="7" fillId="0" borderId="0" xfId="0" applyNumberFormat="1" applyFont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7" fillId="0" borderId="24" xfId="0" applyFont="1" applyFill="1" applyBorder="1" applyAlignment="1">
      <alignment horizontal="center"/>
    </xf>
    <xf numFmtId="0" fontId="0" fillId="0" borderId="19" xfId="0" applyBorder="1" applyAlignment="1"/>
    <xf numFmtId="0" fontId="39" fillId="3" borderId="18" xfId="0" applyFont="1" applyFill="1" applyBorder="1" applyAlignment="1"/>
    <xf numFmtId="0" fontId="0" fillId="16" borderId="12" xfId="0" applyFill="1" applyBorder="1" applyAlignment="1"/>
    <xf numFmtId="0" fontId="52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3" fillId="7" borderId="12" xfId="0" applyNumberFormat="1" applyFont="1" applyFill="1" applyBorder="1" applyAlignment="1"/>
    <xf numFmtId="3" fontId="53" fillId="7" borderId="8" xfId="0" applyNumberFormat="1" applyFont="1" applyFill="1" applyBorder="1" applyAlignment="1"/>
    <xf numFmtId="0" fontId="54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22" fillId="0" borderId="0" xfId="0" applyFont="1" applyFill="1" applyBorder="1" applyAlignment="1"/>
    <xf numFmtId="0" fontId="0" fillId="0" borderId="0" xfId="0" applyAlignment="1"/>
    <xf numFmtId="0" fontId="0" fillId="0" borderId="19" xfId="0" applyBorder="1" applyAlignment="1"/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29" fillId="12" borderId="12" xfId="0" applyFont="1" applyFill="1" applyBorder="1" applyAlignment="1"/>
    <xf numFmtId="0" fontId="46" fillId="0" borderId="19" xfId="0" applyFont="1" applyBorder="1" applyAlignment="1"/>
    <xf numFmtId="0" fontId="0" fillId="24" borderId="6" xfId="0" applyFill="1" applyBorder="1" applyAlignment="1"/>
    <xf numFmtId="0" fontId="0" fillId="24" borderId="19" xfId="0" applyFill="1" applyBorder="1" applyAlignment="1"/>
    <xf numFmtId="3" fontId="50" fillId="25" borderId="12" xfId="0" applyNumberFormat="1" applyFont="1" applyFill="1" applyBorder="1" applyAlignment="1">
      <alignment horizontal="center" vertical="center" wrapText="1"/>
    </xf>
    <xf numFmtId="3" fontId="24" fillId="25" borderId="12" xfId="0" applyNumberFormat="1" applyFont="1" applyFill="1" applyBorder="1" applyAlignment="1">
      <alignment horizontal="center" vertical="center" wrapText="1"/>
    </xf>
    <xf numFmtId="3" fontId="24" fillId="25" borderId="25" xfId="0" applyNumberFormat="1" applyFont="1" applyFill="1" applyBorder="1" applyAlignment="1">
      <alignment horizontal="center" vertical="center" wrapText="1"/>
    </xf>
    <xf numFmtId="3" fontId="41" fillId="16" borderId="26" xfId="0" applyNumberFormat="1" applyFont="1" applyFill="1" applyBorder="1" applyAlignment="1"/>
    <xf numFmtId="3" fontId="41" fillId="16" borderId="27" xfId="0" applyNumberFormat="1" applyFont="1" applyFill="1" applyBorder="1" applyAlignment="1"/>
    <xf numFmtId="0" fontId="0" fillId="26" borderId="16" xfId="0" applyFill="1" applyBorder="1" applyAlignment="1"/>
    <xf numFmtId="3" fontId="44" fillId="26" borderId="13" xfId="0" applyNumberFormat="1" applyFont="1" applyFill="1" applyBorder="1" applyAlignment="1"/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9" fillId="0" borderId="12" xfId="0" applyFont="1" applyFill="1" applyBorder="1" applyAlignment="1">
      <alignment vertical="center" wrapText="1"/>
    </xf>
    <xf numFmtId="0" fontId="54" fillId="0" borderId="0" xfId="0" applyFont="1"/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59" fillId="0" borderId="0" xfId="0" applyFont="1"/>
    <xf numFmtId="0" fontId="14" fillId="0" borderId="1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3" fontId="56" fillId="23" borderId="4" xfId="0" applyNumberFormat="1" applyFont="1" applyFill="1" applyBorder="1" applyAlignment="1">
      <alignment horizontal="center" vertical="center" wrapText="1"/>
    </xf>
    <xf numFmtId="3" fontId="56" fillId="23" borderId="8" xfId="0" applyNumberFormat="1" applyFont="1" applyFill="1" applyBorder="1" applyAlignment="1">
      <alignment horizontal="center" vertical="center" wrapText="1"/>
    </xf>
    <xf numFmtId="3" fontId="56" fillId="23" borderId="9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57" fillId="23" borderId="4" xfId="0" applyNumberFormat="1" applyFont="1" applyFill="1" applyBorder="1" applyAlignment="1">
      <alignment horizontal="center" vertical="center" wrapText="1"/>
    </xf>
    <xf numFmtId="3" fontId="57" fillId="23" borderId="8" xfId="0" applyNumberFormat="1" applyFont="1" applyFill="1" applyBorder="1" applyAlignment="1">
      <alignment horizontal="center" vertical="center" wrapText="1"/>
    </xf>
    <xf numFmtId="3" fontId="57" fillId="23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9" fillId="12" borderId="18" xfId="0" applyFont="1" applyFill="1" applyBorder="1" applyAlignment="1"/>
    <xf numFmtId="0" fontId="22" fillId="0" borderId="0" xfId="0" applyFont="1" applyFill="1" applyBorder="1" applyAlignment="1"/>
    <xf numFmtId="0" fontId="0" fillId="0" borderId="0" xfId="0" applyAlignment="1"/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24" fillId="21" borderId="12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27" fillId="14" borderId="5" xfId="0" applyFont="1" applyFill="1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48" fillId="7" borderId="0" xfId="0" applyFont="1" applyFill="1" applyBorder="1" applyAlignment="1">
      <alignment horizontal="left" vertical="center" wrapText="1"/>
    </xf>
    <xf numFmtId="0" fontId="49" fillId="7" borderId="0" xfId="0" applyFont="1" applyFill="1" applyBorder="1" applyAlignment="1">
      <alignment horizontal="left" vertical="center" wrapText="1"/>
    </xf>
    <xf numFmtId="3" fontId="40" fillId="8" borderId="15" xfId="0" applyNumberFormat="1" applyFont="1" applyFill="1" applyBorder="1" applyAlignment="1"/>
    <xf numFmtId="0" fontId="0" fillId="0" borderId="16" xfId="0" applyBorder="1" applyAlignment="1"/>
    <xf numFmtId="0" fontId="36" fillId="16" borderId="21" xfId="0" applyFont="1" applyFill="1" applyBorder="1" applyAlignment="1">
      <alignment horizontal="left"/>
    </xf>
    <xf numFmtId="0" fontId="36" fillId="16" borderId="22" xfId="0" applyFont="1" applyFill="1" applyBorder="1" applyAlignment="1">
      <alignment horizontal="left"/>
    </xf>
    <xf numFmtId="0" fontId="27" fillId="14" borderId="18" xfId="0" applyFont="1" applyFill="1" applyBorder="1" applyAlignme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1"/>
  <sheetViews>
    <sheetView tabSelected="1" zoomScale="90" zoomScaleNormal="90" zoomScalePageLayoutView="90" workbookViewId="0"/>
  </sheetViews>
  <sheetFormatPr defaultRowHeight="15" x14ac:dyDescent="0.25"/>
  <cols>
    <col min="1" max="1" width="4.28515625" customWidth="1"/>
    <col min="2" max="2" width="3.42578125" style="90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0.7109375" customWidth="1"/>
    <col min="8" max="8" width="14" style="11" customWidth="1"/>
    <col min="9" max="9" width="11.140625" customWidth="1"/>
    <col min="10" max="10" width="13.28515625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1.5" customHeight="1" x14ac:dyDescent="0.25">
      <c r="B2" s="199" t="s">
        <v>634</v>
      </c>
      <c r="C2" s="199"/>
      <c r="D2" s="199"/>
      <c r="E2" s="199"/>
      <c r="F2" s="199"/>
      <c r="G2" s="199"/>
      <c r="H2" s="199"/>
      <c r="I2" s="199"/>
      <c r="J2" s="199"/>
    </row>
    <row r="4" spans="2:11" ht="15" customHeight="1" x14ac:dyDescent="0.25">
      <c r="B4" s="208" t="s">
        <v>0</v>
      </c>
      <c r="C4" s="209"/>
      <c r="D4" s="209"/>
      <c r="E4" s="209"/>
      <c r="F4" s="209"/>
      <c r="G4" s="210"/>
      <c r="H4" s="214" t="s">
        <v>560</v>
      </c>
      <c r="I4" s="196" t="s">
        <v>635</v>
      </c>
      <c r="J4" s="196" t="s">
        <v>636</v>
      </c>
    </row>
    <row r="5" spans="2:11" x14ac:dyDescent="0.25">
      <c r="B5" s="211"/>
      <c r="C5" s="212"/>
      <c r="D5" s="212"/>
      <c r="E5" s="212"/>
      <c r="F5" s="212"/>
      <c r="G5" s="213"/>
      <c r="H5" s="215"/>
      <c r="I5" s="197"/>
      <c r="J5" s="197"/>
    </row>
    <row r="6" spans="2:11" ht="4.5" customHeight="1" x14ac:dyDescent="0.25">
      <c r="B6" s="200" t="s">
        <v>1</v>
      </c>
      <c r="C6" s="217" t="s">
        <v>2</v>
      </c>
      <c r="D6" s="219" t="s">
        <v>3</v>
      </c>
      <c r="E6" s="219" t="s">
        <v>4</v>
      </c>
      <c r="F6" s="219" t="s">
        <v>5</v>
      </c>
      <c r="G6" s="206" t="s">
        <v>6</v>
      </c>
      <c r="H6" s="215"/>
      <c r="I6" s="197"/>
      <c r="J6" s="197"/>
    </row>
    <row r="7" spans="2:11" ht="15.75" thickBot="1" x14ac:dyDescent="0.3">
      <c r="B7" s="201"/>
      <c r="C7" s="218"/>
      <c r="D7" s="220"/>
      <c r="E7" s="220"/>
      <c r="F7" s="220"/>
      <c r="G7" s="207"/>
      <c r="H7" s="216"/>
      <c r="I7" s="198"/>
      <c r="J7" s="198"/>
    </row>
    <row r="8" spans="2:11" ht="17.25" thickTop="1" thickBot="1" x14ac:dyDescent="0.3">
      <c r="B8" s="150">
        <v>1</v>
      </c>
      <c r="C8" s="23">
        <v>100</v>
      </c>
      <c r="D8" s="23"/>
      <c r="E8" s="23"/>
      <c r="F8" s="23"/>
      <c r="G8" s="1" t="s">
        <v>7</v>
      </c>
      <c r="H8" s="2">
        <f>H9</f>
        <v>26010000</v>
      </c>
      <c r="I8" s="2">
        <f t="shared" ref="I8" si="0">I9</f>
        <v>0</v>
      </c>
      <c r="J8" s="2">
        <f>H8+I8</f>
        <v>26010000</v>
      </c>
    </row>
    <row r="9" spans="2:11" ht="15.75" thickBot="1" x14ac:dyDescent="0.3">
      <c r="B9" s="92">
        <f>B8+1</f>
        <v>2</v>
      </c>
      <c r="C9" s="24"/>
      <c r="D9" s="24"/>
      <c r="E9" s="24"/>
      <c r="F9" s="24"/>
      <c r="G9" s="3" t="s">
        <v>8</v>
      </c>
      <c r="H9" s="4">
        <f>H10+H13+H18</f>
        <v>26010000</v>
      </c>
      <c r="I9" s="4">
        <f t="shared" ref="I9" si="1">I10+I13+I18</f>
        <v>0</v>
      </c>
      <c r="J9" s="4">
        <f t="shared" ref="J9:J72" si="2">H9+I9</f>
        <v>26010000</v>
      </c>
    </row>
    <row r="10" spans="2:11" x14ac:dyDescent="0.25">
      <c r="B10" s="32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17850000</v>
      </c>
      <c r="I10" s="6">
        <f t="shared" ref="I10:I11" si="3">I11</f>
        <v>0</v>
      </c>
      <c r="J10" s="6">
        <f t="shared" si="2"/>
        <v>17850000</v>
      </c>
      <c r="K10" s="69"/>
    </row>
    <row r="11" spans="2:11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17850000</v>
      </c>
      <c r="I11" s="8">
        <f t="shared" si="3"/>
        <v>0</v>
      </c>
      <c r="J11" s="8">
        <f t="shared" si="2"/>
        <v>17850000</v>
      </c>
      <c r="K11" s="69"/>
    </row>
    <row r="12" spans="2:11" x14ac:dyDescent="0.25">
      <c r="B12" s="32">
        <f t="shared" ref="B12:B75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</f>
        <v>17850000</v>
      </c>
      <c r="I12" s="10"/>
      <c r="J12" s="10">
        <f t="shared" si="2"/>
        <v>17850000</v>
      </c>
      <c r="K12" s="69"/>
    </row>
    <row r="13" spans="2:11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6">
        <f t="shared" ref="I13" si="5">I14</f>
        <v>0</v>
      </c>
      <c r="J13" s="6">
        <f t="shared" si="2"/>
        <v>5550000</v>
      </c>
      <c r="K13" s="69"/>
    </row>
    <row r="14" spans="2:11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8">
        <f t="shared" ref="I14" si="6">I15+I16+I17</f>
        <v>0</v>
      </c>
      <c r="J14" s="8">
        <f t="shared" si="2"/>
        <v>5550000</v>
      </c>
    </row>
    <row r="15" spans="2:11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10"/>
      <c r="J15" s="10">
        <f t="shared" si="2"/>
        <v>550000</v>
      </c>
    </row>
    <row r="16" spans="2:11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10"/>
      <c r="J16" s="10">
        <f t="shared" si="2"/>
        <v>4650000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10"/>
      <c r="J17" s="10">
        <f t="shared" si="2"/>
        <v>350000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6">
        <f t="shared" ref="I18" si="7">I19</f>
        <v>0</v>
      </c>
      <c r="J18" s="6">
        <f t="shared" si="2"/>
        <v>2610000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8">
        <f t="shared" ref="I19" si="8">SUM(I20:I23)</f>
        <v>0</v>
      </c>
      <c r="J19" s="8">
        <f t="shared" si="2"/>
        <v>2610000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10"/>
      <c r="J20" s="10">
        <f t="shared" si="2"/>
        <v>55000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10"/>
      <c r="J21" s="10">
        <f t="shared" si="2"/>
        <v>85000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10"/>
      <c r="J22" s="10">
        <f t="shared" si="2"/>
        <v>70000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10"/>
      <c r="J23" s="10">
        <f t="shared" si="2"/>
        <v>2400000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H25+H50+H54+H137+H141+H214+H307+H321+H329+H336+H347+H358+H369+H380+H391</f>
        <v>3738263</v>
      </c>
      <c r="I24" s="2">
        <f t="shared" ref="I24" si="9">I25+I50+I54+I137+I141+I214+I307+I321+I329+I336+I347+I358+I369+I380+I391</f>
        <v>37565</v>
      </c>
      <c r="J24" s="2">
        <f t="shared" si="2"/>
        <v>3775828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H26+H30+H41+H44</f>
        <v>1974101</v>
      </c>
      <c r="I25" s="4">
        <f t="shared" ref="I25" si="10">I26+I30+I41+I44</f>
        <v>37565</v>
      </c>
      <c r="J25" s="4">
        <f t="shared" si="2"/>
        <v>2011666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H27</f>
        <v>417000</v>
      </c>
      <c r="I26" s="6">
        <f t="shared" ref="I26" si="11">I27</f>
        <v>0</v>
      </c>
      <c r="J26" s="6">
        <f t="shared" si="2"/>
        <v>417000</v>
      </c>
    </row>
    <row r="27" spans="2:10" x14ac:dyDescent="0.25">
      <c r="B27" s="32">
        <f t="shared" si="4"/>
        <v>20</v>
      </c>
      <c r="C27" s="26"/>
      <c r="D27" s="26">
        <v>212</v>
      </c>
      <c r="E27" s="26"/>
      <c r="F27" s="26"/>
      <c r="G27" s="7" t="s">
        <v>25</v>
      </c>
      <c r="H27" s="8">
        <f>H28+H29</f>
        <v>417000</v>
      </c>
      <c r="I27" s="8">
        <f t="shared" ref="I27" si="12">I28+I29</f>
        <v>0</v>
      </c>
      <c r="J27" s="8">
        <f t="shared" si="2"/>
        <v>417000</v>
      </c>
    </row>
    <row r="28" spans="2:10" x14ac:dyDescent="0.25">
      <c r="B28" s="32">
        <f t="shared" si="4"/>
        <v>21</v>
      </c>
      <c r="C28" s="27"/>
      <c r="D28" s="27"/>
      <c r="E28" s="27">
        <v>212002</v>
      </c>
      <c r="F28" s="27"/>
      <c r="G28" s="9" t="s">
        <v>26</v>
      </c>
      <c r="H28" s="10">
        <v>90000</v>
      </c>
      <c r="I28" s="10"/>
      <c r="J28" s="10">
        <f t="shared" si="2"/>
        <v>90000</v>
      </c>
    </row>
    <row r="29" spans="2:10" x14ac:dyDescent="0.25">
      <c r="B29" s="32">
        <f t="shared" si="4"/>
        <v>22</v>
      </c>
      <c r="C29" s="27"/>
      <c r="D29" s="27"/>
      <c r="E29" s="27">
        <v>212003</v>
      </c>
      <c r="F29" s="27"/>
      <c r="G29" s="9" t="s">
        <v>27</v>
      </c>
      <c r="H29" s="10">
        <f>315000+12000</f>
        <v>327000</v>
      </c>
      <c r="I29" s="10"/>
      <c r="J29" s="10">
        <f t="shared" si="2"/>
        <v>327000</v>
      </c>
    </row>
    <row r="30" spans="2:10" x14ac:dyDescent="0.25">
      <c r="B30" s="32">
        <f t="shared" si="4"/>
        <v>23</v>
      </c>
      <c r="C30" s="25">
        <v>220</v>
      </c>
      <c r="D30" s="25"/>
      <c r="E30" s="25"/>
      <c r="F30" s="25"/>
      <c r="G30" s="5" t="s">
        <v>28</v>
      </c>
      <c r="H30" s="6">
        <f>H31+H34+H36+H39</f>
        <v>981600</v>
      </c>
      <c r="I30" s="6">
        <f t="shared" ref="I30" si="13">I31+I34+I36+I39</f>
        <v>0</v>
      </c>
      <c r="J30" s="6">
        <f t="shared" si="2"/>
        <v>981600</v>
      </c>
    </row>
    <row r="31" spans="2:10" x14ac:dyDescent="0.25">
      <c r="B31" s="32">
        <f t="shared" si="4"/>
        <v>24</v>
      </c>
      <c r="C31" s="26"/>
      <c r="D31" s="26">
        <v>221</v>
      </c>
      <c r="E31" s="26"/>
      <c r="F31" s="26"/>
      <c r="G31" s="7" t="s">
        <v>29</v>
      </c>
      <c r="H31" s="8">
        <f>H32+H33</f>
        <v>290000</v>
      </c>
      <c r="I31" s="8">
        <f t="shared" ref="I31" si="14">I32+I33</f>
        <v>0</v>
      </c>
      <c r="J31" s="8">
        <f t="shared" si="2"/>
        <v>290000</v>
      </c>
    </row>
    <row r="32" spans="2:10" x14ac:dyDescent="0.25">
      <c r="B32" s="32">
        <f t="shared" si="4"/>
        <v>25</v>
      </c>
      <c r="C32" s="27"/>
      <c r="D32" s="27"/>
      <c r="E32" s="27">
        <v>221004</v>
      </c>
      <c r="F32" s="27"/>
      <c r="G32" s="9" t="s">
        <v>30</v>
      </c>
      <c r="H32" s="10">
        <v>175000</v>
      </c>
      <c r="I32" s="10"/>
      <c r="J32" s="10">
        <f t="shared" si="2"/>
        <v>175000</v>
      </c>
    </row>
    <row r="33" spans="2:10" x14ac:dyDescent="0.25">
      <c r="B33" s="32">
        <f t="shared" si="4"/>
        <v>26</v>
      </c>
      <c r="C33" s="27"/>
      <c r="D33" s="27"/>
      <c r="E33" s="27">
        <v>221005</v>
      </c>
      <c r="F33" s="27"/>
      <c r="G33" s="9" t="s">
        <v>31</v>
      </c>
      <c r="H33" s="10">
        <v>115000</v>
      </c>
      <c r="I33" s="10"/>
      <c r="J33" s="10">
        <f t="shared" si="2"/>
        <v>115000</v>
      </c>
    </row>
    <row r="34" spans="2:10" x14ac:dyDescent="0.25">
      <c r="B34" s="32">
        <f t="shared" si="4"/>
        <v>27</v>
      </c>
      <c r="C34" s="26"/>
      <c r="D34" s="26">
        <v>222</v>
      </c>
      <c r="E34" s="26"/>
      <c r="F34" s="26"/>
      <c r="G34" s="7" t="s">
        <v>32</v>
      </c>
      <c r="H34" s="8">
        <f>H35</f>
        <v>90000</v>
      </c>
      <c r="I34" s="8">
        <f t="shared" ref="I34" si="15">I35</f>
        <v>0</v>
      </c>
      <c r="J34" s="8">
        <f t="shared" si="2"/>
        <v>90000</v>
      </c>
    </row>
    <row r="35" spans="2:10" x14ac:dyDescent="0.25">
      <c r="B35" s="32">
        <f t="shared" si="4"/>
        <v>28</v>
      </c>
      <c r="C35" s="27"/>
      <c r="D35" s="27"/>
      <c r="E35" s="27">
        <v>222003</v>
      </c>
      <c r="F35" s="27"/>
      <c r="G35" s="9" t="s">
        <v>33</v>
      </c>
      <c r="H35" s="10">
        <v>90000</v>
      </c>
      <c r="I35" s="10"/>
      <c r="J35" s="10">
        <f t="shared" si="2"/>
        <v>90000</v>
      </c>
    </row>
    <row r="36" spans="2:10" x14ac:dyDescent="0.25">
      <c r="B36" s="32">
        <f t="shared" si="4"/>
        <v>29</v>
      </c>
      <c r="C36" s="26"/>
      <c r="D36" s="26">
        <v>223</v>
      </c>
      <c r="E36" s="26"/>
      <c r="F36" s="26"/>
      <c r="G36" s="7" t="s">
        <v>34</v>
      </c>
      <c r="H36" s="8">
        <f>H37+H38</f>
        <v>600000</v>
      </c>
      <c r="I36" s="8">
        <f t="shared" ref="I36" si="16">I37+I38</f>
        <v>0</v>
      </c>
      <c r="J36" s="8">
        <f t="shared" si="2"/>
        <v>600000</v>
      </c>
    </row>
    <row r="37" spans="2:10" x14ac:dyDescent="0.25">
      <c r="B37" s="32">
        <f t="shared" si="4"/>
        <v>30</v>
      </c>
      <c r="C37" s="27"/>
      <c r="D37" s="27"/>
      <c r="E37" s="27">
        <v>223001</v>
      </c>
      <c r="F37" s="27"/>
      <c r="G37" s="9" t="s">
        <v>35</v>
      </c>
      <c r="H37" s="10">
        <v>100000</v>
      </c>
      <c r="I37" s="10"/>
      <c r="J37" s="10">
        <f t="shared" si="2"/>
        <v>100000</v>
      </c>
    </row>
    <row r="38" spans="2:10" x14ac:dyDescent="0.25">
      <c r="B38" s="32">
        <f t="shared" si="4"/>
        <v>31</v>
      </c>
      <c r="C38" s="27"/>
      <c r="D38" s="27"/>
      <c r="E38" s="104">
        <v>223</v>
      </c>
      <c r="F38" s="27"/>
      <c r="G38" s="9" t="s">
        <v>446</v>
      </c>
      <c r="H38" s="10">
        <v>500000</v>
      </c>
      <c r="I38" s="10"/>
      <c r="J38" s="10">
        <f t="shared" si="2"/>
        <v>500000</v>
      </c>
    </row>
    <row r="39" spans="2:10" x14ac:dyDescent="0.25">
      <c r="B39" s="32">
        <f>B38+1</f>
        <v>32</v>
      </c>
      <c r="C39" s="26"/>
      <c r="D39" s="26">
        <v>229</v>
      </c>
      <c r="E39" s="26"/>
      <c r="F39" s="26"/>
      <c r="G39" s="7" t="s">
        <v>36</v>
      </c>
      <c r="H39" s="8">
        <f>H40</f>
        <v>1600</v>
      </c>
      <c r="I39" s="8">
        <f t="shared" ref="I39" si="17">I40</f>
        <v>0</v>
      </c>
      <c r="J39" s="8">
        <f t="shared" si="2"/>
        <v>1600</v>
      </c>
    </row>
    <row r="40" spans="2:10" x14ac:dyDescent="0.25">
      <c r="B40" s="32">
        <f t="shared" si="4"/>
        <v>33</v>
      </c>
      <c r="C40" s="27"/>
      <c r="D40" s="27"/>
      <c r="E40" s="27">
        <v>229005</v>
      </c>
      <c r="F40" s="27"/>
      <c r="G40" s="9" t="s">
        <v>37</v>
      </c>
      <c r="H40" s="10">
        <v>1600</v>
      </c>
      <c r="I40" s="10"/>
      <c r="J40" s="10">
        <f t="shared" si="2"/>
        <v>1600</v>
      </c>
    </row>
    <row r="41" spans="2:10" x14ac:dyDescent="0.25">
      <c r="B41" s="32">
        <f t="shared" si="4"/>
        <v>34</v>
      </c>
      <c r="C41" s="25">
        <v>240</v>
      </c>
      <c r="D41" s="25"/>
      <c r="E41" s="25"/>
      <c r="F41" s="25"/>
      <c r="G41" s="5" t="s">
        <v>38</v>
      </c>
      <c r="H41" s="6">
        <f>H42</f>
        <v>4000</v>
      </c>
      <c r="I41" s="6">
        <f t="shared" ref="I41:I42" si="18">I42</f>
        <v>0</v>
      </c>
      <c r="J41" s="6">
        <f t="shared" si="2"/>
        <v>4000</v>
      </c>
    </row>
    <row r="42" spans="2:10" x14ac:dyDescent="0.25">
      <c r="B42" s="32">
        <f t="shared" si="4"/>
        <v>35</v>
      </c>
      <c r="C42" s="26"/>
      <c r="D42" s="26">
        <v>242</v>
      </c>
      <c r="E42" s="26"/>
      <c r="F42" s="26"/>
      <c r="G42" s="7" t="s">
        <v>39</v>
      </c>
      <c r="H42" s="8">
        <f>H43</f>
        <v>4000</v>
      </c>
      <c r="I42" s="8">
        <f t="shared" si="18"/>
        <v>0</v>
      </c>
      <c r="J42" s="8">
        <f t="shared" si="2"/>
        <v>4000</v>
      </c>
    </row>
    <row r="43" spans="2:10" x14ac:dyDescent="0.25">
      <c r="B43" s="32">
        <f t="shared" si="4"/>
        <v>36</v>
      </c>
      <c r="C43" s="27"/>
      <c r="D43" s="27"/>
      <c r="E43" s="27">
        <v>242</v>
      </c>
      <c r="F43" s="27"/>
      <c r="G43" s="9" t="s">
        <v>39</v>
      </c>
      <c r="H43" s="10">
        <v>4000</v>
      </c>
      <c r="I43" s="10"/>
      <c r="J43" s="10">
        <f t="shared" si="2"/>
        <v>4000</v>
      </c>
    </row>
    <row r="44" spans="2:10" x14ac:dyDescent="0.25">
      <c r="B44" s="32">
        <f t="shared" si="4"/>
        <v>37</v>
      </c>
      <c r="C44" s="25">
        <v>290</v>
      </c>
      <c r="D44" s="25"/>
      <c r="E44" s="25"/>
      <c r="F44" s="25"/>
      <c r="G44" s="5" t="s">
        <v>40</v>
      </c>
      <c r="H44" s="6">
        <f>H45</f>
        <v>571501</v>
      </c>
      <c r="I44" s="6">
        <f t="shared" ref="I44" si="19">I45</f>
        <v>37565</v>
      </c>
      <c r="J44" s="6">
        <f t="shared" si="2"/>
        <v>609066</v>
      </c>
    </row>
    <row r="45" spans="2:10" x14ac:dyDescent="0.25">
      <c r="B45" s="32">
        <f t="shared" si="4"/>
        <v>38</v>
      </c>
      <c r="C45" s="26"/>
      <c r="D45" s="26">
        <v>292</v>
      </c>
      <c r="E45" s="26"/>
      <c r="F45" s="26"/>
      <c r="G45" s="7" t="s">
        <v>41</v>
      </c>
      <c r="H45" s="8">
        <f>SUM(H46:H49)</f>
        <v>571501</v>
      </c>
      <c r="I45" s="8">
        <f t="shared" ref="I45" si="20">SUM(I46:I49)</f>
        <v>37565</v>
      </c>
      <c r="J45" s="8">
        <f t="shared" si="2"/>
        <v>609066</v>
      </c>
    </row>
    <row r="46" spans="2:10" x14ac:dyDescent="0.25">
      <c r="B46" s="32">
        <f t="shared" si="4"/>
        <v>39</v>
      </c>
      <c r="C46" s="27"/>
      <c r="D46" s="27"/>
      <c r="E46" s="27">
        <v>292008</v>
      </c>
      <c r="F46" s="27"/>
      <c r="G46" s="9" t="s">
        <v>42</v>
      </c>
      <c r="H46" s="10">
        <v>300000</v>
      </c>
      <c r="I46" s="10"/>
      <c r="J46" s="10">
        <f t="shared" si="2"/>
        <v>300000</v>
      </c>
    </row>
    <row r="47" spans="2:10" x14ac:dyDescent="0.25">
      <c r="B47" s="32">
        <f t="shared" si="4"/>
        <v>40</v>
      </c>
      <c r="C47" s="27"/>
      <c r="D47" s="27"/>
      <c r="E47" s="27">
        <v>292012</v>
      </c>
      <c r="F47" s="27"/>
      <c r="G47" s="9" t="s">
        <v>43</v>
      </c>
      <c r="H47" s="10">
        <f>20000+10000</f>
        <v>30000</v>
      </c>
      <c r="I47" s="10"/>
      <c r="J47" s="10">
        <f t="shared" si="2"/>
        <v>30000</v>
      </c>
    </row>
    <row r="48" spans="2:10" x14ac:dyDescent="0.25">
      <c r="B48" s="32">
        <f t="shared" si="4"/>
        <v>41</v>
      </c>
      <c r="C48" s="27"/>
      <c r="D48" s="27"/>
      <c r="E48" s="27">
        <v>292017</v>
      </c>
      <c r="F48" s="27"/>
      <c r="G48" s="9" t="s">
        <v>44</v>
      </c>
      <c r="H48" s="10">
        <f>100000+10000</f>
        <v>110000</v>
      </c>
      <c r="I48" s="10"/>
      <c r="J48" s="10">
        <f t="shared" si="2"/>
        <v>110000</v>
      </c>
    </row>
    <row r="49" spans="2:10" ht="15.75" thickBot="1" x14ac:dyDescent="0.3">
      <c r="B49" s="32">
        <f t="shared" si="4"/>
        <v>42</v>
      </c>
      <c r="C49" s="27"/>
      <c r="D49" s="27"/>
      <c r="E49" s="27">
        <v>292027</v>
      </c>
      <c r="F49" s="27"/>
      <c r="G49" s="9" t="s">
        <v>45</v>
      </c>
      <c r="H49" s="10">
        <f>80000+11840+22500+4161+1000+12000</f>
        <v>131501</v>
      </c>
      <c r="I49" s="10">
        <f>40557-17992+15000</f>
        <v>37565</v>
      </c>
      <c r="J49" s="10">
        <f t="shared" si="2"/>
        <v>169066</v>
      </c>
    </row>
    <row r="50" spans="2:10" ht="15.75" thickBot="1" x14ac:dyDescent="0.3">
      <c r="B50" s="32">
        <f t="shared" si="4"/>
        <v>43</v>
      </c>
      <c r="C50" s="24">
        <v>1</v>
      </c>
      <c r="D50" s="24"/>
      <c r="E50" s="24"/>
      <c r="F50" s="24"/>
      <c r="G50" s="3" t="s">
        <v>46</v>
      </c>
      <c r="H50" s="4">
        <f>H51</f>
        <v>2500</v>
      </c>
      <c r="I50" s="4">
        <f t="shared" ref="I50:I52" si="21">I51</f>
        <v>0</v>
      </c>
      <c r="J50" s="4">
        <f t="shared" si="2"/>
        <v>2500</v>
      </c>
    </row>
    <row r="51" spans="2:10" x14ac:dyDescent="0.25">
      <c r="B51" s="32">
        <f t="shared" si="4"/>
        <v>44</v>
      </c>
      <c r="C51" s="25">
        <v>220</v>
      </c>
      <c r="D51" s="25"/>
      <c r="E51" s="25"/>
      <c r="F51" s="25"/>
      <c r="G51" s="5" t="s">
        <v>28</v>
      </c>
      <c r="H51" s="6">
        <f>H52</f>
        <v>2500</v>
      </c>
      <c r="I51" s="6">
        <f t="shared" si="21"/>
        <v>0</v>
      </c>
      <c r="J51" s="6">
        <f t="shared" si="2"/>
        <v>2500</v>
      </c>
    </row>
    <row r="52" spans="2:10" x14ac:dyDescent="0.25">
      <c r="B52" s="32">
        <f t="shared" si="4"/>
        <v>45</v>
      </c>
      <c r="C52" s="26"/>
      <c r="D52" s="26">
        <v>223</v>
      </c>
      <c r="E52" s="26"/>
      <c r="F52" s="26"/>
      <c r="G52" s="7" t="s">
        <v>34</v>
      </c>
      <c r="H52" s="8">
        <f>H53</f>
        <v>2500</v>
      </c>
      <c r="I52" s="8">
        <f t="shared" si="21"/>
        <v>0</v>
      </c>
      <c r="J52" s="8">
        <f t="shared" si="2"/>
        <v>2500</v>
      </c>
    </row>
    <row r="53" spans="2:10" ht="15.75" thickBot="1" x14ac:dyDescent="0.3">
      <c r="B53" s="32">
        <f t="shared" si="4"/>
        <v>46</v>
      </c>
      <c r="C53" s="27"/>
      <c r="D53" s="27"/>
      <c r="E53" s="27">
        <v>223002</v>
      </c>
      <c r="F53" s="27"/>
      <c r="G53" s="9" t="s">
        <v>47</v>
      </c>
      <c r="H53" s="10">
        <v>2500</v>
      </c>
      <c r="I53" s="10"/>
      <c r="J53" s="10">
        <f t="shared" si="2"/>
        <v>2500</v>
      </c>
    </row>
    <row r="54" spans="2:10" ht="15.75" thickBot="1" x14ac:dyDescent="0.3">
      <c r="B54" s="32">
        <f t="shared" si="4"/>
        <v>47</v>
      </c>
      <c r="C54" s="24">
        <v>2</v>
      </c>
      <c r="D54" s="24"/>
      <c r="E54" s="24"/>
      <c r="F54" s="24"/>
      <c r="G54" s="3" t="s">
        <v>48</v>
      </c>
      <c r="H54" s="4">
        <f>H55+H59+H63+H67+H71+H75+H79+H86+H90+H97+H105+H112+H116+H123+H130</f>
        <v>577962</v>
      </c>
      <c r="I54" s="4">
        <f t="shared" ref="I54" si="22">I55+I59+I63+I67+I71+I75+I79+I86+I90+I97+I105+I112+I116+I123+I130</f>
        <v>0</v>
      </c>
      <c r="J54" s="4">
        <f t="shared" si="2"/>
        <v>577962</v>
      </c>
    </row>
    <row r="55" spans="2:10" x14ac:dyDescent="0.25">
      <c r="B55" s="32">
        <f t="shared" si="4"/>
        <v>48</v>
      </c>
      <c r="C55" s="25" t="s">
        <v>50</v>
      </c>
      <c r="D55" s="25"/>
      <c r="E55" s="25"/>
      <c r="F55" s="25"/>
      <c r="G55" s="5" t="s">
        <v>51</v>
      </c>
      <c r="H55" s="6">
        <f>H56</f>
        <v>2000</v>
      </c>
      <c r="I55" s="6">
        <f t="shared" ref="I55:I57" si="23">I56</f>
        <v>0</v>
      </c>
      <c r="J55" s="6">
        <f t="shared" si="2"/>
        <v>2000</v>
      </c>
    </row>
    <row r="56" spans="2:10" x14ac:dyDescent="0.25">
      <c r="B56" s="32">
        <f t="shared" si="4"/>
        <v>49</v>
      </c>
      <c r="C56" s="26">
        <v>220</v>
      </c>
      <c r="D56" s="26"/>
      <c r="E56" s="26"/>
      <c r="F56" s="26"/>
      <c r="G56" s="7" t="s">
        <v>28</v>
      </c>
      <c r="H56" s="8">
        <f>H57</f>
        <v>2000</v>
      </c>
      <c r="I56" s="8">
        <f t="shared" si="23"/>
        <v>0</v>
      </c>
      <c r="J56" s="8">
        <f t="shared" si="2"/>
        <v>2000</v>
      </c>
    </row>
    <row r="57" spans="2:10" x14ac:dyDescent="0.25">
      <c r="B57" s="32">
        <f t="shared" si="4"/>
        <v>50</v>
      </c>
      <c r="C57" s="27"/>
      <c r="D57" s="27">
        <v>223</v>
      </c>
      <c r="E57" s="27"/>
      <c r="F57" s="27"/>
      <c r="G57" s="22" t="s">
        <v>34</v>
      </c>
      <c r="H57" s="10">
        <f>H58</f>
        <v>2000</v>
      </c>
      <c r="I57" s="10">
        <f t="shared" si="23"/>
        <v>0</v>
      </c>
      <c r="J57" s="10">
        <f t="shared" si="2"/>
        <v>2000</v>
      </c>
    </row>
    <row r="58" spans="2:10" x14ac:dyDescent="0.25">
      <c r="B58" s="32">
        <f t="shared" si="4"/>
        <v>51</v>
      </c>
      <c r="C58" s="28"/>
      <c r="D58" s="28"/>
      <c r="E58" s="28">
        <v>223001</v>
      </c>
      <c r="F58" s="28"/>
      <c r="G58" s="12" t="s">
        <v>35</v>
      </c>
      <c r="H58" s="13">
        <v>2000</v>
      </c>
      <c r="I58" s="13"/>
      <c r="J58" s="13">
        <f t="shared" si="2"/>
        <v>2000</v>
      </c>
    </row>
    <row r="59" spans="2:10" x14ac:dyDescent="0.25">
      <c r="B59" s="32">
        <f t="shared" si="4"/>
        <v>52</v>
      </c>
      <c r="C59" s="25" t="s">
        <v>53</v>
      </c>
      <c r="D59" s="25"/>
      <c r="E59" s="25"/>
      <c r="F59" s="25"/>
      <c r="G59" s="5" t="s">
        <v>52</v>
      </c>
      <c r="H59" s="6">
        <f>H60</f>
        <v>1000</v>
      </c>
      <c r="I59" s="6">
        <f t="shared" ref="I59:I61" si="24">I60</f>
        <v>0</v>
      </c>
      <c r="J59" s="6">
        <f t="shared" si="2"/>
        <v>1000</v>
      </c>
    </row>
    <row r="60" spans="2:10" x14ac:dyDescent="0.25">
      <c r="B60" s="32">
        <f t="shared" si="4"/>
        <v>53</v>
      </c>
      <c r="C60" s="26">
        <v>220</v>
      </c>
      <c r="D60" s="26"/>
      <c r="E60" s="26"/>
      <c r="F60" s="26"/>
      <c r="G60" s="7" t="s">
        <v>28</v>
      </c>
      <c r="H60" s="8">
        <f>H61</f>
        <v>1000</v>
      </c>
      <c r="I60" s="8">
        <f t="shared" si="24"/>
        <v>0</v>
      </c>
      <c r="J60" s="8">
        <f t="shared" si="2"/>
        <v>1000</v>
      </c>
    </row>
    <row r="61" spans="2:10" x14ac:dyDescent="0.25">
      <c r="B61" s="32">
        <f t="shared" si="4"/>
        <v>54</v>
      </c>
      <c r="C61" s="27"/>
      <c r="D61" s="27">
        <v>223</v>
      </c>
      <c r="E61" s="27"/>
      <c r="F61" s="27"/>
      <c r="G61" s="22" t="s">
        <v>34</v>
      </c>
      <c r="H61" s="10">
        <f>H62</f>
        <v>1000</v>
      </c>
      <c r="I61" s="10">
        <f t="shared" si="24"/>
        <v>0</v>
      </c>
      <c r="J61" s="10">
        <f t="shared" si="2"/>
        <v>1000</v>
      </c>
    </row>
    <row r="62" spans="2:10" x14ac:dyDescent="0.25">
      <c r="B62" s="32">
        <f t="shared" si="4"/>
        <v>55</v>
      </c>
      <c r="C62" s="28"/>
      <c r="D62" s="28"/>
      <c r="E62" s="28">
        <v>223001</v>
      </c>
      <c r="F62" s="28"/>
      <c r="G62" s="12" t="s">
        <v>35</v>
      </c>
      <c r="H62" s="13">
        <v>1000</v>
      </c>
      <c r="I62" s="13"/>
      <c r="J62" s="13">
        <f t="shared" si="2"/>
        <v>1000</v>
      </c>
    </row>
    <row r="63" spans="2:10" x14ac:dyDescent="0.25">
      <c r="B63" s="32">
        <f t="shared" si="4"/>
        <v>56</v>
      </c>
      <c r="C63" s="25" t="s">
        <v>55</v>
      </c>
      <c r="D63" s="25"/>
      <c r="E63" s="25"/>
      <c r="F63" s="25"/>
      <c r="G63" s="5" t="s">
        <v>54</v>
      </c>
      <c r="H63" s="6">
        <f>H64</f>
        <v>8000</v>
      </c>
      <c r="I63" s="6">
        <f t="shared" ref="I63:I65" si="25">I64</f>
        <v>0</v>
      </c>
      <c r="J63" s="6">
        <f t="shared" si="2"/>
        <v>8000</v>
      </c>
    </row>
    <row r="64" spans="2:10" x14ac:dyDescent="0.25">
      <c r="B64" s="32">
        <f t="shared" si="4"/>
        <v>57</v>
      </c>
      <c r="C64" s="26">
        <v>220</v>
      </c>
      <c r="D64" s="26"/>
      <c r="E64" s="26"/>
      <c r="F64" s="26"/>
      <c r="G64" s="7" t="s">
        <v>28</v>
      </c>
      <c r="H64" s="8">
        <f>H65</f>
        <v>8000</v>
      </c>
      <c r="I64" s="8">
        <f t="shared" si="25"/>
        <v>0</v>
      </c>
      <c r="J64" s="8">
        <f t="shared" si="2"/>
        <v>8000</v>
      </c>
    </row>
    <row r="65" spans="2:10" x14ac:dyDescent="0.25">
      <c r="B65" s="32">
        <f t="shared" si="4"/>
        <v>58</v>
      </c>
      <c r="C65" s="27"/>
      <c r="D65" s="27">
        <v>223</v>
      </c>
      <c r="E65" s="27"/>
      <c r="F65" s="27"/>
      <c r="G65" s="9" t="s">
        <v>34</v>
      </c>
      <c r="H65" s="10">
        <f>H66</f>
        <v>8000</v>
      </c>
      <c r="I65" s="10">
        <f t="shared" si="25"/>
        <v>0</v>
      </c>
      <c r="J65" s="10">
        <f t="shared" si="2"/>
        <v>8000</v>
      </c>
    </row>
    <row r="66" spans="2:10" x14ac:dyDescent="0.25">
      <c r="B66" s="32">
        <f t="shared" si="4"/>
        <v>59</v>
      </c>
      <c r="C66" s="28"/>
      <c r="D66" s="28"/>
      <c r="E66" s="28">
        <v>223001</v>
      </c>
      <c r="F66" s="28"/>
      <c r="G66" s="12" t="s">
        <v>35</v>
      </c>
      <c r="H66" s="13">
        <v>8000</v>
      </c>
      <c r="I66" s="13"/>
      <c r="J66" s="13">
        <f t="shared" si="2"/>
        <v>8000</v>
      </c>
    </row>
    <row r="67" spans="2:10" x14ac:dyDescent="0.25">
      <c r="B67" s="32">
        <f t="shared" si="4"/>
        <v>60</v>
      </c>
      <c r="C67" s="25" t="s">
        <v>56</v>
      </c>
      <c r="D67" s="25"/>
      <c r="E67" s="25"/>
      <c r="F67" s="25"/>
      <c r="G67" s="5" t="s">
        <v>57</v>
      </c>
      <c r="H67" s="6">
        <f>H68</f>
        <v>1500</v>
      </c>
      <c r="I67" s="6">
        <f t="shared" ref="I67" si="26">I68</f>
        <v>0</v>
      </c>
      <c r="J67" s="6">
        <f t="shared" si="2"/>
        <v>1500</v>
      </c>
    </row>
    <row r="68" spans="2:10" x14ac:dyDescent="0.25">
      <c r="B68" s="32">
        <f t="shared" si="4"/>
        <v>61</v>
      </c>
      <c r="C68" s="26">
        <v>220</v>
      </c>
      <c r="D68" s="26"/>
      <c r="E68" s="26"/>
      <c r="F68" s="26"/>
      <c r="G68" s="7" t="s">
        <v>28</v>
      </c>
      <c r="H68" s="8">
        <f t="shared" ref="H68:I69" si="27">H69</f>
        <v>1500</v>
      </c>
      <c r="I68" s="8">
        <f t="shared" si="27"/>
        <v>0</v>
      </c>
      <c r="J68" s="8">
        <f t="shared" si="2"/>
        <v>1500</v>
      </c>
    </row>
    <row r="69" spans="2:10" x14ac:dyDescent="0.25">
      <c r="B69" s="32">
        <f t="shared" si="4"/>
        <v>62</v>
      </c>
      <c r="C69" s="27"/>
      <c r="D69" s="27">
        <v>223</v>
      </c>
      <c r="E69" s="27"/>
      <c r="F69" s="27"/>
      <c r="G69" s="9" t="s">
        <v>34</v>
      </c>
      <c r="H69" s="10">
        <f t="shared" si="27"/>
        <v>1500</v>
      </c>
      <c r="I69" s="10">
        <f t="shared" si="27"/>
        <v>0</v>
      </c>
      <c r="J69" s="10">
        <f t="shared" si="2"/>
        <v>1500</v>
      </c>
    </row>
    <row r="70" spans="2:10" x14ac:dyDescent="0.25">
      <c r="B70" s="32">
        <f t="shared" si="4"/>
        <v>63</v>
      </c>
      <c r="C70" s="28"/>
      <c r="D70" s="28"/>
      <c r="E70" s="28">
        <v>223001</v>
      </c>
      <c r="F70" s="28"/>
      <c r="G70" s="12" t="s">
        <v>35</v>
      </c>
      <c r="H70" s="13">
        <v>1500</v>
      </c>
      <c r="I70" s="13"/>
      <c r="J70" s="13">
        <f t="shared" si="2"/>
        <v>1500</v>
      </c>
    </row>
    <row r="71" spans="2:10" x14ac:dyDescent="0.25">
      <c r="B71" s="32">
        <f t="shared" si="4"/>
        <v>64</v>
      </c>
      <c r="C71" s="25" t="s">
        <v>59</v>
      </c>
      <c r="D71" s="25"/>
      <c r="E71" s="25"/>
      <c r="F71" s="25"/>
      <c r="G71" s="5" t="s">
        <v>58</v>
      </c>
      <c r="H71" s="6">
        <f>H72</f>
        <v>1000</v>
      </c>
      <c r="I71" s="6">
        <f t="shared" ref="I71:I73" si="28">I72</f>
        <v>0</v>
      </c>
      <c r="J71" s="6">
        <f t="shared" si="2"/>
        <v>1000</v>
      </c>
    </row>
    <row r="72" spans="2:10" x14ac:dyDescent="0.25">
      <c r="B72" s="32">
        <f t="shared" si="4"/>
        <v>65</v>
      </c>
      <c r="C72" s="26">
        <v>220</v>
      </c>
      <c r="D72" s="26"/>
      <c r="E72" s="26"/>
      <c r="F72" s="26"/>
      <c r="G72" s="7" t="s">
        <v>28</v>
      </c>
      <c r="H72" s="8">
        <f>H73</f>
        <v>1000</v>
      </c>
      <c r="I72" s="8">
        <f t="shared" si="28"/>
        <v>0</v>
      </c>
      <c r="J72" s="8">
        <f t="shared" si="2"/>
        <v>1000</v>
      </c>
    </row>
    <row r="73" spans="2:10" x14ac:dyDescent="0.25">
      <c r="B73" s="32">
        <f t="shared" si="4"/>
        <v>66</v>
      </c>
      <c r="C73" s="27"/>
      <c r="D73" s="27">
        <v>223</v>
      </c>
      <c r="E73" s="27"/>
      <c r="F73" s="27"/>
      <c r="G73" s="9" t="s">
        <v>34</v>
      </c>
      <c r="H73" s="10">
        <f>H74</f>
        <v>1000</v>
      </c>
      <c r="I73" s="10">
        <f t="shared" si="28"/>
        <v>0</v>
      </c>
      <c r="J73" s="10">
        <f t="shared" ref="J73:J136" si="29">H73+I73</f>
        <v>1000</v>
      </c>
    </row>
    <row r="74" spans="2:10" x14ac:dyDescent="0.25">
      <c r="B74" s="32">
        <f t="shared" si="4"/>
        <v>67</v>
      </c>
      <c r="C74" s="28"/>
      <c r="D74" s="28"/>
      <c r="E74" s="28">
        <v>223001</v>
      </c>
      <c r="F74" s="28"/>
      <c r="G74" s="12" t="s">
        <v>35</v>
      </c>
      <c r="H74" s="13">
        <v>1000</v>
      </c>
      <c r="I74" s="13"/>
      <c r="J74" s="13">
        <f t="shared" si="29"/>
        <v>1000</v>
      </c>
    </row>
    <row r="75" spans="2:10" x14ac:dyDescent="0.25">
      <c r="B75" s="32">
        <f t="shared" si="4"/>
        <v>68</v>
      </c>
      <c r="C75" s="25" t="s">
        <v>61</v>
      </c>
      <c r="D75" s="25"/>
      <c r="E75" s="25"/>
      <c r="F75" s="25"/>
      <c r="G75" s="5" t="s">
        <v>60</v>
      </c>
      <c r="H75" s="6">
        <f>H76</f>
        <v>50850</v>
      </c>
      <c r="I75" s="6">
        <f t="shared" ref="I75:I77" si="30">I76</f>
        <v>0</v>
      </c>
      <c r="J75" s="6">
        <f t="shared" si="29"/>
        <v>50850</v>
      </c>
    </row>
    <row r="76" spans="2:10" x14ac:dyDescent="0.25">
      <c r="B76" s="32">
        <f t="shared" ref="B76:B103" si="31">B75+1</f>
        <v>69</v>
      </c>
      <c r="C76" s="26">
        <v>220</v>
      </c>
      <c r="D76" s="26"/>
      <c r="E76" s="26"/>
      <c r="F76" s="26"/>
      <c r="G76" s="7" t="s">
        <v>28</v>
      </c>
      <c r="H76" s="8">
        <f>H77</f>
        <v>50850</v>
      </c>
      <c r="I76" s="8">
        <f t="shared" si="30"/>
        <v>0</v>
      </c>
      <c r="J76" s="8">
        <f t="shared" si="29"/>
        <v>50850</v>
      </c>
    </row>
    <row r="77" spans="2:10" x14ac:dyDescent="0.25">
      <c r="B77" s="32">
        <f t="shared" si="31"/>
        <v>70</v>
      </c>
      <c r="C77" s="27"/>
      <c r="D77" s="27">
        <v>223</v>
      </c>
      <c r="E77" s="27"/>
      <c r="F77" s="27"/>
      <c r="G77" s="9" t="s">
        <v>34</v>
      </c>
      <c r="H77" s="10">
        <f>H78</f>
        <v>50850</v>
      </c>
      <c r="I77" s="10">
        <f t="shared" si="30"/>
        <v>0</v>
      </c>
      <c r="J77" s="10">
        <f t="shared" si="29"/>
        <v>50850</v>
      </c>
    </row>
    <row r="78" spans="2:10" x14ac:dyDescent="0.25">
      <c r="B78" s="32">
        <f t="shared" si="31"/>
        <v>71</v>
      </c>
      <c r="C78" s="28"/>
      <c r="D78" s="28"/>
      <c r="E78" s="28">
        <v>223001</v>
      </c>
      <c r="F78" s="28"/>
      <c r="G78" s="12" t="s">
        <v>35</v>
      </c>
      <c r="H78" s="13">
        <f>50000+850</f>
        <v>50850</v>
      </c>
      <c r="I78" s="13"/>
      <c r="J78" s="13">
        <f t="shared" si="29"/>
        <v>50850</v>
      </c>
    </row>
    <row r="79" spans="2:10" x14ac:dyDescent="0.25">
      <c r="B79" s="32">
        <f t="shared" si="31"/>
        <v>72</v>
      </c>
      <c r="C79" s="25" t="s">
        <v>62</v>
      </c>
      <c r="D79" s="25"/>
      <c r="E79" s="25"/>
      <c r="F79" s="25"/>
      <c r="G79" s="5" t="s">
        <v>63</v>
      </c>
      <c r="H79" s="6">
        <f>H80+H83</f>
        <v>21000</v>
      </c>
      <c r="I79" s="6">
        <f t="shared" ref="I79" si="32">I80+I83</f>
        <v>0</v>
      </c>
      <c r="J79" s="6">
        <f t="shared" si="29"/>
        <v>21000</v>
      </c>
    </row>
    <row r="80" spans="2:10" x14ac:dyDescent="0.25">
      <c r="B80" s="32">
        <f t="shared" si="31"/>
        <v>73</v>
      </c>
      <c r="C80" s="26">
        <v>210</v>
      </c>
      <c r="D80" s="26"/>
      <c r="E80" s="26"/>
      <c r="F80" s="26"/>
      <c r="G80" s="7" t="s">
        <v>24</v>
      </c>
      <c r="H80" s="8">
        <f>H81</f>
        <v>20000</v>
      </c>
      <c r="I80" s="8">
        <f t="shared" ref="I80:I81" si="33">I81</f>
        <v>0</v>
      </c>
      <c r="J80" s="8">
        <f t="shared" si="29"/>
        <v>20000</v>
      </c>
    </row>
    <row r="81" spans="2:10" x14ac:dyDescent="0.25">
      <c r="B81" s="32">
        <f t="shared" si="31"/>
        <v>74</v>
      </c>
      <c r="C81" s="27"/>
      <c r="D81" s="27">
        <v>212</v>
      </c>
      <c r="E81" s="27"/>
      <c r="F81" s="27"/>
      <c r="G81" s="9" t="s">
        <v>25</v>
      </c>
      <c r="H81" s="10">
        <f>H82</f>
        <v>20000</v>
      </c>
      <c r="I81" s="10">
        <f t="shared" si="33"/>
        <v>0</v>
      </c>
      <c r="J81" s="10">
        <f t="shared" si="29"/>
        <v>20000</v>
      </c>
    </row>
    <row r="82" spans="2:10" x14ac:dyDescent="0.25">
      <c r="B82" s="32">
        <f t="shared" si="31"/>
        <v>75</v>
      </c>
      <c r="C82" s="28"/>
      <c r="D82" s="28"/>
      <c r="E82" s="28">
        <v>212003</v>
      </c>
      <c r="F82" s="28"/>
      <c r="G82" s="12" t="s">
        <v>27</v>
      </c>
      <c r="H82" s="13">
        <v>20000</v>
      </c>
      <c r="I82" s="13"/>
      <c r="J82" s="13">
        <f t="shared" si="29"/>
        <v>20000</v>
      </c>
    </row>
    <row r="83" spans="2:10" x14ac:dyDescent="0.25">
      <c r="B83" s="32">
        <f t="shared" si="31"/>
        <v>76</v>
      </c>
      <c r="C83" s="26">
        <v>220</v>
      </c>
      <c r="D83" s="26"/>
      <c r="E83" s="26"/>
      <c r="F83" s="26"/>
      <c r="G83" s="7" t="s">
        <v>28</v>
      </c>
      <c r="H83" s="8">
        <f>H84</f>
        <v>1000</v>
      </c>
      <c r="I83" s="8">
        <f t="shared" ref="I83:I84" si="34">I84</f>
        <v>0</v>
      </c>
      <c r="J83" s="8">
        <f t="shared" si="29"/>
        <v>1000</v>
      </c>
    </row>
    <row r="84" spans="2:10" x14ac:dyDescent="0.25">
      <c r="B84" s="32">
        <f t="shared" si="31"/>
        <v>77</v>
      </c>
      <c r="C84" s="27"/>
      <c r="D84" s="27">
        <v>223</v>
      </c>
      <c r="E84" s="27"/>
      <c r="F84" s="27"/>
      <c r="G84" s="9" t="s">
        <v>34</v>
      </c>
      <c r="H84" s="10">
        <f>H85</f>
        <v>1000</v>
      </c>
      <c r="I84" s="10">
        <f t="shared" si="34"/>
        <v>0</v>
      </c>
      <c r="J84" s="10">
        <f t="shared" si="29"/>
        <v>1000</v>
      </c>
    </row>
    <row r="85" spans="2:10" x14ac:dyDescent="0.25">
      <c r="B85" s="32">
        <f t="shared" si="31"/>
        <v>78</v>
      </c>
      <c r="C85" s="28"/>
      <c r="D85" s="28"/>
      <c r="E85" s="28">
        <v>223001</v>
      </c>
      <c r="F85" s="28"/>
      <c r="G85" s="12" t="s">
        <v>35</v>
      </c>
      <c r="H85" s="13">
        <v>1000</v>
      </c>
      <c r="I85" s="13"/>
      <c r="J85" s="13">
        <f t="shared" si="29"/>
        <v>1000</v>
      </c>
    </row>
    <row r="86" spans="2:10" x14ac:dyDescent="0.25">
      <c r="B86" s="32">
        <f t="shared" si="31"/>
        <v>79</v>
      </c>
      <c r="C86" s="25" t="s">
        <v>65</v>
      </c>
      <c r="D86" s="25"/>
      <c r="E86" s="25"/>
      <c r="F86" s="25"/>
      <c r="G86" s="5" t="s">
        <v>64</v>
      </c>
      <c r="H86" s="6">
        <f>H87</f>
        <v>3500</v>
      </c>
      <c r="I86" s="6">
        <f t="shared" ref="I86:I88" si="35">I87</f>
        <v>0</v>
      </c>
      <c r="J86" s="6">
        <f t="shared" si="29"/>
        <v>3500</v>
      </c>
    </row>
    <row r="87" spans="2:10" x14ac:dyDescent="0.25">
      <c r="B87" s="32">
        <f t="shared" si="31"/>
        <v>80</v>
      </c>
      <c r="C87" s="26">
        <v>220</v>
      </c>
      <c r="D87" s="26"/>
      <c r="E87" s="26"/>
      <c r="F87" s="26"/>
      <c r="G87" s="7" t="s">
        <v>28</v>
      </c>
      <c r="H87" s="8">
        <f>H88</f>
        <v>3500</v>
      </c>
      <c r="I87" s="8">
        <f t="shared" si="35"/>
        <v>0</v>
      </c>
      <c r="J87" s="8">
        <f t="shared" si="29"/>
        <v>3500</v>
      </c>
    </row>
    <row r="88" spans="2:10" x14ac:dyDescent="0.25">
      <c r="B88" s="32">
        <f t="shared" si="31"/>
        <v>81</v>
      </c>
      <c r="C88" s="27"/>
      <c r="D88" s="27">
        <v>223</v>
      </c>
      <c r="E88" s="27"/>
      <c r="F88" s="27"/>
      <c r="G88" s="9" t="s">
        <v>34</v>
      </c>
      <c r="H88" s="10">
        <f>H89</f>
        <v>3500</v>
      </c>
      <c r="I88" s="10">
        <f t="shared" si="35"/>
        <v>0</v>
      </c>
      <c r="J88" s="10">
        <f t="shared" si="29"/>
        <v>3500</v>
      </c>
    </row>
    <row r="89" spans="2:10" x14ac:dyDescent="0.25">
      <c r="B89" s="32">
        <f t="shared" si="31"/>
        <v>82</v>
      </c>
      <c r="C89" s="28"/>
      <c r="D89" s="28"/>
      <c r="E89" s="28">
        <v>223001</v>
      </c>
      <c r="F89" s="28"/>
      <c r="G89" s="12" t="s">
        <v>35</v>
      </c>
      <c r="H89" s="13">
        <v>3500</v>
      </c>
      <c r="I89" s="13"/>
      <c r="J89" s="13">
        <f t="shared" si="29"/>
        <v>3500</v>
      </c>
    </row>
    <row r="90" spans="2:10" x14ac:dyDescent="0.25">
      <c r="B90" s="32">
        <f t="shared" si="31"/>
        <v>83</v>
      </c>
      <c r="C90" s="25" t="s">
        <v>67</v>
      </c>
      <c r="D90" s="25"/>
      <c r="E90" s="25"/>
      <c r="F90" s="25"/>
      <c r="G90" s="5" t="s">
        <v>68</v>
      </c>
      <c r="H90" s="6">
        <f>H91+H94</f>
        <v>167000</v>
      </c>
      <c r="I90" s="6">
        <f t="shared" ref="I90" si="36">I91+I94</f>
        <v>0</v>
      </c>
      <c r="J90" s="6">
        <f t="shared" si="29"/>
        <v>167000</v>
      </c>
    </row>
    <row r="91" spans="2:10" x14ac:dyDescent="0.25">
      <c r="B91" s="32">
        <f t="shared" si="31"/>
        <v>84</v>
      </c>
      <c r="C91" s="26">
        <v>210</v>
      </c>
      <c r="D91" s="26"/>
      <c r="E91" s="26"/>
      <c r="F91" s="26"/>
      <c r="G91" s="7" t="s">
        <v>24</v>
      </c>
      <c r="H91" s="8">
        <f>H92</f>
        <v>12000</v>
      </c>
      <c r="I91" s="8">
        <f t="shared" ref="I91:I92" si="37">I92</f>
        <v>0</v>
      </c>
      <c r="J91" s="8">
        <f t="shared" si="29"/>
        <v>12000</v>
      </c>
    </row>
    <row r="92" spans="2:10" x14ac:dyDescent="0.25">
      <c r="B92" s="32">
        <f t="shared" si="31"/>
        <v>85</v>
      </c>
      <c r="C92" s="27"/>
      <c r="D92" s="27">
        <v>212</v>
      </c>
      <c r="E92" s="27"/>
      <c r="F92" s="27"/>
      <c r="G92" s="9" t="s">
        <v>25</v>
      </c>
      <c r="H92" s="10">
        <f>H93</f>
        <v>12000</v>
      </c>
      <c r="I92" s="10">
        <f t="shared" si="37"/>
        <v>0</v>
      </c>
      <c r="J92" s="10">
        <f t="shared" si="29"/>
        <v>12000</v>
      </c>
    </row>
    <row r="93" spans="2:10" x14ac:dyDescent="0.25">
      <c r="B93" s="32">
        <f t="shared" si="31"/>
        <v>86</v>
      </c>
      <c r="C93" s="28"/>
      <c r="D93" s="28"/>
      <c r="E93" s="28">
        <v>212003</v>
      </c>
      <c r="F93" s="28"/>
      <c r="G93" s="12" t="s">
        <v>27</v>
      </c>
      <c r="H93" s="13">
        <v>12000</v>
      </c>
      <c r="I93" s="13"/>
      <c r="J93" s="13">
        <f t="shared" si="29"/>
        <v>12000</v>
      </c>
    </row>
    <row r="94" spans="2:10" x14ac:dyDescent="0.25">
      <c r="B94" s="32">
        <f t="shared" si="31"/>
        <v>87</v>
      </c>
      <c r="C94" s="26">
        <v>220</v>
      </c>
      <c r="D94" s="26"/>
      <c r="E94" s="26"/>
      <c r="F94" s="26"/>
      <c r="G94" s="7" t="s">
        <v>28</v>
      </c>
      <c r="H94" s="8">
        <f>H95</f>
        <v>155000</v>
      </c>
      <c r="I94" s="8">
        <f t="shared" ref="I94:I95" si="38">I95</f>
        <v>0</v>
      </c>
      <c r="J94" s="8">
        <f t="shared" si="29"/>
        <v>155000</v>
      </c>
    </row>
    <row r="95" spans="2:10" x14ac:dyDescent="0.25">
      <c r="B95" s="32">
        <f t="shared" si="31"/>
        <v>88</v>
      </c>
      <c r="C95" s="27"/>
      <c r="D95" s="27">
        <v>223</v>
      </c>
      <c r="E95" s="27"/>
      <c r="F95" s="27"/>
      <c r="G95" s="9" t="s">
        <v>34</v>
      </c>
      <c r="H95" s="10">
        <f>H96</f>
        <v>155000</v>
      </c>
      <c r="I95" s="10">
        <f t="shared" si="38"/>
        <v>0</v>
      </c>
      <c r="J95" s="10">
        <f t="shared" si="29"/>
        <v>155000</v>
      </c>
    </row>
    <row r="96" spans="2:10" x14ac:dyDescent="0.25">
      <c r="B96" s="32">
        <f t="shared" si="31"/>
        <v>89</v>
      </c>
      <c r="C96" s="28"/>
      <c r="D96" s="28"/>
      <c r="E96" s="28">
        <v>223001</v>
      </c>
      <c r="F96" s="28"/>
      <c r="G96" s="12" t="s">
        <v>35</v>
      </c>
      <c r="H96" s="13">
        <f>33000+7000+110000+1000+4000</f>
        <v>155000</v>
      </c>
      <c r="I96" s="13"/>
      <c r="J96" s="13">
        <f t="shared" si="29"/>
        <v>155000</v>
      </c>
    </row>
    <row r="97" spans="2:10" x14ac:dyDescent="0.25">
      <c r="B97" s="32">
        <f t="shared" si="31"/>
        <v>90</v>
      </c>
      <c r="C97" s="25" t="s">
        <v>69</v>
      </c>
      <c r="D97" s="25"/>
      <c r="E97" s="25"/>
      <c r="F97" s="25"/>
      <c r="G97" s="5" t="s">
        <v>70</v>
      </c>
      <c r="H97" s="6">
        <f>H98+H102</f>
        <v>105500</v>
      </c>
      <c r="I97" s="6">
        <f t="shared" ref="I97" si="39">I98+I102</f>
        <v>0</v>
      </c>
      <c r="J97" s="6">
        <f t="shared" si="29"/>
        <v>105500</v>
      </c>
    </row>
    <row r="98" spans="2:10" x14ac:dyDescent="0.25">
      <c r="B98" s="32">
        <f t="shared" si="31"/>
        <v>91</v>
      </c>
      <c r="C98" s="26">
        <v>210</v>
      </c>
      <c r="D98" s="26"/>
      <c r="E98" s="26"/>
      <c r="F98" s="26"/>
      <c r="G98" s="7" t="s">
        <v>24</v>
      </c>
      <c r="H98" s="8">
        <f>H99</f>
        <v>10000</v>
      </c>
      <c r="I98" s="8">
        <f t="shared" ref="I98" si="40">I99</f>
        <v>0</v>
      </c>
      <c r="J98" s="8">
        <f t="shared" si="29"/>
        <v>10000</v>
      </c>
    </row>
    <row r="99" spans="2:10" x14ac:dyDescent="0.25">
      <c r="B99" s="32">
        <f t="shared" si="31"/>
        <v>92</v>
      </c>
      <c r="C99" s="27"/>
      <c r="D99" s="27">
        <v>212</v>
      </c>
      <c r="E99" s="27"/>
      <c r="F99" s="27"/>
      <c r="G99" s="9" t="s">
        <v>25</v>
      </c>
      <c r="H99" s="10">
        <f>H100+H101</f>
        <v>10000</v>
      </c>
      <c r="I99" s="10">
        <f t="shared" ref="I99" si="41">I100+I101</f>
        <v>0</v>
      </c>
      <c r="J99" s="10">
        <f t="shared" si="29"/>
        <v>10000</v>
      </c>
    </row>
    <row r="100" spans="2:10" x14ac:dyDescent="0.25">
      <c r="B100" s="32">
        <f t="shared" si="31"/>
        <v>93</v>
      </c>
      <c r="C100" s="28"/>
      <c r="D100" s="28"/>
      <c r="E100" s="28">
        <v>212002</v>
      </c>
      <c r="F100" s="28"/>
      <c r="G100" s="12" t="s">
        <v>26</v>
      </c>
      <c r="H100" s="13">
        <v>1000</v>
      </c>
      <c r="I100" s="13"/>
      <c r="J100" s="13">
        <f t="shared" si="29"/>
        <v>1000</v>
      </c>
    </row>
    <row r="101" spans="2:10" x14ac:dyDescent="0.25">
      <c r="B101" s="32">
        <f t="shared" si="31"/>
        <v>94</v>
      </c>
      <c r="C101" s="28"/>
      <c r="D101" s="28"/>
      <c r="E101" s="28">
        <v>212003</v>
      </c>
      <c r="F101" s="28"/>
      <c r="G101" s="12" t="s">
        <v>27</v>
      </c>
      <c r="H101" s="13">
        <v>9000</v>
      </c>
      <c r="I101" s="13"/>
      <c r="J101" s="13">
        <f t="shared" si="29"/>
        <v>9000</v>
      </c>
    </row>
    <row r="102" spans="2:10" x14ac:dyDescent="0.25">
      <c r="B102" s="32">
        <f t="shared" si="31"/>
        <v>95</v>
      </c>
      <c r="C102" s="26">
        <v>220</v>
      </c>
      <c r="D102" s="26"/>
      <c r="E102" s="26"/>
      <c r="F102" s="26"/>
      <c r="G102" s="7" t="s">
        <v>28</v>
      </c>
      <c r="H102" s="8">
        <f>H103</f>
        <v>95500</v>
      </c>
      <c r="I102" s="8">
        <f t="shared" ref="I102:I103" si="42">I103</f>
        <v>0</v>
      </c>
      <c r="J102" s="8">
        <f t="shared" si="29"/>
        <v>95500</v>
      </c>
    </row>
    <row r="103" spans="2:10" x14ac:dyDescent="0.25">
      <c r="B103" s="32">
        <f t="shared" si="31"/>
        <v>96</v>
      </c>
      <c r="C103" s="27"/>
      <c r="D103" s="27">
        <v>223</v>
      </c>
      <c r="E103" s="27"/>
      <c r="F103" s="27"/>
      <c r="G103" s="9" t="s">
        <v>34</v>
      </c>
      <c r="H103" s="10">
        <f>H104</f>
        <v>95500</v>
      </c>
      <c r="I103" s="10">
        <f t="shared" si="42"/>
        <v>0</v>
      </c>
      <c r="J103" s="10">
        <f t="shared" si="29"/>
        <v>95500</v>
      </c>
    </row>
    <row r="104" spans="2:10" x14ac:dyDescent="0.25">
      <c r="B104" s="32">
        <f t="shared" ref="B104:B117" si="43">B103+1</f>
        <v>97</v>
      </c>
      <c r="C104" s="28"/>
      <c r="D104" s="28"/>
      <c r="E104" s="28">
        <v>223001</v>
      </c>
      <c r="F104" s="28"/>
      <c r="G104" s="12" t="s">
        <v>35</v>
      </c>
      <c r="H104" s="13">
        <f>300+95000+200</f>
        <v>95500</v>
      </c>
      <c r="I104" s="13"/>
      <c r="J104" s="13">
        <f t="shared" si="29"/>
        <v>95500</v>
      </c>
    </row>
    <row r="105" spans="2:10" x14ac:dyDescent="0.25">
      <c r="B105" s="32">
        <f t="shared" si="43"/>
        <v>98</v>
      </c>
      <c r="C105" s="25" t="s">
        <v>71</v>
      </c>
      <c r="D105" s="25"/>
      <c r="E105" s="25"/>
      <c r="F105" s="25"/>
      <c r="G105" s="5" t="s">
        <v>72</v>
      </c>
      <c r="H105" s="6">
        <f>H106+H109</f>
        <v>72262</v>
      </c>
      <c r="I105" s="6">
        <f t="shared" ref="I105" si="44">I106+I109</f>
        <v>0</v>
      </c>
      <c r="J105" s="6">
        <f t="shared" si="29"/>
        <v>72262</v>
      </c>
    </row>
    <row r="106" spans="2:10" x14ac:dyDescent="0.25">
      <c r="B106" s="32">
        <f t="shared" si="43"/>
        <v>99</v>
      </c>
      <c r="C106" s="26">
        <v>210</v>
      </c>
      <c r="D106" s="26"/>
      <c r="E106" s="26"/>
      <c r="F106" s="26"/>
      <c r="G106" s="7" t="s">
        <v>24</v>
      </c>
      <c r="H106" s="8">
        <f>H107</f>
        <v>50256</v>
      </c>
      <c r="I106" s="8">
        <f t="shared" ref="I106:I107" si="45">I107</f>
        <v>0</v>
      </c>
      <c r="J106" s="8">
        <f t="shared" si="29"/>
        <v>50256</v>
      </c>
    </row>
    <row r="107" spans="2:10" x14ac:dyDescent="0.25">
      <c r="B107" s="32">
        <f t="shared" si="43"/>
        <v>100</v>
      </c>
      <c r="C107" s="27"/>
      <c r="D107" s="27">
        <v>212</v>
      </c>
      <c r="E107" s="27"/>
      <c r="F107" s="27"/>
      <c r="G107" s="9" t="s">
        <v>25</v>
      </c>
      <c r="H107" s="10">
        <f>H108</f>
        <v>50256</v>
      </c>
      <c r="I107" s="10">
        <f t="shared" si="45"/>
        <v>0</v>
      </c>
      <c r="J107" s="10">
        <f t="shared" si="29"/>
        <v>50256</v>
      </c>
    </row>
    <row r="108" spans="2:10" x14ac:dyDescent="0.25">
      <c r="B108" s="32">
        <f t="shared" si="43"/>
        <v>101</v>
      </c>
      <c r="C108" s="28"/>
      <c r="D108" s="28"/>
      <c r="E108" s="28">
        <v>212003</v>
      </c>
      <c r="F108" s="28"/>
      <c r="G108" s="12" t="s">
        <v>27</v>
      </c>
      <c r="H108" s="13">
        <f>102000-51744</f>
        <v>50256</v>
      </c>
      <c r="I108" s="13"/>
      <c r="J108" s="13">
        <f t="shared" si="29"/>
        <v>50256</v>
      </c>
    </row>
    <row r="109" spans="2:10" x14ac:dyDescent="0.25">
      <c r="B109" s="32">
        <f t="shared" si="43"/>
        <v>102</v>
      </c>
      <c r="C109" s="26">
        <v>220</v>
      </c>
      <c r="D109" s="26"/>
      <c r="E109" s="26"/>
      <c r="F109" s="26"/>
      <c r="G109" s="7" t="s">
        <v>28</v>
      </c>
      <c r="H109" s="8">
        <f>H110</f>
        <v>22006</v>
      </c>
      <c r="I109" s="8">
        <f t="shared" ref="I109:I110" si="46">I110</f>
        <v>0</v>
      </c>
      <c r="J109" s="8">
        <f t="shared" si="29"/>
        <v>22006</v>
      </c>
    </row>
    <row r="110" spans="2:10" x14ac:dyDescent="0.25">
      <c r="B110" s="32">
        <f t="shared" si="43"/>
        <v>103</v>
      </c>
      <c r="C110" s="27"/>
      <c r="D110" s="27">
        <v>223</v>
      </c>
      <c r="E110" s="27"/>
      <c r="F110" s="27"/>
      <c r="G110" s="9" t="s">
        <v>34</v>
      </c>
      <c r="H110" s="10">
        <f>H111</f>
        <v>22006</v>
      </c>
      <c r="I110" s="10">
        <f t="shared" si="46"/>
        <v>0</v>
      </c>
      <c r="J110" s="10">
        <f t="shared" si="29"/>
        <v>22006</v>
      </c>
    </row>
    <row r="111" spans="2:10" x14ac:dyDescent="0.25">
      <c r="B111" s="32">
        <f t="shared" si="43"/>
        <v>104</v>
      </c>
      <c r="C111" s="28"/>
      <c r="D111" s="28"/>
      <c r="E111" s="28">
        <v>223001</v>
      </c>
      <c r="F111" s="28"/>
      <c r="G111" s="12" t="s">
        <v>35</v>
      </c>
      <c r="H111" s="13">
        <f>205900+160000-343894</f>
        <v>22006</v>
      </c>
      <c r="I111" s="13"/>
      <c r="J111" s="13">
        <f t="shared" si="29"/>
        <v>22006</v>
      </c>
    </row>
    <row r="112" spans="2:10" x14ac:dyDescent="0.25">
      <c r="B112" s="32">
        <f t="shared" si="43"/>
        <v>105</v>
      </c>
      <c r="C112" s="25" t="s">
        <v>74</v>
      </c>
      <c r="D112" s="25"/>
      <c r="E112" s="25"/>
      <c r="F112" s="25"/>
      <c r="G112" s="5" t="s">
        <v>73</v>
      </c>
      <c r="H112" s="6">
        <f>H113</f>
        <v>75000</v>
      </c>
      <c r="I112" s="6">
        <f t="shared" ref="I112:I114" si="47">I113</f>
        <v>0</v>
      </c>
      <c r="J112" s="6">
        <f t="shared" si="29"/>
        <v>75000</v>
      </c>
    </row>
    <row r="113" spans="2:10" x14ac:dyDescent="0.25">
      <c r="B113" s="32">
        <f t="shared" si="43"/>
        <v>106</v>
      </c>
      <c r="C113" s="26">
        <v>220</v>
      </c>
      <c r="D113" s="26"/>
      <c r="E113" s="26"/>
      <c r="F113" s="26"/>
      <c r="G113" s="7" t="s">
        <v>28</v>
      </c>
      <c r="H113" s="8">
        <f>H114</f>
        <v>75000</v>
      </c>
      <c r="I113" s="8">
        <f t="shared" si="47"/>
        <v>0</v>
      </c>
      <c r="J113" s="8">
        <f t="shared" si="29"/>
        <v>75000</v>
      </c>
    </row>
    <row r="114" spans="2:10" x14ac:dyDescent="0.25">
      <c r="B114" s="32">
        <f t="shared" si="43"/>
        <v>107</v>
      </c>
      <c r="C114" s="27"/>
      <c r="D114" s="27">
        <v>223</v>
      </c>
      <c r="E114" s="27"/>
      <c r="F114" s="27"/>
      <c r="G114" s="9" t="s">
        <v>34</v>
      </c>
      <c r="H114" s="10">
        <f>H115</f>
        <v>75000</v>
      </c>
      <c r="I114" s="10">
        <f t="shared" si="47"/>
        <v>0</v>
      </c>
      <c r="J114" s="10">
        <f t="shared" si="29"/>
        <v>75000</v>
      </c>
    </row>
    <row r="115" spans="2:10" x14ac:dyDescent="0.25">
      <c r="B115" s="32">
        <f t="shared" si="43"/>
        <v>108</v>
      </c>
      <c r="C115" s="28"/>
      <c r="D115" s="28"/>
      <c r="E115" s="28">
        <v>223001</v>
      </c>
      <c r="F115" s="28"/>
      <c r="G115" s="12" t="s">
        <v>35</v>
      </c>
      <c r="H115" s="13">
        <v>75000</v>
      </c>
      <c r="I115" s="13"/>
      <c r="J115" s="13">
        <f t="shared" si="29"/>
        <v>75000</v>
      </c>
    </row>
    <row r="116" spans="2:10" x14ac:dyDescent="0.25">
      <c r="B116" s="32">
        <f t="shared" si="43"/>
        <v>109</v>
      </c>
      <c r="C116" s="25" t="s">
        <v>76</v>
      </c>
      <c r="D116" s="25"/>
      <c r="E116" s="25"/>
      <c r="F116" s="25"/>
      <c r="G116" s="5" t="s">
        <v>77</v>
      </c>
      <c r="H116" s="6">
        <f>H117+H120</f>
        <v>12550</v>
      </c>
      <c r="I116" s="6">
        <f t="shared" ref="I116" si="48">I117+I120</f>
        <v>0</v>
      </c>
      <c r="J116" s="6">
        <f t="shared" si="29"/>
        <v>12550</v>
      </c>
    </row>
    <row r="117" spans="2:10" x14ac:dyDescent="0.25">
      <c r="B117" s="32">
        <f t="shared" si="43"/>
        <v>110</v>
      </c>
      <c r="C117" s="26">
        <v>210</v>
      </c>
      <c r="D117" s="26"/>
      <c r="E117" s="26"/>
      <c r="F117" s="26"/>
      <c r="G117" s="7" t="s">
        <v>24</v>
      </c>
      <c r="H117" s="8">
        <f>H118</f>
        <v>50</v>
      </c>
      <c r="I117" s="8">
        <f t="shared" ref="I117:I118" si="49">I118</f>
        <v>0</v>
      </c>
      <c r="J117" s="8">
        <f t="shared" si="29"/>
        <v>50</v>
      </c>
    </row>
    <row r="118" spans="2:10" x14ac:dyDescent="0.25">
      <c r="B118" s="32">
        <f t="shared" ref="B118:B154" si="50">B117+1</f>
        <v>111</v>
      </c>
      <c r="C118" s="27"/>
      <c r="D118" s="27">
        <v>212</v>
      </c>
      <c r="E118" s="27"/>
      <c r="F118" s="27"/>
      <c r="G118" s="9" t="s">
        <v>25</v>
      </c>
      <c r="H118" s="10">
        <f>H119</f>
        <v>50</v>
      </c>
      <c r="I118" s="10">
        <f t="shared" si="49"/>
        <v>0</v>
      </c>
      <c r="J118" s="10">
        <f t="shared" si="29"/>
        <v>50</v>
      </c>
    </row>
    <row r="119" spans="2:10" x14ac:dyDescent="0.25">
      <c r="B119" s="32">
        <f t="shared" si="50"/>
        <v>112</v>
      </c>
      <c r="C119" s="28"/>
      <c r="D119" s="28"/>
      <c r="E119" s="28">
        <v>212003</v>
      </c>
      <c r="F119" s="28"/>
      <c r="G119" s="12" t="s">
        <v>27</v>
      </c>
      <c r="H119" s="13">
        <v>50</v>
      </c>
      <c r="I119" s="13"/>
      <c r="J119" s="13">
        <f t="shared" si="29"/>
        <v>50</v>
      </c>
    </row>
    <row r="120" spans="2:10" x14ac:dyDescent="0.25">
      <c r="B120" s="32">
        <f t="shared" si="50"/>
        <v>113</v>
      </c>
      <c r="C120" s="26">
        <v>220</v>
      </c>
      <c r="D120" s="26"/>
      <c r="E120" s="26"/>
      <c r="F120" s="26"/>
      <c r="G120" s="7" t="s">
        <v>28</v>
      </c>
      <c r="H120" s="8">
        <f>H121</f>
        <v>12500</v>
      </c>
      <c r="I120" s="8">
        <f t="shared" ref="I120:I121" si="51">I121</f>
        <v>0</v>
      </c>
      <c r="J120" s="8">
        <f t="shared" si="29"/>
        <v>12500</v>
      </c>
    </row>
    <row r="121" spans="2:10" x14ac:dyDescent="0.25">
      <c r="B121" s="32">
        <f t="shared" si="50"/>
        <v>114</v>
      </c>
      <c r="C121" s="27"/>
      <c r="D121" s="27">
        <v>223</v>
      </c>
      <c r="E121" s="27"/>
      <c r="F121" s="27"/>
      <c r="G121" s="9" t="s">
        <v>34</v>
      </c>
      <c r="H121" s="10">
        <f>H122</f>
        <v>12500</v>
      </c>
      <c r="I121" s="10">
        <f t="shared" si="51"/>
        <v>0</v>
      </c>
      <c r="J121" s="10">
        <f t="shared" si="29"/>
        <v>12500</v>
      </c>
    </row>
    <row r="122" spans="2:10" x14ac:dyDescent="0.25">
      <c r="B122" s="32">
        <f t="shared" si="50"/>
        <v>115</v>
      </c>
      <c r="C122" s="28"/>
      <c r="D122" s="28"/>
      <c r="E122" s="28">
        <v>223001</v>
      </c>
      <c r="F122" s="28"/>
      <c r="G122" s="12" t="s">
        <v>35</v>
      </c>
      <c r="H122" s="13">
        <v>12500</v>
      </c>
      <c r="I122" s="13"/>
      <c r="J122" s="13">
        <f t="shared" si="29"/>
        <v>12500</v>
      </c>
    </row>
    <row r="123" spans="2:10" x14ac:dyDescent="0.25">
      <c r="B123" s="32">
        <f t="shared" si="50"/>
        <v>116</v>
      </c>
      <c r="C123" s="25" t="s">
        <v>78</v>
      </c>
      <c r="D123" s="25"/>
      <c r="E123" s="25"/>
      <c r="F123" s="25"/>
      <c r="G123" s="5" t="s">
        <v>79</v>
      </c>
      <c r="H123" s="6">
        <f>H124+H127</f>
        <v>49200</v>
      </c>
      <c r="I123" s="6">
        <f t="shared" ref="I123" si="52">I124+I127</f>
        <v>0</v>
      </c>
      <c r="J123" s="6">
        <f t="shared" si="29"/>
        <v>49200</v>
      </c>
    </row>
    <row r="124" spans="2:10" x14ac:dyDescent="0.25">
      <c r="B124" s="32">
        <f t="shared" si="50"/>
        <v>117</v>
      </c>
      <c r="C124" s="26">
        <v>210</v>
      </c>
      <c r="D124" s="26"/>
      <c r="E124" s="26"/>
      <c r="F124" s="26"/>
      <c r="G124" s="7" t="s">
        <v>24</v>
      </c>
      <c r="H124" s="8">
        <f>H125</f>
        <v>200</v>
      </c>
      <c r="I124" s="8">
        <f t="shared" ref="I124:I125" si="53">I125</f>
        <v>0</v>
      </c>
      <c r="J124" s="8">
        <f t="shared" si="29"/>
        <v>200</v>
      </c>
    </row>
    <row r="125" spans="2:10" x14ac:dyDescent="0.25">
      <c r="B125" s="32">
        <f t="shared" si="50"/>
        <v>118</v>
      </c>
      <c r="C125" s="27"/>
      <c r="D125" s="27">
        <v>212</v>
      </c>
      <c r="E125" s="27"/>
      <c r="F125" s="27"/>
      <c r="G125" s="9" t="s">
        <v>25</v>
      </c>
      <c r="H125" s="10">
        <f>H126</f>
        <v>200</v>
      </c>
      <c r="I125" s="10">
        <f t="shared" si="53"/>
        <v>0</v>
      </c>
      <c r="J125" s="10">
        <f t="shared" si="29"/>
        <v>200</v>
      </c>
    </row>
    <row r="126" spans="2:10" x14ac:dyDescent="0.25">
      <c r="B126" s="32">
        <f t="shared" si="50"/>
        <v>119</v>
      </c>
      <c r="C126" s="28"/>
      <c r="D126" s="28"/>
      <c r="E126" s="28">
        <v>212002</v>
      </c>
      <c r="F126" s="28"/>
      <c r="G126" s="12" t="s">
        <v>26</v>
      </c>
      <c r="H126" s="13">
        <v>200</v>
      </c>
      <c r="I126" s="13"/>
      <c r="J126" s="13">
        <f t="shared" si="29"/>
        <v>200</v>
      </c>
    </row>
    <row r="127" spans="2:10" x14ac:dyDescent="0.25">
      <c r="B127" s="32">
        <f t="shared" si="50"/>
        <v>120</v>
      </c>
      <c r="C127" s="26">
        <v>220</v>
      </c>
      <c r="D127" s="26"/>
      <c r="E127" s="26"/>
      <c r="F127" s="26"/>
      <c r="G127" s="7" t="s">
        <v>28</v>
      </c>
      <c r="H127" s="8">
        <f>H128</f>
        <v>49000</v>
      </c>
      <c r="I127" s="8">
        <f t="shared" ref="I127:I128" si="54">I128</f>
        <v>0</v>
      </c>
      <c r="J127" s="8">
        <f t="shared" si="29"/>
        <v>49000</v>
      </c>
    </row>
    <row r="128" spans="2:10" x14ac:dyDescent="0.25">
      <c r="B128" s="32">
        <f t="shared" si="50"/>
        <v>121</v>
      </c>
      <c r="C128" s="27"/>
      <c r="D128" s="27">
        <v>223</v>
      </c>
      <c r="E128" s="27"/>
      <c r="F128" s="27"/>
      <c r="G128" s="9" t="s">
        <v>34</v>
      </c>
      <c r="H128" s="10">
        <f>H129</f>
        <v>49000</v>
      </c>
      <c r="I128" s="10">
        <f t="shared" si="54"/>
        <v>0</v>
      </c>
      <c r="J128" s="10">
        <f t="shared" si="29"/>
        <v>49000</v>
      </c>
    </row>
    <row r="129" spans="2:10" x14ac:dyDescent="0.25">
      <c r="B129" s="32">
        <f t="shared" si="50"/>
        <v>122</v>
      </c>
      <c r="C129" s="28"/>
      <c r="D129" s="28"/>
      <c r="E129" s="28">
        <v>223001</v>
      </c>
      <c r="F129" s="28"/>
      <c r="G129" s="12" t="s">
        <v>35</v>
      </c>
      <c r="H129" s="13">
        <f>48000+1000</f>
        <v>49000</v>
      </c>
      <c r="I129" s="13"/>
      <c r="J129" s="13">
        <f t="shared" si="29"/>
        <v>49000</v>
      </c>
    </row>
    <row r="130" spans="2:10" x14ac:dyDescent="0.25">
      <c r="B130" s="32">
        <f t="shared" si="50"/>
        <v>123</v>
      </c>
      <c r="C130" s="25" t="s">
        <v>80</v>
      </c>
      <c r="D130" s="25"/>
      <c r="E130" s="25"/>
      <c r="F130" s="25"/>
      <c r="G130" s="5" t="s">
        <v>81</v>
      </c>
      <c r="H130" s="6">
        <f>H131+H134</f>
        <v>7600</v>
      </c>
      <c r="I130" s="6">
        <f t="shared" ref="I130" si="55">I131+I134</f>
        <v>0</v>
      </c>
      <c r="J130" s="6">
        <f t="shared" si="29"/>
        <v>7600</v>
      </c>
    </row>
    <row r="131" spans="2:10" x14ac:dyDescent="0.25">
      <c r="B131" s="32">
        <f t="shared" si="50"/>
        <v>124</v>
      </c>
      <c r="C131" s="26">
        <v>210</v>
      </c>
      <c r="D131" s="26"/>
      <c r="E131" s="26"/>
      <c r="F131" s="26"/>
      <c r="G131" s="7" t="s">
        <v>24</v>
      </c>
      <c r="H131" s="8">
        <f>H132</f>
        <v>600</v>
      </c>
      <c r="I131" s="8">
        <f t="shared" ref="I131:I132" si="56">I132</f>
        <v>0</v>
      </c>
      <c r="J131" s="8">
        <f t="shared" si="29"/>
        <v>600</v>
      </c>
    </row>
    <row r="132" spans="2:10" x14ac:dyDescent="0.25">
      <c r="B132" s="32">
        <f t="shared" si="50"/>
        <v>125</v>
      </c>
      <c r="C132" s="27"/>
      <c r="D132" s="27">
        <v>212</v>
      </c>
      <c r="E132" s="27"/>
      <c r="F132" s="27"/>
      <c r="G132" s="9" t="s">
        <v>25</v>
      </c>
      <c r="H132" s="10">
        <f>H133</f>
        <v>600</v>
      </c>
      <c r="I132" s="10">
        <f t="shared" si="56"/>
        <v>0</v>
      </c>
      <c r="J132" s="10">
        <f t="shared" si="29"/>
        <v>600</v>
      </c>
    </row>
    <row r="133" spans="2:10" x14ac:dyDescent="0.25">
      <c r="B133" s="32">
        <f t="shared" si="50"/>
        <v>126</v>
      </c>
      <c r="C133" s="28"/>
      <c r="D133" s="28"/>
      <c r="E133" s="28">
        <v>212002</v>
      </c>
      <c r="F133" s="28"/>
      <c r="G133" s="12" t="s">
        <v>26</v>
      </c>
      <c r="H133" s="13">
        <v>600</v>
      </c>
      <c r="I133" s="13"/>
      <c r="J133" s="13">
        <f t="shared" si="29"/>
        <v>600</v>
      </c>
    </row>
    <row r="134" spans="2:10" x14ac:dyDescent="0.25">
      <c r="B134" s="32">
        <f t="shared" si="50"/>
        <v>127</v>
      </c>
      <c r="C134" s="26">
        <v>220</v>
      </c>
      <c r="D134" s="26"/>
      <c r="E134" s="26"/>
      <c r="F134" s="26"/>
      <c r="G134" s="7" t="s">
        <v>28</v>
      </c>
      <c r="H134" s="8">
        <f>H135</f>
        <v>7000</v>
      </c>
      <c r="I134" s="8">
        <f t="shared" ref="I134:I135" si="57">I135</f>
        <v>0</v>
      </c>
      <c r="J134" s="8">
        <f t="shared" si="29"/>
        <v>7000</v>
      </c>
    </row>
    <row r="135" spans="2:10" x14ac:dyDescent="0.25">
      <c r="B135" s="32">
        <f t="shared" si="50"/>
        <v>128</v>
      </c>
      <c r="C135" s="27"/>
      <c r="D135" s="27">
        <v>223</v>
      </c>
      <c r="E135" s="27"/>
      <c r="F135" s="27"/>
      <c r="G135" s="9" t="s">
        <v>34</v>
      </c>
      <c r="H135" s="10">
        <f>H136</f>
        <v>7000</v>
      </c>
      <c r="I135" s="10">
        <f t="shared" si="57"/>
        <v>0</v>
      </c>
      <c r="J135" s="10">
        <f t="shared" si="29"/>
        <v>7000</v>
      </c>
    </row>
    <row r="136" spans="2:10" ht="15.75" thickBot="1" x14ac:dyDescent="0.3">
      <c r="B136" s="32">
        <f t="shared" si="50"/>
        <v>129</v>
      </c>
      <c r="C136" s="28"/>
      <c r="D136" s="28"/>
      <c r="E136" s="28">
        <v>223001</v>
      </c>
      <c r="F136" s="28"/>
      <c r="G136" s="12" t="s">
        <v>35</v>
      </c>
      <c r="H136" s="13">
        <v>7000</v>
      </c>
      <c r="I136" s="13"/>
      <c r="J136" s="13">
        <f t="shared" si="29"/>
        <v>7000</v>
      </c>
    </row>
    <row r="137" spans="2:10" ht="15.75" thickBot="1" x14ac:dyDescent="0.3">
      <c r="B137" s="32">
        <f t="shared" si="50"/>
        <v>130</v>
      </c>
      <c r="C137" s="24">
        <v>3</v>
      </c>
      <c r="D137" s="24"/>
      <c r="E137" s="24"/>
      <c r="F137" s="24"/>
      <c r="G137" s="3" t="s">
        <v>82</v>
      </c>
      <c r="H137" s="4">
        <f>H138</f>
        <v>19000</v>
      </c>
      <c r="I137" s="4">
        <f t="shared" ref="I137:I139" si="58">I138</f>
        <v>0</v>
      </c>
      <c r="J137" s="4">
        <f t="shared" ref="J137:J200" si="59">H137+I137</f>
        <v>19000</v>
      </c>
    </row>
    <row r="138" spans="2:10" x14ac:dyDescent="0.25">
      <c r="B138" s="32">
        <f t="shared" si="50"/>
        <v>131</v>
      </c>
      <c r="C138" s="25">
        <v>220</v>
      </c>
      <c r="D138" s="25"/>
      <c r="E138" s="25"/>
      <c r="F138" s="25"/>
      <c r="G138" s="5" t="s">
        <v>28</v>
      </c>
      <c r="H138" s="6">
        <f>H139</f>
        <v>19000</v>
      </c>
      <c r="I138" s="6">
        <f t="shared" si="58"/>
        <v>0</v>
      </c>
      <c r="J138" s="6">
        <f t="shared" si="59"/>
        <v>19000</v>
      </c>
    </row>
    <row r="139" spans="2:10" x14ac:dyDescent="0.25">
      <c r="B139" s="32">
        <f t="shared" si="50"/>
        <v>132</v>
      </c>
      <c r="C139" s="26"/>
      <c r="D139" s="26">
        <v>223</v>
      </c>
      <c r="E139" s="26"/>
      <c r="F139" s="26"/>
      <c r="G139" s="7" t="s">
        <v>34</v>
      </c>
      <c r="H139" s="8">
        <f>H140</f>
        <v>19000</v>
      </c>
      <c r="I139" s="8">
        <f t="shared" si="58"/>
        <v>0</v>
      </c>
      <c r="J139" s="8">
        <f t="shared" si="59"/>
        <v>19000</v>
      </c>
    </row>
    <row r="140" spans="2:10" ht="15.75" thickBot="1" x14ac:dyDescent="0.3">
      <c r="B140" s="32">
        <f t="shared" si="50"/>
        <v>133</v>
      </c>
      <c r="C140" s="27"/>
      <c r="D140" s="27"/>
      <c r="E140" s="27">
        <v>223002</v>
      </c>
      <c r="F140" s="27"/>
      <c r="G140" s="9" t="s">
        <v>47</v>
      </c>
      <c r="H140" s="10">
        <v>19000</v>
      </c>
      <c r="I140" s="10"/>
      <c r="J140" s="10">
        <f t="shared" si="59"/>
        <v>19000</v>
      </c>
    </row>
    <row r="141" spans="2:10" ht="15.75" thickBot="1" x14ac:dyDescent="0.3">
      <c r="B141" s="32">
        <f t="shared" si="50"/>
        <v>134</v>
      </c>
      <c r="C141" s="24">
        <v>4</v>
      </c>
      <c r="D141" s="24"/>
      <c r="E141" s="24"/>
      <c r="F141" s="24"/>
      <c r="G141" s="3" t="s">
        <v>83</v>
      </c>
      <c r="H141" s="4">
        <f>H142+H146+H150+H154+H158+H162+H166+H170+H174+H179+H183+H187+H191+H195+H199+H203+H207</f>
        <v>134200</v>
      </c>
      <c r="I141" s="4">
        <f t="shared" ref="I141" si="60">I142+I146+I150+I154+I158+I162+I166+I170+I174+I179+I183+I187+I191+I195+I199+I203+I207</f>
        <v>0</v>
      </c>
      <c r="J141" s="4">
        <f t="shared" si="59"/>
        <v>134200</v>
      </c>
    </row>
    <row r="142" spans="2:10" x14ac:dyDescent="0.25">
      <c r="B142" s="32">
        <f t="shared" si="50"/>
        <v>135</v>
      </c>
      <c r="C142" s="25" t="s">
        <v>85</v>
      </c>
      <c r="D142" s="25"/>
      <c r="E142" s="25"/>
      <c r="F142" s="25"/>
      <c r="G142" s="5" t="s">
        <v>86</v>
      </c>
      <c r="H142" s="6">
        <f>H143</f>
        <v>6700</v>
      </c>
      <c r="I142" s="6">
        <f t="shared" ref="I142:I144" si="61">I143</f>
        <v>0</v>
      </c>
      <c r="J142" s="6">
        <f t="shared" si="59"/>
        <v>6700</v>
      </c>
    </row>
    <row r="143" spans="2:10" x14ac:dyDescent="0.25">
      <c r="B143" s="32">
        <f t="shared" si="50"/>
        <v>136</v>
      </c>
      <c r="C143" s="26">
        <v>220</v>
      </c>
      <c r="D143" s="26"/>
      <c r="E143" s="26"/>
      <c r="F143" s="26"/>
      <c r="G143" s="7" t="s">
        <v>28</v>
      </c>
      <c r="H143" s="8">
        <f>H144</f>
        <v>6700</v>
      </c>
      <c r="I143" s="8">
        <f t="shared" si="61"/>
        <v>0</v>
      </c>
      <c r="J143" s="8">
        <f t="shared" si="59"/>
        <v>6700</v>
      </c>
    </row>
    <row r="144" spans="2:10" x14ac:dyDescent="0.25">
      <c r="B144" s="32">
        <f t="shared" si="50"/>
        <v>137</v>
      </c>
      <c r="C144" s="27"/>
      <c r="D144" s="27">
        <v>223</v>
      </c>
      <c r="E144" s="27"/>
      <c r="F144" s="27"/>
      <c r="G144" s="9" t="s">
        <v>34</v>
      </c>
      <c r="H144" s="10">
        <f>H145</f>
        <v>6700</v>
      </c>
      <c r="I144" s="10">
        <f t="shared" si="61"/>
        <v>0</v>
      </c>
      <c r="J144" s="10">
        <f t="shared" si="59"/>
        <v>6700</v>
      </c>
    </row>
    <row r="145" spans="2:10" x14ac:dyDescent="0.25">
      <c r="B145" s="32">
        <f t="shared" si="50"/>
        <v>138</v>
      </c>
      <c r="C145" s="28"/>
      <c r="D145" s="28"/>
      <c r="E145" s="28">
        <v>223002</v>
      </c>
      <c r="F145" s="28"/>
      <c r="G145" s="12" t="s">
        <v>47</v>
      </c>
      <c r="H145" s="13">
        <v>6700</v>
      </c>
      <c r="I145" s="13"/>
      <c r="J145" s="13">
        <f t="shared" si="59"/>
        <v>6700</v>
      </c>
    </row>
    <row r="146" spans="2:10" x14ac:dyDescent="0.25">
      <c r="B146" s="32">
        <f t="shared" si="50"/>
        <v>139</v>
      </c>
      <c r="C146" s="25" t="s">
        <v>87</v>
      </c>
      <c r="D146" s="25"/>
      <c r="E146" s="25"/>
      <c r="F146" s="25"/>
      <c r="G146" s="5" t="s">
        <v>88</v>
      </c>
      <c r="H146" s="6">
        <f>H147</f>
        <v>12000</v>
      </c>
      <c r="I146" s="6">
        <f t="shared" ref="I146:I148" si="62">I147</f>
        <v>0</v>
      </c>
      <c r="J146" s="6">
        <f t="shared" si="59"/>
        <v>12000</v>
      </c>
    </row>
    <row r="147" spans="2:10" x14ac:dyDescent="0.25">
      <c r="B147" s="32">
        <f t="shared" si="50"/>
        <v>140</v>
      </c>
      <c r="C147" s="26">
        <v>220</v>
      </c>
      <c r="D147" s="26"/>
      <c r="E147" s="26"/>
      <c r="F147" s="26"/>
      <c r="G147" s="7" t="s">
        <v>28</v>
      </c>
      <c r="H147" s="8">
        <f>H148</f>
        <v>12000</v>
      </c>
      <c r="I147" s="8">
        <f t="shared" si="62"/>
        <v>0</v>
      </c>
      <c r="J147" s="8">
        <f t="shared" si="59"/>
        <v>12000</v>
      </c>
    </row>
    <row r="148" spans="2:10" x14ac:dyDescent="0.25">
      <c r="B148" s="32">
        <f t="shared" si="50"/>
        <v>141</v>
      </c>
      <c r="C148" s="27"/>
      <c r="D148" s="27">
        <v>223</v>
      </c>
      <c r="E148" s="27"/>
      <c r="F148" s="27"/>
      <c r="G148" s="9" t="s">
        <v>34</v>
      </c>
      <c r="H148" s="10">
        <f>H149</f>
        <v>12000</v>
      </c>
      <c r="I148" s="10">
        <f t="shared" si="62"/>
        <v>0</v>
      </c>
      <c r="J148" s="10">
        <f t="shared" si="59"/>
        <v>12000</v>
      </c>
    </row>
    <row r="149" spans="2:10" x14ac:dyDescent="0.25">
      <c r="B149" s="32">
        <f t="shared" si="50"/>
        <v>142</v>
      </c>
      <c r="C149" s="28"/>
      <c r="D149" s="28"/>
      <c r="E149" s="28">
        <v>223002</v>
      </c>
      <c r="F149" s="28"/>
      <c r="G149" s="12" t="s">
        <v>47</v>
      </c>
      <c r="H149" s="13">
        <v>12000</v>
      </c>
      <c r="I149" s="13"/>
      <c r="J149" s="13">
        <f t="shared" si="59"/>
        <v>12000</v>
      </c>
    </row>
    <row r="150" spans="2:10" x14ac:dyDescent="0.25">
      <c r="B150" s="32">
        <f t="shared" si="50"/>
        <v>143</v>
      </c>
      <c r="C150" s="25" t="s">
        <v>89</v>
      </c>
      <c r="D150" s="25"/>
      <c r="E150" s="25"/>
      <c r="F150" s="25"/>
      <c r="G150" s="5" t="s">
        <v>90</v>
      </c>
      <c r="H150" s="6">
        <f>H151</f>
        <v>6500</v>
      </c>
      <c r="I150" s="6">
        <f t="shared" ref="I150:I152" si="63">I151</f>
        <v>0</v>
      </c>
      <c r="J150" s="6">
        <f t="shared" si="59"/>
        <v>6500</v>
      </c>
    </row>
    <row r="151" spans="2:10" x14ac:dyDescent="0.25">
      <c r="B151" s="32">
        <f t="shared" si="50"/>
        <v>144</v>
      </c>
      <c r="C151" s="26">
        <v>220</v>
      </c>
      <c r="D151" s="26"/>
      <c r="E151" s="26"/>
      <c r="F151" s="26"/>
      <c r="G151" s="7" t="s">
        <v>28</v>
      </c>
      <c r="H151" s="8">
        <f>H152</f>
        <v>6500</v>
      </c>
      <c r="I151" s="8">
        <f t="shared" si="63"/>
        <v>0</v>
      </c>
      <c r="J151" s="8">
        <f t="shared" si="59"/>
        <v>6500</v>
      </c>
    </row>
    <row r="152" spans="2:10" x14ac:dyDescent="0.25">
      <c r="B152" s="32">
        <f t="shared" si="50"/>
        <v>145</v>
      </c>
      <c r="C152" s="27"/>
      <c r="D152" s="27">
        <v>223</v>
      </c>
      <c r="E152" s="27"/>
      <c r="F152" s="27"/>
      <c r="G152" s="9" t="s">
        <v>34</v>
      </c>
      <c r="H152" s="10">
        <f>H153</f>
        <v>6500</v>
      </c>
      <c r="I152" s="10">
        <f t="shared" si="63"/>
        <v>0</v>
      </c>
      <c r="J152" s="10">
        <f t="shared" si="59"/>
        <v>6500</v>
      </c>
    </row>
    <row r="153" spans="2:10" x14ac:dyDescent="0.25">
      <c r="B153" s="32">
        <f t="shared" si="50"/>
        <v>146</v>
      </c>
      <c r="C153" s="28"/>
      <c r="D153" s="28"/>
      <c r="E153" s="28">
        <v>223002</v>
      </c>
      <c r="F153" s="28"/>
      <c r="G153" s="12" t="s">
        <v>47</v>
      </c>
      <c r="H153" s="13">
        <v>6500</v>
      </c>
      <c r="I153" s="13"/>
      <c r="J153" s="13">
        <f t="shared" si="59"/>
        <v>6500</v>
      </c>
    </row>
    <row r="154" spans="2:10" x14ac:dyDescent="0.25">
      <c r="B154" s="32">
        <f t="shared" si="50"/>
        <v>147</v>
      </c>
      <c r="C154" s="25" t="s">
        <v>91</v>
      </c>
      <c r="D154" s="25"/>
      <c r="E154" s="25"/>
      <c r="F154" s="25"/>
      <c r="G154" s="5" t="s">
        <v>92</v>
      </c>
      <c r="H154" s="6">
        <f>H155</f>
        <v>8500</v>
      </c>
      <c r="I154" s="6">
        <f t="shared" ref="I154:I156" si="64">I155</f>
        <v>0</v>
      </c>
      <c r="J154" s="6">
        <f t="shared" si="59"/>
        <v>8500</v>
      </c>
    </row>
    <row r="155" spans="2:10" x14ac:dyDescent="0.25">
      <c r="B155" s="32">
        <f t="shared" ref="B155:B174" si="65">B154+1</f>
        <v>148</v>
      </c>
      <c r="C155" s="26">
        <v>220</v>
      </c>
      <c r="D155" s="26"/>
      <c r="E155" s="26"/>
      <c r="F155" s="26"/>
      <c r="G155" s="7" t="s">
        <v>28</v>
      </c>
      <c r="H155" s="8">
        <f>H156</f>
        <v>8500</v>
      </c>
      <c r="I155" s="8">
        <f t="shared" si="64"/>
        <v>0</v>
      </c>
      <c r="J155" s="8">
        <f t="shared" si="59"/>
        <v>8500</v>
      </c>
    </row>
    <row r="156" spans="2:10" x14ac:dyDescent="0.25">
      <c r="B156" s="32">
        <f t="shared" si="65"/>
        <v>149</v>
      </c>
      <c r="C156" s="27"/>
      <c r="D156" s="27">
        <v>223</v>
      </c>
      <c r="E156" s="27"/>
      <c r="F156" s="27"/>
      <c r="G156" s="9" t="s">
        <v>34</v>
      </c>
      <c r="H156" s="10">
        <f>H157</f>
        <v>8500</v>
      </c>
      <c r="I156" s="10">
        <f t="shared" si="64"/>
        <v>0</v>
      </c>
      <c r="J156" s="10">
        <f t="shared" si="59"/>
        <v>8500</v>
      </c>
    </row>
    <row r="157" spans="2:10" x14ac:dyDescent="0.25">
      <c r="B157" s="32">
        <f t="shared" si="65"/>
        <v>150</v>
      </c>
      <c r="C157" s="28"/>
      <c r="D157" s="28"/>
      <c r="E157" s="28">
        <v>223002</v>
      </c>
      <c r="F157" s="28"/>
      <c r="G157" s="12" t="s">
        <v>47</v>
      </c>
      <c r="H157" s="13">
        <v>8500</v>
      </c>
      <c r="I157" s="13"/>
      <c r="J157" s="13">
        <f t="shared" si="59"/>
        <v>8500</v>
      </c>
    </row>
    <row r="158" spans="2:10" x14ac:dyDescent="0.25">
      <c r="B158" s="32">
        <f t="shared" si="65"/>
        <v>151</v>
      </c>
      <c r="C158" s="25" t="s">
        <v>93</v>
      </c>
      <c r="D158" s="25"/>
      <c r="E158" s="25"/>
      <c r="F158" s="25"/>
      <c r="G158" s="5" t="s">
        <v>94</v>
      </c>
      <c r="H158" s="6">
        <f>H159</f>
        <v>7500</v>
      </c>
      <c r="I158" s="6">
        <f t="shared" ref="I158:I160" si="66">I159</f>
        <v>0</v>
      </c>
      <c r="J158" s="6">
        <f t="shared" si="59"/>
        <v>7500</v>
      </c>
    </row>
    <row r="159" spans="2:10" x14ac:dyDescent="0.25">
      <c r="B159" s="32">
        <f t="shared" si="65"/>
        <v>152</v>
      </c>
      <c r="C159" s="26">
        <v>220</v>
      </c>
      <c r="D159" s="26"/>
      <c r="E159" s="26"/>
      <c r="F159" s="26"/>
      <c r="G159" s="7" t="s">
        <v>28</v>
      </c>
      <c r="H159" s="8">
        <f>H160</f>
        <v>7500</v>
      </c>
      <c r="I159" s="8">
        <f t="shared" si="66"/>
        <v>0</v>
      </c>
      <c r="J159" s="8">
        <f t="shared" si="59"/>
        <v>7500</v>
      </c>
    </row>
    <row r="160" spans="2:10" x14ac:dyDescent="0.25">
      <c r="B160" s="32">
        <f t="shared" si="65"/>
        <v>153</v>
      </c>
      <c r="C160" s="27"/>
      <c r="D160" s="27">
        <v>223</v>
      </c>
      <c r="E160" s="27"/>
      <c r="F160" s="27"/>
      <c r="G160" s="9" t="s">
        <v>34</v>
      </c>
      <c r="H160" s="10">
        <f>H161</f>
        <v>7500</v>
      </c>
      <c r="I160" s="10">
        <f t="shared" si="66"/>
        <v>0</v>
      </c>
      <c r="J160" s="10">
        <f t="shared" si="59"/>
        <v>7500</v>
      </c>
    </row>
    <row r="161" spans="2:10" x14ac:dyDescent="0.25">
      <c r="B161" s="32">
        <f t="shared" si="65"/>
        <v>154</v>
      </c>
      <c r="C161" s="28"/>
      <c r="D161" s="28"/>
      <c r="E161" s="28">
        <v>223002</v>
      </c>
      <c r="F161" s="28"/>
      <c r="G161" s="12" t="s">
        <v>47</v>
      </c>
      <c r="H161" s="13">
        <v>7500</v>
      </c>
      <c r="I161" s="13"/>
      <c r="J161" s="13">
        <f t="shared" si="59"/>
        <v>7500</v>
      </c>
    </row>
    <row r="162" spans="2:10" x14ac:dyDescent="0.25">
      <c r="B162" s="32">
        <f t="shared" si="65"/>
        <v>155</v>
      </c>
      <c r="C162" s="25" t="s">
        <v>95</v>
      </c>
      <c r="D162" s="25"/>
      <c r="E162" s="25"/>
      <c r="F162" s="25"/>
      <c r="G162" s="5" t="s">
        <v>96</v>
      </c>
      <c r="H162" s="6">
        <f>H163</f>
        <v>12000</v>
      </c>
      <c r="I162" s="6">
        <f t="shared" ref="I162:I164" si="67">I163</f>
        <v>0</v>
      </c>
      <c r="J162" s="6">
        <f t="shared" si="59"/>
        <v>12000</v>
      </c>
    </row>
    <row r="163" spans="2:10" x14ac:dyDescent="0.25">
      <c r="B163" s="32">
        <f t="shared" si="65"/>
        <v>156</v>
      </c>
      <c r="C163" s="26">
        <v>220</v>
      </c>
      <c r="D163" s="26"/>
      <c r="E163" s="26"/>
      <c r="F163" s="26"/>
      <c r="G163" s="7" t="s">
        <v>28</v>
      </c>
      <c r="H163" s="8">
        <f>H164</f>
        <v>12000</v>
      </c>
      <c r="I163" s="8">
        <f t="shared" si="67"/>
        <v>0</v>
      </c>
      <c r="J163" s="8">
        <f t="shared" si="59"/>
        <v>12000</v>
      </c>
    </row>
    <row r="164" spans="2:10" x14ac:dyDescent="0.25">
      <c r="B164" s="32">
        <f t="shared" si="65"/>
        <v>157</v>
      </c>
      <c r="C164" s="27"/>
      <c r="D164" s="27">
        <v>223</v>
      </c>
      <c r="E164" s="27"/>
      <c r="F164" s="27"/>
      <c r="G164" s="9" t="s">
        <v>34</v>
      </c>
      <c r="H164" s="10">
        <f>H165</f>
        <v>12000</v>
      </c>
      <c r="I164" s="10">
        <f t="shared" si="67"/>
        <v>0</v>
      </c>
      <c r="J164" s="10">
        <f t="shared" si="59"/>
        <v>12000</v>
      </c>
    </row>
    <row r="165" spans="2:10" x14ac:dyDescent="0.25">
      <c r="B165" s="32">
        <f t="shared" si="65"/>
        <v>158</v>
      </c>
      <c r="C165" s="28"/>
      <c r="D165" s="28"/>
      <c r="E165" s="28">
        <v>223002</v>
      </c>
      <c r="F165" s="28"/>
      <c r="G165" s="12" t="s">
        <v>47</v>
      </c>
      <c r="H165" s="13">
        <v>12000</v>
      </c>
      <c r="I165" s="13"/>
      <c r="J165" s="13">
        <f t="shared" si="59"/>
        <v>12000</v>
      </c>
    </row>
    <row r="166" spans="2:10" x14ac:dyDescent="0.25">
      <c r="B166" s="32">
        <f t="shared" si="65"/>
        <v>159</v>
      </c>
      <c r="C166" s="25" t="s">
        <v>97</v>
      </c>
      <c r="D166" s="25"/>
      <c r="E166" s="25"/>
      <c r="F166" s="25"/>
      <c r="G166" s="5" t="s">
        <v>98</v>
      </c>
      <c r="H166" s="6">
        <f>H167</f>
        <v>14400</v>
      </c>
      <c r="I166" s="6">
        <f t="shared" ref="I166:I168" si="68">I167</f>
        <v>0</v>
      </c>
      <c r="J166" s="6">
        <f t="shared" si="59"/>
        <v>14400</v>
      </c>
    </row>
    <row r="167" spans="2:10" x14ac:dyDescent="0.25">
      <c r="B167" s="32">
        <f t="shared" si="65"/>
        <v>160</v>
      </c>
      <c r="C167" s="26">
        <v>220</v>
      </c>
      <c r="D167" s="26"/>
      <c r="E167" s="26"/>
      <c r="F167" s="26"/>
      <c r="G167" s="7" t="s">
        <v>28</v>
      </c>
      <c r="H167" s="8">
        <f>H168</f>
        <v>14400</v>
      </c>
      <c r="I167" s="8">
        <f t="shared" si="68"/>
        <v>0</v>
      </c>
      <c r="J167" s="8">
        <f t="shared" si="59"/>
        <v>14400</v>
      </c>
    </row>
    <row r="168" spans="2:10" x14ac:dyDescent="0.25">
      <c r="B168" s="32">
        <f t="shared" si="65"/>
        <v>161</v>
      </c>
      <c r="C168" s="27"/>
      <c r="D168" s="27">
        <v>223</v>
      </c>
      <c r="E168" s="27"/>
      <c r="F168" s="27"/>
      <c r="G168" s="9" t="s">
        <v>34</v>
      </c>
      <c r="H168" s="10">
        <f>H169</f>
        <v>14400</v>
      </c>
      <c r="I168" s="10">
        <f t="shared" si="68"/>
        <v>0</v>
      </c>
      <c r="J168" s="10">
        <f t="shared" si="59"/>
        <v>14400</v>
      </c>
    </row>
    <row r="169" spans="2:10" x14ac:dyDescent="0.25">
      <c r="B169" s="32">
        <f t="shared" si="65"/>
        <v>162</v>
      </c>
      <c r="C169" s="28"/>
      <c r="D169" s="28"/>
      <c r="E169" s="28">
        <v>223002</v>
      </c>
      <c r="F169" s="28"/>
      <c r="G169" s="12" t="s">
        <v>47</v>
      </c>
      <c r="H169" s="13">
        <v>14400</v>
      </c>
      <c r="I169" s="13"/>
      <c r="J169" s="13">
        <f t="shared" si="59"/>
        <v>14400</v>
      </c>
    </row>
    <row r="170" spans="2:10" x14ac:dyDescent="0.25">
      <c r="B170" s="32">
        <f t="shared" si="65"/>
        <v>163</v>
      </c>
      <c r="C170" s="25" t="s">
        <v>99</v>
      </c>
      <c r="D170" s="25"/>
      <c r="E170" s="25"/>
      <c r="F170" s="25"/>
      <c r="G170" s="5" t="s">
        <v>100</v>
      </c>
      <c r="H170" s="6">
        <f>H171</f>
        <v>7800</v>
      </c>
      <c r="I170" s="6">
        <f t="shared" ref="I170:I172" si="69">I171</f>
        <v>0</v>
      </c>
      <c r="J170" s="6">
        <f t="shared" si="59"/>
        <v>7800</v>
      </c>
    </row>
    <row r="171" spans="2:10" x14ac:dyDescent="0.25">
      <c r="B171" s="32">
        <f t="shared" si="65"/>
        <v>164</v>
      </c>
      <c r="C171" s="26">
        <v>220</v>
      </c>
      <c r="D171" s="26"/>
      <c r="E171" s="26"/>
      <c r="F171" s="26"/>
      <c r="G171" s="7" t="s">
        <v>28</v>
      </c>
      <c r="H171" s="8">
        <f>H172</f>
        <v>7800</v>
      </c>
      <c r="I171" s="8">
        <f t="shared" si="69"/>
        <v>0</v>
      </c>
      <c r="J171" s="8">
        <f t="shared" si="59"/>
        <v>7800</v>
      </c>
    </row>
    <row r="172" spans="2:10" x14ac:dyDescent="0.25">
      <c r="B172" s="32">
        <f t="shared" si="65"/>
        <v>165</v>
      </c>
      <c r="C172" s="27"/>
      <c r="D172" s="27">
        <v>223</v>
      </c>
      <c r="E172" s="27"/>
      <c r="F172" s="27"/>
      <c r="G172" s="9" t="s">
        <v>34</v>
      </c>
      <c r="H172" s="10">
        <f>H173</f>
        <v>7800</v>
      </c>
      <c r="I172" s="10">
        <f t="shared" si="69"/>
        <v>0</v>
      </c>
      <c r="J172" s="10">
        <f t="shared" si="59"/>
        <v>7800</v>
      </c>
    </row>
    <row r="173" spans="2:10" x14ac:dyDescent="0.25">
      <c r="B173" s="32">
        <f t="shared" si="65"/>
        <v>166</v>
      </c>
      <c r="C173" s="28"/>
      <c r="D173" s="28"/>
      <c r="E173" s="28">
        <v>223002</v>
      </c>
      <c r="F173" s="28"/>
      <c r="G173" s="12" t="s">
        <v>47</v>
      </c>
      <c r="H173" s="13">
        <v>7800</v>
      </c>
      <c r="I173" s="13"/>
      <c r="J173" s="13">
        <f t="shared" si="59"/>
        <v>7800</v>
      </c>
    </row>
    <row r="174" spans="2:10" x14ac:dyDescent="0.25">
      <c r="B174" s="32">
        <f t="shared" si="65"/>
        <v>167</v>
      </c>
      <c r="C174" s="25" t="s">
        <v>101</v>
      </c>
      <c r="D174" s="25"/>
      <c r="E174" s="25"/>
      <c r="F174" s="25"/>
      <c r="G174" s="5" t="s">
        <v>102</v>
      </c>
      <c r="H174" s="6">
        <f>H175</f>
        <v>9700</v>
      </c>
      <c r="I174" s="6">
        <f t="shared" ref="I174:I175" si="70">I175</f>
        <v>0</v>
      </c>
      <c r="J174" s="6">
        <f t="shared" si="59"/>
        <v>9700</v>
      </c>
    </row>
    <row r="175" spans="2:10" x14ac:dyDescent="0.25">
      <c r="B175" s="32">
        <f t="shared" ref="B175:B225" si="71">B174+1</f>
        <v>168</v>
      </c>
      <c r="C175" s="26">
        <v>220</v>
      </c>
      <c r="D175" s="26"/>
      <c r="E175" s="26"/>
      <c r="F175" s="26"/>
      <c r="G175" s="7" t="s">
        <v>28</v>
      </c>
      <c r="H175" s="8">
        <f>H176</f>
        <v>9700</v>
      </c>
      <c r="I175" s="8">
        <f t="shared" si="70"/>
        <v>0</v>
      </c>
      <c r="J175" s="8">
        <f t="shared" si="59"/>
        <v>9700</v>
      </c>
    </row>
    <row r="176" spans="2:10" x14ac:dyDescent="0.25">
      <c r="B176" s="32">
        <f t="shared" si="71"/>
        <v>169</v>
      </c>
      <c r="C176" s="27"/>
      <c r="D176" s="27">
        <v>223</v>
      </c>
      <c r="E176" s="27"/>
      <c r="F176" s="27"/>
      <c r="G176" s="9" t="s">
        <v>34</v>
      </c>
      <c r="H176" s="10">
        <f>H177+H178</f>
        <v>9700</v>
      </c>
      <c r="I176" s="10">
        <f t="shared" ref="I176" si="72">I177+I178</f>
        <v>0</v>
      </c>
      <c r="J176" s="10">
        <f t="shared" si="59"/>
        <v>9700</v>
      </c>
    </row>
    <row r="177" spans="2:10" x14ac:dyDescent="0.25">
      <c r="B177" s="32">
        <f t="shared" si="71"/>
        <v>170</v>
      </c>
      <c r="C177" s="28"/>
      <c r="D177" s="28"/>
      <c r="E177" s="28">
        <v>223001</v>
      </c>
      <c r="F177" s="28"/>
      <c r="G177" s="12" t="s">
        <v>35</v>
      </c>
      <c r="H177" s="13">
        <v>300</v>
      </c>
      <c r="I177" s="13"/>
      <c r="J177" s="13">
        <f t="shared" si="59"/>
        <v>300</v>
      </c>
    </row>
    <row r="178" spans="2:10" x14ac:dyDescent="0.25">
      <c r="B178" s="32">
        <f t="shared" si="71"/>
        <v>171</v>
      </c>
      <c r="C178" s="28"/>
      <c r="D178" s="28"/>
      <c r="E178" s="28">
        <v>223002</v>
      </c>
      <c r="F178" s="28"/>
      <c r="G178" s="12" t="s">
        <v>47</v>
      </c>
      <c r="H178" s="13">
        <v>9400</v>
      </c>
      <c r="I178" s="13"/>
      <c r="J178" s="13">
        <f t="shared" si="59"/>
        <v>9400</v>
      </c>
    </row>
    <row r="179" spans="2:10" x14ac:dyDescent="0.25">
      <c r="B179" s="32">
        <f t="shared" si="71"/>
        <v>172</v>
      </c>
      <c r="C179" s="25" t="s">
        <v>103</v>
      </c>
      <c r="D179" s="25"/>
      <c r="E179" s="25"/>
      <c r="F179" s="25"/>
      <c r="G179" s="5" t="s">
        <v>104</v>
      </c>
      <c r="H179" s="6">
        <f>H180</f>
        <v>12700</v>
      </c>
      <c r="I179" s="6">
        <f t="shared" ref="I179:I181" si="73">I180</f>
        <v>0</v>
      </c>
      <c r="J179" s="6">
        <f t="shared" si="59"/>
        <v>12700</v>
      </c>
    </row>
    <row r="180" spans="2:10" x14ac:dyDescent="0.25">
      <c r="B180" s="32">
        <f t="shared" si="71"/>
        <v>173</v>
      </c>
      <c r="C180" s="26">
        <v>220</v>
      </c>
      <c r="D180" s="26"/>
      <c r="E180" s="26"/>
      <c r="F180" s="26"/>
      <c r="G180" s="7" t="s">
        <v>28</v>
      </c>
      <c r="H180" s="8">
        <f>H181</f>
        <v>12700</v>
      </c>
      <c r="I180" s="8">
        <f t="shared" si="73"/>
        <v>0</v>
      </c>
      <c r="J180" s="8">
        <f t="shared" si="59"/>
        <v>12700</v>
      </c>
    </row>
    <row r="181" spans="2:10" x14ac:dyDescent="0.25">
      <c r="B181" s="32">
        <f t="shared" si="71"/>
        <v>174</v>
      </c>
      <c r="C181" s="27"/>
      <c r="D181" s="27">
        <v>223</v>
      </c>
      <c r="E181" s="27"/>
      <c r="F181" s="27"/>
      <c r="G181" s="9" t="s">
        <v>34</v>
      </c>
      <c r="H181" s="10">
        <f>H182</f>
        <v>12700</v>
      </c>
      <c r="I181" s="10">
        <f t="shared" si="73"/>
        <v>0</v>
      </c>
      <c r="J181" s="10">
        <f t="shared" si="59"/>
        <v>12700</v>
      </c>
    </row>
    <row r="182" spans="2:10" x14ac:dyDescent="0.25">
      <c r="B182" s="32">
        <f t="shared" si="71"/>
        <v>175</v>
      </c>
      <c r="C182" s="28"/>
      <c r="D182" s="28"/>
      <c r="E182" s="28">
        <v>223002</v>
      </c>
      <c r="F182" s="28"/>
      <c r="G182" s="12" t="s">
        <v>47</v>
      </c>
      <c r="H182" s="13">
        <v>12700</v>
      </c>
      <c r="I182" s="13"/>
      <c r="J182" s="13">
        <f t="shared" si="59"/>
        <v>12700</v>
      </c>
    </row>
    <row r="183" spans="2:10" x14ac:dyDescent="0.25">
      <c r="B183" s="32">
        <f t="shared" si="71"/>
        <v>176</v>
      </c>
      <c r="C183" s="25" t="s">
        <v>105</v>
      </c>
      <c r="D183" s="25"/>
      <c r="E183" s="25"/>
      <c r="F183" s="25"/>
      <c r="G183" s="5" t="s">
        <v>106</v>
      </c>
      <c r="H183" s="6">
        <f>H184</f>
        <v>7800</v>
      </c>
      <c r="I183" s="6">
        <f t="shared" ref="I183:I185" si="74">I184</f>
        <v>0</v>
      </c>
      <c r="J183" s="6">
        <f t="shared" si="59"/>
        <v>7800</v>
      </c>
    </row>
    <row r="184" spans="2:10" x14ac:dyDescent="0.25">
      <c r="B184" s="32">
        <f t="shared" si="71"/>
        <v>177</v>
      </c>
      <c r="C184" s="26">
        <v>220</v>
      </c>
      <c r="D184" s="26"/>
      <c r="E184" s="26"/>
      <c r="F184" s="26"/>
      <c r="G184" s="7" t="s">
        <v>28</v>
      </c>
      <c r="H184" s="8">
        <f>H185</f>
        <v>7800</v>
      </c>
      <c r="I184" s="8">
        <f t="shared" si="74"/>
        <v>0</v>
      </c>
      <c r="J184" s="8">
        <f t="shared" si="59"/>
        <v>7800</v>
      </c>
    </row>
    <row r="185" spans="2:10" x14ac:dyDescent="0.25">
      <c r="B185" s="32">
        <f t="shared" si="71"/>
        <v>178</v>
      </c>
      <c r="C185" s="27"/>
      <c r="D185" s="27">
        <v>223</v>
      </c>
      <c r="E185" s="27"/>
      <c r="F185" s="27"/>
      <c r="G185" s="9" t="s">
        <v>34</v>
      </c>
      <c r="H185" s="10">
        <f>H186</f>
        <v>7800</v>
      </c>
      <c r="I185" s="10">
        <f t="shared" si="74"/>
        <v>0</v>
      </c>
      <c r="J185" s="10">
        <f t="shared" si="59"/>
        <v>7800</v>
      </c>
    </row>
    <row r="186" spans="2:10" x14ac:dyDescent="0.25">
      <c r="B186" s="32">
        <f t="shared" si="71"/>
        <v>179</v>
      </c>
      <c r="C186" s="28"/>
      <c r="D186" s="28"/>
      <c r="E186" s="28">
        <v>223002</v>
      </c>
      <c r="F186" s="28"/>
      <c r="G186" s="12" t="s">
        <v>47</v>
      </c>
      <c r="H186" s="13">
        <v>7800</v>
      </c>
      <c r="I186" s="13"/>
      <c r="J186" s="13">
        <f t="shared" si="59"/>
        <v>7800</v>
      </c>
    </row>
    <row r="187" spans="2:10" x14ac:dyDescent="0.25">
      <c r="B187" s="32">
        <f t="shared" si="71"/>
        <v>180</v>
      </c>
      <c r="C187" s="25" t="s">
        <v>107</v>
      </c>
      <c r="D187" s="25"/>
      <c r="E187" s="25"/>
      <c r="F187" s="25"/>
      <c r="G187" s="5" t="s">
        <v>108</v>
      </c>
      <c r="H187" s="6">
        <f>H188</f>
        <v>3900</v>
      </c>
      <c r="I187" s="6">
        <f t="shared" ref="I187:I189" si="75">I188</f>
        <v>0</v>
      </c>
      <c r="J187" s="6">
        <f t="shared" si="59"/>
        <v>3900</v>
      </c>
    </row>
    <row r="188" spans="2:10" x14ac:dyDescent="0.25">
      <c r="B188" s="32">
        <f t="shared" si="71"/>
        <v>181</v>
      </c>
      <c r="C188" s="26">
        <v>220</v>
      </c>
      <c r="D188" s="26"/>
      <c r="E188" s="26"/>
      <c r="F188" s="26"/>
      <c r="G188" s="7" t="s">
        <v>28</v>
      </c>
      <c r="H188" s="8">
        <f>H189</f>
        <v>3900</v>
      </c>
      <c r="I188" s="8">
        <f t="shared" si="75"/>
        <v>0</v>
      </c>
      <c r="J188" s="8">
        <f t="shared" si="59"/>
        <v>3900</v>
      </c>
    </row>
    <row r="189" spans="2:10" x14ac:dyDescent="0.25">
      <c r="B189" s="32">
        <f t="shared" si="71"/>
        <v>182</v>
      </c>
      <c r="C189" s="27"/>
      <c r="D189" s="27">
        <v>223</v>
      </c>
      <c r="E189" s="27"/>
      <c r="F189" s="27"/>
      <c r="G189" s="9" t="s">
        <v>34</v>
      </c>
      <c r="H189" s="10">
        <f>H190</f>
        <v>3900</v>
      </c>
      <c r="I189" s="10">
        <f t="shared" si="75"/>
        <v>0</v>
      </c>
      <c r="J189" s="10">
        <f t="shared" si="59"/>
        <v>3900</v>
      </c>
    </row>
    <row r="190" spans="2:10" x14ac:dyDescent="0.25">
      <c r="B190" s="32">
        <f t="shared" si="71"/>
        <v>183</v>
      </c>
      <c r="C190" s="28"/>
      <c r="D190" s="28"/>
      <c r="E190" s="28">
        <v>223002</v>
      </c>
      <c r="F190" s="28"/>
      <c r="G190" s="12" t="s">
        <v>47</v>
      </c>
      <c r="H190" s="13">
        <v>3900</v>
      </c>
      <c r="I190" s="13"/>
      <c r="J190" s="13">
        <f t="shared" si="59"/>
        <v>3900</v>
      </c>
    </row>
    <row r="191" spans="2:10" x14ac:dyDescent="0.25">
      <c r="B191" s="32">
        <f t="shared" si="71"/>
        <v>184</v>
      </c>
      <c r="C191" s="25" t="s">
        <v>109</v>
      </c>
      <c r="D191" s="25"/>
      <c r="E191" s="25"/>
      <c r="F191" s="25"/>
      <c r="G191" s="5" t="s">
        <v>110</v>
      </c>
      <c r="H191" s="6">
        <f>H192</f>
        <v>3500</v>
      </c>
      <c r="I191" s="6">
        <f t="shared" ref="I191:I193" si="76">I192</f>
        <v>0</v>
      </c>
      <c r="J191" s="6">
        <f t="shared" si="59"/>
        <v>3500</v>
      </c>
    </row>
    <row r="192" spans="2:10" x14ac:dyDescent="0.25">
      <c r="B192" s="32">
        <f t="shared" si="71"/>
        <v>185</v>
      </c>
      <c r="C192" s="26">
        <v>220</v>
      </c>
      <c r="D192" s="26"/>
      <c r="E192" s="26"/>
      <c r="F192" s="26"/>
      <c r="G192" s="7" t="s">
        <v>28</v>
      </c>
      <c r="H192" s="8">
        <f>H193</f>
        <v>3500</v>
      </c>
      <c r="I192" s="8">
        <f t="shared" si="76"/>
        <v>0</v>
      </c>
      <c r="J192" s="8">
        <f t="shared" si="59"/>
        <v>3500</v>
      </c>
    </row>
    <row r="193" spans="2:10" x14ac:dyDescent="0.25">
      <c r="B193" s="32">
        <f t="shared" si="71"/>
        <v>186</v>
      </c>
      <c r="C193" s="27"/>
      <c r="D193" s="27">
        <v>223</v>
      </c>
      <c r="E193" s="27"/>
      <c r="F193" s="27"/>
      <c r="G193" s="9" t="s">
        <v>34</v>
      </c>
      <c r="H193" s="10">
        <f>H194</f>
        <v>3500</v>
      </c>
      <c r="I193" s="10">
        <f t="shared" si="76"/>
        <v>0</v>
      </c>
      <c r="J193" s="10">
        <f t="shared" si="59"/>
        <v>3500</v>
      </c>
    </row>
    <row r="194" spans="2:10" x14ac:dyDescent="0.25">
      <c r="B194" s="32">
        <f t="shared" si="71"/>
        <v>187</v>
      </c>
      <c r="C194" s="28"/>
      <c r="D194" s="28"/>
      <c r="E194" s="28">
        <v>223002</v>
      </c>
      <c r="F194" s="28"/>
      <c r="G194" s="12" t="s">
        <v>47</v>
      </c>
      <c r="H194" s="13">
        <v>3500</v>
      </c>
      <c r="I194" s="13"/>
      <c r="J194" s="13">
        <f t="shared" si="59"/>
        <v>3500</v>
      </c>
    </row>
    <row r="195" spans="2:10" x14ac:dyDescent="0.25">
      <c r="B195" s="32">
        <f t="shared" si="71"/>
        <v>188</v>
      </c>
      <c r="C195" s="25" t="s">
        <v>111</v>
      </c>
      <c r="D195" s="25"/>
      <c r="E195" s="25"/>
      <c r="F195" s="25"/>
      <c r="G195" s="5" t="s">
        <v>112</v>
      </c>
      <c r="H195" s="6">
        <f>H196</f>
        <v>3500</v>
      </c>
      <c r="I195" s="6">
        <f t="shared" ref="I195:I197" si="77">I196</f>
        <v>0</v>
      </c>
      <c r="J195" s="6">
        <f t="shared" si="59"/>
        <v>3500</v>
      </c>
    </row>
    <row r="196" spans="2:10" x14ac:dyDescent="0.25">
      <c r="B196" s="32">
        <f t="shared" si="71"/>
        <v>189</v>
      </c>
      <c r="C196" s="26">
        <v>220</v>
      </c>
      <c r="D196" s="26"/>
      <c r="E196" s="26"/>
      <c r="F196" s="26"/>
      <c r="G196" s="7" t="s">
        <v>28</v>
      </c>
      <c r="H196" s="8">
        <f>H197</f>
        <v>3500</v>
      </c>
      <c r="I196" s="8">
        <f t="shared" si="77"/>
        <v>0</v>
      </c>
      <c r="J196" s="8">
        <f t="shared" si="59"/>
        <v>3500</v>
      </c>
    </row>
    <row r="197" spans="2:10" x14ac:dyDescent="0.25">
      <c r="B197" s="32">
        <f t="shared" si="71"/>
        <v>190</v>
      </c>
      <c r="C197" s="27"/>
      <c r="D197" s="27">
        <v>223</v>
      </c>
      <c r="E197" s="27"/>
      <c r="F197" s="27"/>
      <c r="G197" s="9" t="s">
        <v>34</v>
      </c>
      <c r="H197" s="10">
        <f>H198</f>
        <v>3500</v>
      </c>
      <c r="I197" s="10">
        <f t="shared" si="77"/>
        <v>0</v>
      </c>
      <c r="J197" s="10">
        <f t="shared" si="59"/>
        <v>3500</v>
      </c>
    </row>
    <row r="198" spans="2:10" x14ac:dyDescent="0.25">
      <c r="B198" s="32">
        <f t="shared" si="71"/>
        <v>191</v>
      </c>
      <c r="C198" s="28"/>
      <c r="D198" s="28"/>
      <c r="E198" s="28">
        <v>223002</v>
      </c>
      <c r="F198" s="28"/>
      <c r="G198" s="12" t="s">
        <v>47</v>
      </c>
      <c r="H198" s="13">
        <v>3500</v>
      </c>
      <c r="I198" s="13"/>
      <c r="J198" s="13">
        <f t="shared" si="59"/>
        <v>3500</v>
      </c>
    </row>
    <row r="199" spans="2:10" x14ac:dyDescent="0.25">
      <c r="B199" s="32">
        <f t="shared" si="71"/>
        <v>192</v>
      </c>
      <c r="C199" s="25" t="s">
        <v>113</v>
      </c>
      <c r="D199" s="25"/>
      <c r="E199" s="25"/>
      <c r="F199" s="25"/>
      <c r="G199" s="5" t="s">
        <v>114</v>
      </c>
      <c r="H199" s="6">
        <f>H200</f>
        <v>13300</v>
      </c>
      <c r="I199" s="6">
        <f t="shared" ref="I199:I201" si="78">I200</f>
        <v>0</v>
      </c>
      <c r="J199" s="6">
        <f t="shared" si="59"/>
        <v>13300</v>
      </c>
    </row>
    <row r="200" spans="2:10" x14ac:dyDescent="0.25">
      <c r="B200" s="32">
        <f t="shared" si="71"/>
        <v>193</v>
      </c>
      <c r="C200" s="26">
        <v>220</v>
      </c>
      <c r="D200" s="26"/>
      <c r="E200" s="26"/>
      <c r="F200" s="26"/>
      <c r="G200" s="7" t="s">
        <v>28</v>
      </c>
      <c r="H200" s="8">
        <f>H201</f>
        <v>13300</v>
      </c>
      <c r="I200" s="8">
        <f t="shared" si="78"/>
        <v>0</v>
      </c>
      <c r="J200" s="8">
        <f t="shared" si="59"/>
        <v>13300</v>
      </c>
    </row>
    <row r="201" spans="2:10" x14ac:dyDescent="0.25">
      <c r="B201" s="32">
        <f t="shared" si="71"/>
        <v>194</v>
      </c>
      <c r="C201" s="27"/>
      <c r="D201" s="27">
        <v>223</v>
      </c>
      <c r="E201" s="27"/>
      <c r="F201" s="27"/>
      <c r="G201" s="9" t="s">
        <v>34</v>
      </c>
      <c r="H201" s="10">
        <f>H202</f>
        <v>13300</v>
      </c>
      <c r="I201" s="10">
        <f t="shared" si="78"/>
        <v>0</v>
      </c>
      <c r="J201" s="10">
        <f t="shared" ref="J201:J264" si="79">H201+I201</f>
        <v>13300</v>
      </c>
    </row>
    <row r="202" spans="2:10" x14ac:dyDescent="0.25">
      <c r="B202" s="32">
        <f t="shared" si="71"/>
        <v>195</v>
      </c>
      <c r="C202" s="28"/>
      <c r="D202" s="28"/>
      <c r="E202" s="28">
        <v>223002</v>
      </c>
      <c r="F202" s="28"/>
      <c r="G202" s="12" t="s">
        <v>47</v>
      </c>
      <c r="H202" s="13">
        <v>13300</v>
      </c>
      <c r="I202" s="13"/>
      <c r="J202" s="13">
        <f t="shared" si="79"/>
        <v>13300</v>
      </c>
    </row>
    <row r="203" spans="2:10" x14ac:dyDescent="0.25">
      <c r="B203" s="32">
        <f t="shared" si="71"/>
        <v>196</v>
      </c>
      <c r="C203" s="25" t="s">
        <v>115</v>
      </c>
      <c r="D203" s="25"/>
      <c r="E203" s="25"/>
      <c r="F203" s="25"/>
      <c r="G203" s="5" t="s">
        <v>116</v>
      </c>
      <c r="H203" s="6">
        <f>H204</f>
        <v>1100</v>
      </c>
      <c r="I203" s="6">
        <f t="shared" ref="I203:I205" si="80">I204</f>
        <v>0</v>
      </c>
      <c r="J203" s="6">
        <f t="shared" si="79"/>
        <v>1100</v>
      </c>
    </row>
    <row r="204" spans="2:10" x14ac:dyDescent="0.25">
      <c r="B204" s="32">
        <f t="shared" si="71"/>
        <v>197</v>
      </c>
      <c r="C204" s="26">
        <v>220</v>
      </c>
      <c r="D204" s="26"/>
      <c r="E204" s="26"/>
      <c r="F204" s="26"/>
      <c r="G204" s="7" t="s">
        <v>28</v>
      </c>
      <c r="H204" s="8">
        <f>H205</f>
        <v>1100</v>
      </c>
      <c r="I204" s="8">
        <f t="shared" si="80"/>
        <v>0</v>
      </c>
      <c r="J204" s="8">
        <f t="shared" si="79"/>
        <v>1100</v>
      </c>
    </row>
    <row r="205" spans="2:10" x14ac:dyDescent="0.25">
      <c r="B205" s="32">
        <f t="shared" si="71"/>
        <v>198</v>
      </c>
      <c r="C205" s="27"/>
      <c r="D205" s="27">
        <v>223</v>
      </c>
      <c r="E205" s="27"/>
      <c r="F205" s="27"/>
      <c r="G205" s="9" t="s">
        <v>34</v>
      </c>
      <c r="H205" s="10">
        <f>H206</f>
        <v>1100</v>
      </c>
      <c r="I205" s="10">
        <f t="shared" si="80"/>
        <v>0</v>
      </c>
      <c r="J205" s="10">
        <f t="shared" si="79"/>
        <v>1100</v>
      </c>
    </row>
    <row r="206" spans="2:10" x14ac:dyDescent="0.25">
      <c r="B206" s="32">
        <f t="shared" si="71"/>
        <v>199</v>
      </c>
      <c r="C206" s="28"/>
      <c r="D206" s="28"/>
      <c r="E206" s="28">
        <v>223002</v>
      </c>
      <c r="F206" s="28"/>
      <c r="G206" s="12" t="s">
        <v>47</v>
      </c>
      <c r="H206" s="13">
        <v>1100</v>
      </c>
      <c r="I206" s="13"/>
      <c r="J206" s="13">
        <f t="shared" si="79"/>
        <v>1100</v>
      </c>
    </row>
    <row r="207" spans="2:10" x14ac:dyDescent="0.25">
      <c r="B207" s="32">
        <f t="shared" si="71"/>
        <v>200</v>
      </c>
      <c r="C207" s="25" t="s">
        <v>119</v>
      </c>
      <c r="D207" s="25"/>
      <c r="E207" s="25"/>
      <c r="F207" s="25"/>
      <c r="G207" s="5" t="s">
        <v>120</v>
      </c>
      <c r="H207" s="6">
        <f>H208+H211</f>
        <v>3300</v>
      </c>
      <c r="I207" s="6">
        <f t="shared" ref="I207" si="81">I208+I211</f>
        <v>0</v>
      </c>
      <c r="J207" s="6">
        <f t="shared" si="79"/>
        <v>3300</v>
      </c>
    </row>
    <row r="208" spans="2:10" x14ac:dyDescent="0.25">
      <c r="B208" s="32">
        <f t="shared" si="71"/>
        <v>201</v>
      </c>
      <c r="C208" s="26">
        <v>210</v>
      </c>
      <c r="D208" s="26"/>
      <c r="E208" s="26"/>
      <c r="F208" s="26"/>
      <c r="G208" s="7" t="s">
        <v>24</v>
      </c>
      <c r="H208" s="8">
        <f>H209</f>
        <v>3285</v>
      </c>
      <c r="I208" s="8">
        <f t="shared" ref="I208:I209" si="82">I209</f>
        <v>0</v>
      </c>
      <c r="J208" s="8">
        <f t="shared" si="79"/>
        <v>3285</v>
      </c>
    </row>
    <row r="209" spans="2:10" x14ac:dyDescent="0.25">
      <c r="B209" s="32">
        <f t="shared" si="71"/>
        <v>202</v>
      </c>
      <c r="C209" s="27"/>
      <c r="D209" s="27">
        <v>212</v>
      </c>
      <c r="E209" s="27"/>
      <c r="F209" s="27"/>
      <c r="G209" s="9" t="s">
        <v>25</v>
      </c>
      <c r="H209" s="10">
        <f>H210</f>
        <v>3285</v>
      </c>
      <c r="I209" s="10">
        <f t="shared" si="82"/>
        <v>0</v>
      </c>
      <c r="J209" s="10">
        <f t="shared" si="79"/>
        <v>3285</v>
      </c>
    </row>
    <row r="210" spans="2:10" x14ac:dyDescent="0.25">
      <c r="B210" s="32">
        <f t="shared" si="71"/>
        <v>203</v>
      </c>
      <c r="C210" s="28"/>
      <c r="D210" s="28"/>
      <c r="E210" s="28">
        <v>212003</v>
      </c>
      <c r="F210" s="28"/>
      <c r="G210" s="12" t="s">
        <v>27</v>
      </c>
      <c r="H210" s="13">
        <v>3285</v>
      </c>
      <c r="I210" s="13"/>
      <c r="J210" s="13">
        <f t="shared" si="79"/>
        <v>3285</v>
      </c>
    </row>
    <row r="211" spans="2:10" x14ac:dyDescent="0.25">
      <c r="B211" s="32">
        <f t="shared" si="71"/>
        <v>204</v>
      </c>
      <c r="C211" s="26">
        <v>240</v>
      </c>
      <c r="D211" s="26"/>
      <c r="E211" s="26"/>
      <c r="F211" s="26"/>
      <c r="G211" s="7" t="s">
        <v>38</v>
      </c>
      <c r="H211" s="8">
        <f>H212</f>
        <v>15</v>
      </c>
      <c r="I211" s="8">
        <f t="shared" ref="I211:I212" si="83">I212</f>
        <v>0</v>
      </c>
      <c r="J211" s="8">
        <f t="shared" si="79"/>
        <v>15</v>
      </c>
    </row>
    <row r="212" spans="2:10" x14ac:dyDescent="0.25">
      <c r="B212" s="32">
        <f t="shared" si="71"/>
        <v>205</v>
      </c>
      <c r="C212" s="27"/>
      <c r="D212" s="27">
        <v>242</v>
      </c>
      <c r="E212" s="27"/>
      <c r="F212" s="27"/>
      <c r="G212" s="9" t="s">
        <v>39</v>
      </c>
      <c r="H212" s="10">
        <f>H213</f>
        <v>15</v>
      </c>
      <c r="I212" s="10">
        <f t="shared" si="83"/>
        <v>0</v>
      </c>
      <c r="J212" s="10">
        <f t="shared" si="79"/>
        <v>15</v>
      </c>
    </row>
    <row r="213" spans="2:10" ht="15.75" thickBot="1" x14ac:dyDescent="0.3">
      <c r="B213" s="32">
        <f t="shared" si="71"/>
        <v>206</v>
      </c>
      <c r="C213" s="28"/>
      <c r="D213" s="28"/>
      <c r="E213" s="28">
        <v>242</v>
      </c>
      <c r="F213" s="28"/>
      <c r="G213" s="12" t="s">
        <v>39</v>
      </c>
      <c r="H213" s="13">
        <v>15</v>
      </c>
      <c r="I213" s="13"/>
      <c r="J213" s="13">
        <f t="shared" si="79"/>
        <v>15</v>
      </c>
    </row>
    <row r="214" spans="2:10" ht="15.75" thickBot="1" x14ac:dyDescent="0.3">
      <c r="B214" s="32">
        <f t="shared" si="71"/>
        <v>207</v>
      </c>
      <c r="C214" s="24">
        <v>5</v>
      </c>
      <c r="D214" s="24"/>
      <c r="E214" s="24"/>
      <c r="F214" s="24"/>
      <c r="G214" s="3" t="s">
        <v>121</v>
      </c>
      <c r="H214" s="4">
        <f>H215+H219+H223+H227+H231+H235+H239+H243+H247+H251+H255+H259+H263+H267+H271+H275+H279+H283+H287+H291+H295+H299+H303</f>
        <v>706000</v>
      </c>
      <c r="I214" s="4">
        <f t="shared" ref="I214" si="84">I215+I219+I223+I227+I231+I235+I239+I243+I247+I251+I255+I259+I263+I267+I271+I275+I279+I283+I287+I291+I295+I299+I303</f>
        <v>0</v>
      </c>
      <c r="J214" s="4">
        <f t="shared" si="79"/>
        <v>706000</v>
      </c>
    </row>
    <row r="215" spans="2:10" x14ac:dyDescent="0.25">
      <c r="B215" s="32">
        <f t="shared" si="71"/>
        <v>208</v>
      </c>
      <c r="C215" s="25" t="s">
        <v>122</v>
      </c>
      <c r="D215" s="25"/>
      <c r="E215" s="25"/>
      <c r="F215" s="25"/>
      <c r="G215" s="5" t="s">
        <v>123</v>
      </c>
      <c r="H215" s="6">
        <f>H216</f>
        <v>110000</v>
      </c>
      <c r="I215" s="6">
        <f t="shared" ref="I215:I217" si="85">I216</f>
        <v>0</v>
      </c>
      <c r="J215" s="6">
        <f t="shared" si="79"/>
        <v>110000</v>
      </c>
    </row>
    <row r="216" spans="2:10" x14ac:dyDescent="0.25">
      <c r="B216" s="32">
        <f t="shared" si="71"/>
        <v>209</v>
      </c>
      <c r="C216" s="26">
        <v>220</v>
      </c>
      <c r="D216" s="26"/>
      <c r="E216" s="26"/>
      <c r="F216" s="26"/>
      <c r="G216" s="7" t="s">
        <v>28</v>
      </c>
      <c r="H216" s="8">
        <f>H217</f>
        <v>110000</v>
      </c>
      <c r="I216" s="8">
        <f t="shared" si="85"/>
        <v>0</v>
      </c>
      <c r="J216" s="8">
        <f t="shared" si="79"/>
        <v>110000</v>
      </c>
    </row>
    <row r="217" spans="2:10" x14ac:dyDescent="0.25">
      <c r="B217" s="32">
        <f t="shared" si="71"/>
        <v>210</v>
      </c>
      <c r="C217" s="27"/>
      <c r="D217" s="27">
        <v>223</v>
      </c>
      <c r="E217" s="27"/>
      <c r="F217" s="27"/>
      <c r="G217" s="9" t="s">
        <v>34</v>
      </c>
      <c r="H217" s="10">
        <f>H218</f>
        <v>110000</v>
      </c>
      <c r="I217" s="10">
        <f t="shared" si="85"/>
        <v>0</v>
      </c>
      <c r="J217" s="10">
        <f t="shared" si="79"/>
        <v>110000</v>
      </c>
    </row>
    <row r="218" spans="2:10" x14ac:dyDescent="0.25">
      <c r="B218" s="32">
        <f t="shared" si="71"/>
        <v>211</v>
      </c>
      <c r="C218" s="28"/>
      <c r="D218" s="28"/>
      <c r="E218" s="28">
        <v>223002</v>
      </c>
      <c r="F218" s="28"/>
      <c r="G218" s="12" t="s">
        <v>47</v>
      </c>
      <c r="H218" s="13">
        <v>110000</v>
      </c>
      <c r="I218" s="13"/>
      <c r="J218" s="13">
        <f t="shared" si="79"/>
        <v>110000</v>
      </c>
    </row>
    <row r="219" spans="2:10" x14ac:dyDescent="0.25">
      <c r="B219" s="32">
        <f t="shared" si="71"/>
        <v>212</v>
      </c>
      <c r="C219" s="25" t="s">
        <v>124</v>
      </c>
      <c r="D219" s="25"/>
      <c r="E219" s="25"/>
      <c r="F219" s="25"/>
      <c r="G219" s="5" t="s">
        <v>125</v>
      </c>
      <c r="H219" s="6">
        <f>H220</f>
        <v>9000</v>
      </c>
      <c r="I219" s="6">
        <f t="shared" ref="I219:I221" si="86">I220</f>
        <v>0</v>
      </c>
      <c r="J219" s="6">
        <f t="shared" si="79"/>
        <v>9000</v>
      </c>
    </row>
    <row r="220" spans="2:10" x14ac:dyDescent="0.25">
      <c r="B220" s="32">
        <f t="shared" si="71"/>
        <v>213</v>
      </c>
      <c r="C220" s="26">
        <v>220</v>
      </c>
      <c r="D220" s="26"/>
      <c r="E220" s="26"/>
      <c r="F220" s="26"/>
      <c r="G220" s="7" t="s">
        <v>28</v>
      </c>
      <c r="H220" s="8">
        <f>H221</f>
        <v>9000</v>
      </c>
      <c r="I220" s="8">
        <f t="shared" si="86"/>
        <v>0</v>
      </c>
      <c r="J220" s="8">
        <f t="shared" si="79"/>
        <v>9000</v>
      </c>
    </row>
    <row r="221" spans="2:10" x14ac:dyDescent="0.25">
      <c r="B221" s="32">
        <f t="shared" si="71"/>
        <v>214</v>
      </c>
      <c r="C221" s="27"/>
      <c r="D221" s="27">
        <v>223</v>
      </c>
      <c r="E221" s="27"/>
      <c r="F221" s="27"/>
      <c r="G221" s="9" t="s">
        <v>34</v>
      </c>
      <c r="H221" s="10">
        <f>H222</f>
        <v>9000</v>
      </c>
      <c r="I221" s="10">
        <f t="shared" si="86"/>
        <v>0</v>
      </c>
      <c r="J221" s="10">
        <f t="shared" si="79"/>
        <v>9000</v>
      </c>
    </row>
    <row r="222" spans="2:10" x14ac:dyDescent="0.25">
      <c r="B222" s="32">
        <f t="shared" si="71"/>
        <v>215</v>
      </c>
      <c r="C222" s="28"/>
      <c r="D222" s="28"/>
      <c r="E222" s="28">
        <v>223003</v>
      </c>
      <c r="F222" s="28"/>
      <c r="G222" s="12" t="s">
        <v>84</v>
      </c>
      <c r="H222" s="13">
        <v>9000</v>
      </c>
      <c r="I222" s="13"/>
      <c r="J222" s="13">
        <f t="shared" si="79"/>
        <v>9000</v>
      </c>
    </row>
    <row r="223" spans="2:10" x14ac:dyDescent="0.25">
      <c r="B223" s="32">
        <f t="shared" si="71"/>
        <v>216</v>
      </c>
      <c r="C223" s="25" t="s">
        <v>126</v>
      </c>
      <c r="D223" s="25"/>
      <c r="E223" s="25"/>
      <c r="F223" s="25"/>
      <c r="G223" s="5" t="s">
        <v>127</v>
      </c>
      <c r="H223" s="6">
        <f>H224</f>
        <v>6600</v>
      </c>
      <c r="I223" s="6">
        <f t="shared" ref="I223:I225" si="87">I224</f>
        <v>0</v>
      </c>
      <c r="J223" s="6">
        <f t="shared" si="79"/>
        <v>6600</v>
      </c>
    </row>
    <row r="224" spans="2:10" x14ac:dyDescent="0.25">
      <c r="B224" s="32">
        <f t="shared" si="71"/>
        <v>217</v>
      </c>
      <c r="C224" s="26">
        <v>220</v>
      </c>
      <c r="D224" s="26"/>
      <c r="E224" s="26"/>
      <c r="F224" s="26"/>
      <c r="G224" s="7" t="s">
        <v>28</v>
      </c>
      <c r="H224" s="8">
        <f>H225</f>
        <v>6600</v>
      </c>
      <c r="I224" s="8">
        <f t="shared" si="87"/>
        <v>0</v>
      </c>
      <c r="J224" s="8">
        <f t="shared" si="79"/>
        <v>6600</v>
      </c>
    </row>
    <row r="225" spans="2:10" x14ac:dyDescent="0.25">
      <c r="B225" s="32">
        <f t="shared" si="71"/>
        <v>218</v>
      </c>
      <c r="C225" s="27"/>
      <c r="D225" s="27">
        <v>223</v>
      </c>
      <c r="E225" s="27"/>
      <c r="F225" s="27"/>
      <c r="G225" s="9" t="s">
        <v>34</v>
      </c>
      <c r="H225" s="10">
        <f>H226</f>
        <v>6600</v>
      </c>
      <c r="I225" s="10">
        <f t="shared" si="87"/>
        <v>0</v>
      </c>
      <c r="J225" s="10">
        <f t="shared" si="79"/>
        <v>6600</v>
      </c>
    </row>
    <row r="226" spans="2:10" x14ac:dyDescent="0.25">
      <c r="B226" s="32">
        <f t="shared" ref="B226:B244" si="88">B225+1</f>
        <v>219</v>
      </c>
      <c r="C226" s="28"/>
      <c r="D226" s="28"/>
      <c r="E226" s="28">
        <v>223003</v>
      </c>
      <c r="F226" s="28"/>
      <c r="G226" s="12" t="s">
        <v>84</v>
      </c>
      <c r="H226" s="13">
        <v>6600</v>
      </c>
      <c r="I226" s="13"/>
      <c r="J226" s="13">
        <f t="shared" si="79"/>
        <v>6600</v>
      </c>
    </row>
    <row r="227" spans="2:10" x14ac:dyDescent="0.25">
      <c r="B227" s="32">
        <f t="shared" si="88"/>
        <v>220</v>
      </c>
      <c r="C227" s="25" t="s">
        <v>128</v>
      </c>
      <c r="D227" s="25"/>
      <c r="E227" s="25"/>
      <c r="F227" s="25"/>
      <c r="G227" s="5" t="s">
        <v>129</v>
      </c>
      <c r="H227" s="6">
        <f>H228</f>
        <v>1000</v>
      </c>
      <c r="I227" s="6">
        <f t="shared" ref="I227:I229" si="89">I228</f>
        <v>0</v>
      </c>
      <c r="J227" s="6">
        <f t="shared" si="79"/>
        <v>1000</v>
      </c>
    </row>
    <row r="228" spans="2:10" x14ac:dyDescent="0.25">
      <c r="B228" s="32">
        <f t="shared" si="88"/>
        <v>221</v>
      </c>
      <c r="C228" s="26">
        <v>220</v>
      </c>
      <c r="D228" s="26"/>
      <c r="E228" s="26"/>
      <c r="F228" s="26"/>
      <c r="G228" s="7" t="s">
        <v>28</v>
      </c>
      <c r="H228" s="8">
        <f>H229</f>
        <v>1000</v>
      </c>
      <c r="I228" s="8">
        <f t="shared" si="89"/>
        <v>0</v>
      </c>
      <c r="J228" s="8">
        <f t="shared" si="79"/>
        <v>1000</v>
      </c>
    </row>
    <row r="229" spans="2:10" x14ac:dyDescent="0.25">
      <c r="B229" s="32">
        <f t="shared" si="88"/>
        <v>222</v>
      </c>
      <c r="C229" s="27"/>
      <c r="D229" s="27">
        <v>223</v>
      </c>
      <c r="E229" s="27"/>
      <c r="F229" s="27"/>
      <c r="G229" s="9" t="s">
        <v>34</v>
      </c>
      <c r="H229" s="10">
        <f>H230</f>
        <v>1000</v>
      </c>
      <c r="I229" s="10">
        <f t="shared" si="89"/>
        <v>0</v>
      </c>
      <c r="J229" s="10">
        <f t="shared" si="79"/>
        <v>1000</v>
      </c>
    </row>
    <row r="230" spans="2:10" x14ac:dyDescent="0.25">
      <c r="B230" s="32">
        <f t="shared" si="88"/>
        <v>223</v>
      </c>
      <c r="C230" s="28"/>
      <c r="D230" s="28"/>
      <c r="E230" s="28">
        <v>223003</v>
      </c>
      <c r="F230" s="28"/>
      <c r="G230" s="12" t="s">
        <v>84</v>
      </c>
      <c r="H230" s="13">
        <v>1000</v>
      </c>
      <c r="I230" s="13"/>
      <c r="J230" s="13">
        <f t="shared" si="79"/>
        <v>1000</v>
      </c>
    </row>
    <row r="231" spans="2:10" x14ac:dyDescent="0.25">
      <c r="B231" s="32">
        <f t="shared" si="88"/>
        <v>224</v>
      </c>
      <c r="C231" s="25" t="s">
        <v>130</v>
      </c>
      <c r="D231" s="25"/>
      <c r="E231" s="25"/>
      <c r="F231" s="25"/>
      <c r="G231" s="5" t="s">
        <v>131</v>
      </c>
      <c r="H231" s="6">
        <f>H232</f>
        <v>2000</v>
      </c>
      <c r="I231" s="6">
        <f t="shared" ref="I231:I233" si="90">I232</f>
        <v>0</v>
      </c>
      <c r="J231" s="6">
        <f t="shared" si="79"/>
        <v>2000</v>
      </c>
    </row>
    <row r="232" spans="2:10" x14ac:dyDescent="0.25">
      <c r="B232" s="32">
        <f t="shared" si="88"/>
        <v>225</v>
      </c>
      <c r="C232" s="26">
        <v>220</v>
      </c>
      <c r="D232" s="26"/>
      <c r="E232" s="26"/>
      <c r="F232" s="26"/>
      <c r="G232" s="7" t="s">
        <v>28</v>
      </c>
      <c r="H232" s="8">
        <f>H233</f>
        <v>2000</v>
      </c>
      <c r="I232" s="8">
        <f t="shared" si="90"/>
        <v>0</v>
      </c>
      <c r="J232" s="8">
        <f t="shared" si="79"/>
        <v>2000</v>
      </c>
    </row>
    <row r="233" spans="2:10" x14ac:dyDescent="0.25">
      <c r="B233" s="32">
        <f t="shared" si="88"/>
        <v>226</v>
      </c>
      <c r="C233" s="27"/>
      <c r="D233" s="27">
        <v>223</v>
      </c>
      <c r="E233" s="27"/>
      <c r="F233" s="27"/>
      <c r="G233" s="9" t="s">
        <v>34</v>
      </c>
      <c r="H233" s="10">
        <f>H234</f>
        <v>2000</v>
      </c>
      <c r="I233" s="10">
        <f t="shared" si="90"/>
        <v>0</v>
      </c>
      <c r="J233" s="10">
        <f t="shared" si="79"/>
        <v>2000</v>
      </c>
    </row>
    <row r="234" spans="2:10" x14ac:dyDescent="0.25">
      <c r="B234" s="32">
        <f t="shared" si="88"/>
        <v>227</v>
      </c>
      <c r="C234" s="28"/>
      <c r="D234" s="28"/>
      <c r="E234" s="28">
        <v>223001</v>
      </c>
      <c r="F234" s="28"/>
      <c r="G234" s="12" t="s">
        <v>35</v>
      </c>
      <c r="H234" s="13">
        <v>2000</v>
      </c>
      <c r="I234" s="13"/>
      <c r="J234" s="13">
        <f t="shared" si="79"/>
        <v>2000</v>
      </c>
    </row>
    <row r="235" spans="2:10" x14ac:dyDescent="0.25">
      <c r="B235" s="32">
        <f t="shared" si="88"/>
        <v>228</v>
      </c>
      <c r="C235" s="25" t="s">
        <v>132</v>
      </c>
      <c r="D235" s="25"/>
      <c r="E235" s="25"/>
      <c r="F235" s="25"/>
      <c r="G235" s="5" t="s">
        <v>133</v>
      </c>
      <c r="H235" s="6">
        <f>H236</f>
        <v>5800</v>
      </c>
      <c r="I235" s="6">
        <f t="shared" ref="I235:I237" si="91">I236</f>
        <v>0</v>
      </c>
      <c r="J235" s="6">
        <f t="shared" si="79"/>
        <v>5800</v>
      </c>
    </row>
    <row r="236" spans="2:10" x14ac:dyDescent="0.25">
      <c r="B236" s="32">
        <f t="shared" si="88"/>
        <v>229</v>
      </c>
      <c r="C236" s="26">
        <v>220</v>
      </c>
      <c r="D236" s="26"/>
      <c r="E236" s="26"/>
      <c r="F236" s="26"/>
      <c r="G236" s="7" t="s">
        <v>28</v>
      </c>
      <c r="H236" s="8">
        <f>H237</f>
        <v>5800</v>
      </c>
      <c r="I236" s="8">
        <f t="shared" si="91"/>
        <v>0</v>
      </c>
      <c r="J236" s="8">
        <f t="shared" si="79"/>
        <v>5800</v>
      </c>
    </row>
    <row r="237" spans="2:10" x14ac:dyDescent="0.25">
      <c r="B237" s="32">
        <f t="shared" si="88"/>
        <v>230</v>
      </c>
      <c r="C237" s="27"/>
      <c r="D237" s="27">
        <v>223</v>
      </c>
      <c r="E237" s="27"/>
      <c r="F237" s="27"/>
      <c r="G237" s="9" t="s">
        <v>34</v>
      </c>
      <c r="H237" s="10">
        <f>H238</f>
        <v>5800</v>
      </c>
      <c r="I237" s="10">
        <f t="shared" si="91"/>
        <v>0</v>
      </c>
      <c r="J237" s="10">
        <f t="shared" si="79"/>
        <v>5800</v>
      </c>
    </row>
    <row r="238" spans="2:10" x14ac:dyDescent="0.25">
      <c r="B238" s="32">
        <f t="shared" si="88"/>
        <v>231</v>
      </c>
      <c r="C238" s="28"/>
      <c r="D238" s="28"/>
      <c r="E238" s="28">
        <v>223001</v>
      </c>
      <c r="F238" s="28"/>
      <c r="G238" s="12" t="s">
        <v>35</v>
      </c>
      <c r="H238" s="13">
        <v>5800</v>
      </c>
      <c r="I238" s="13"/>
      <c r="J238" s="13">
        <f t="shared" si="79"/>
        <v>5800</v>
      </c>
    </row>
    <row r="239" spans="2:10" x14ac:dyDescent="0.25">
      <c r="B239" s="32">
        <f t="shared" si="88"/>
        <v>232</v>
      </c>
      <c r="C239" s="25" t="s">
        <v>134</v>
      </c>
      <c r="D239" s="25"/>
      <c r="E239" s="25"/>
      <c r="F239" s="25"/>
      <c r="G239" s="5" t="s">
        <v>135</v>
      </c>
      <c r="H239" s="6">
        <f>H240</f>
        <v>3600</v>
      </c>
      <c r="I239" s="6">
        <f t="shared" ref="I239:I241" si="92">I240</f>
        <v>0</v>
      </c>
      <c r="J239" s="6">
        <f t="shared" si="79"/>
        <v>3600</v>
      </c>
    </row>
    <row r="240" spans="2:10" x14ac:dyDescent="0.25">
      <c r="B240" s="32">
        <f t="shared" si="88"/>
        <v>233</v>
      </c>
      <c r="C240" s="26">
        <v>210</v>
      </c>
      <c r="D240" s="26"/>
      <c r="E240" s="26"/>
      <c r="F240" s="26"/>
      <c r="G240" s="7" t="s">
        <v>24</v>
      </c>
      <c r="H240" s="8">
        <f>H241</f>
        <v>3600</v>
      </c>
      <c r="I240" s="8">
        <f t="shared" si="92"/>
        <v>0</v>
      </c>
      <c r="J240" s="8">
        <f t="shared" si="79"/>
        <v>3600</v>
      </c>
    </row>
    <row r="241" spans="2:10" x14ac:dyDescent="0.25">
      <c r="B241" s="32">
        <f t="shared" si="88"/>
        <v>234</v>
      </c>
      <c r="C241" s="27"/>
      <c r="D241" s="27">
        <v>212</v>
      </c>
      <c r="E241" s="27"/>
      <c r="F241" s="27"/>
      <c r="G241" s="9" t="s">
        <v>25</v>
      </c>
      <c r="H241" s="10">
        <f>H242</f>
        <v>3600</v>
      </c>
      <c r="I241" s="10">
        <f t="shared" si="92"/>
        <v>0</v>
      </c>
      <c r="J241" s="10">
        <f t="shared" si="79"/>
        <v>3600</v>
      </c>
    </row>
    <row r="242" spans="2:10" x14ac:dyDescent="0.25">
      <c r="B242" s="32">
        <f t="shared" si="88"/>
        <v>235</v>
      </c>
      <c r="C242" s="28"/>
      <c r="D242" s="28"/>
      <c r="E242" s="28">
        <v>212003</v>
      </c>
      <c r="F242" s="28"/>
      <c r="G242" s="12" t="s">
        <v>27</v>
      </c>
      <c r="H242" s="13">
        <v>3600</v>
      </c>
      <c r="I242" s="13"/>
      <c r="J242" s="13">
        <f t="shared" si="79"/>
        <v>3600</v>
      </c>
    </row>
    <row r="243" spans="2:10" x14ac:dyDescent="0.25">
      <c r="B243" s="32">
        <f t="shared" si="88"/>
        <v>236</v>
      </c>
      <c r="C243" s="25" t="s">
        <v>136</v>
      </c>
      <c r="D243" s="25"/>
      <c r="E243" s="25"/>
      <c r="F243" s="25"/>
      <c r="G243" s="5" t="s">
        <v>137</v>
      </c>
      <c r="H243" s="6">
        <f>H244</f>
        <v>108000</v>
      </c>
      <c r="I243" s="6">
        <f t="shared" ref="I243:I245" si="93">I244</f>
        <v>0</v>
      </c>
      <c r="J243" s="6">
        <f t="shared" si="79"/>
        <v>108000</v>
      </c>
    </row>
    <row r="244" spans="2:10" x14ac:dyDescent="0.25">
      <c r="B244" s="32">
        <f t="shared" si="88"/>
        <v>237</v>
      </c>
      <c r="C244" s="26">
        <v>220</v>
      </c>
      <c r="D244" s="26"/>
      <c r="E244" s="26"/>
      <c r="F244" s="26"/>
      <c r="G244" s="7" t="s">
        <v>28</v>
      </c>
      <c r="H244" s="8">
        <f>H245</f>
        <v>108000</v>
      </c>
      <c r="I244" s="8">
        <f t="shared" si="93"/>
        <v>0</v>
      </c>
      <c r="J244" s="8">
        <f t="shared" si="79"/>
        <v>108000</v>
      </c>
    </row>
    <row r="245" spans="2:10" x14ac:dyDescent="0.25">
      <c r="B245" s="32">
        <f t="shared" ref="B245:B308" si="94">B244+1</f>
        <v>238</v>
      </c>
      <c r="C245" s="27"/>
      <c r="D245" s="27">
        <v>223</v>
      </c>
      <c r="E245" s="27"/>
      <c r="F245" s="27"/>
      <c r="G245" s="9" t="s">
        <v>34</v>
      </c>
      <c r="H245" s="10">
        <f>H246</f>
        <v>108000</v>
      </c>
      <c r="I245" s="10">
        <f t="shared" si="93"/>
        <v>0</v>
      </c>
      <c r="J245" s="10">
        <f t="shared" si="79"/>
        <v>108000</v>
      </c>
    </row>
    <row r="246" spans="2:10" x14ac:dyDescent="0.25">
      <c r="B246" s="32">
        <f t="shared" si="94"/>
        <v>239</v>
      </c>
      <c r="C246" s="28"/>
      <c r="D246" s="28"/>
      <c r="E246" s="28">
        <v>223001</v>
      </c>
      <c r="F246" s="28"/>
      <c r="G246" s="12" t="s">
        <v>35</v>
      </c>
      <c r="H246" s="13">
        <v>108000</v>
      </c>
      <c r="I246" s="13"/>
      <c r="J246" s="13">
        <f t="shared" si="79"/>
        <v>108000</v>
      </c>
    </row>
    <row r="247" spans="2:10" x14ac:dyDescent="0.25">
      <c r="B247" s="32">
        <f t="shared" si="94"/>
        <v>240</v>
      </c>
      <c r="C247" s="25" t="s">
        <v>138</v>
      </c>
      <c r="D247" s="25"/>
      <c r="E247" s="25"/>
      <c r="F247" s="25"/>
      <c r="G247" s="5" t="s">
        <v>139</v>
      </c>
      <c r="H247" s="6">
        <f>H248</f>
        <v>21300</v>
      </c>
      <c r="I247" s="6">
        <f t="shared" ref="I247:I249" si="95">I248</f>
        <v>0</v>
      </c>
      <c r="J247" s="6">
        <f t="shared" si="79"/>
        <v>21300</v>
      </c>
    </row>
    <row r="248" spans="2:10" x14ac:dyDescent="0.25">
      <c r="B248" s="32">
        <f t="shared" si="94"/>
        <v>241</v>
      </c>
      <c r="C248" s="26">
        <v>220</v>
      </c>
      <c r="D248" s="26"/>
      <c r="E248" s="26"/>
      <c r="F248" s="26"/>
      <c r="G248" s="7" t="s">
        <v>28</v>
      </c>
      <c r="H248" s="8">
        <f>H249</f>
        <v>21300</v>
      </c>
      <c r="I248" s="8">
        <f t="shared" si="95"/>
        <v>0</v>
      </c>
      <c r="J248" s="8">
        <f t="shared" si="79"/>
        <v>21300</v>
      </c>
    </row>
    <row r="249" spans="2:10" x14ac:dyDescent="0.25">
      <c r="B249" s="32">
        <f t="shared" si="94"/>
        <v>242</v>
      </c>
      <c r="C249" s="27"/>
      <c r="D249" s="27">
        <v>223</v>
      </c>
      <c r="E249" s="27"/>
      <c r="F249" s="27"/>
      <c r="G249" s="9" t="s">
        <v>34</v>
      </c>
      <c r="H249" s="10">
        <f>H250</f>
        <v>21300</v>
      </c>
      <c r="I249" s="10">
        <f t="shared" si="95"/>
        <v>0</v>
      </c>
      <c r="J249" s="10">
        <f t="shared" si="79"/>
        <v>21300</v>
      </c>
    </row>
    <row r="250" spans="2:10" x14ac:dyDescent="0.25">
      <c r="B250" s="32">
        <f t="shared" si="94"/>
        <v>243</v>
      </c>
      <c r="C250" s="28"/>
      <c r="D250" s="28"/>
      <c r="E250" s="28">
        <v>223001</v>
      </c>
      <c r="F250" s="28"/>
      <c r="G250" s="12" t="s">
        <v>35</v>
      </c>
      <c r="H250" s="13">
        <v>21300</v>
      </c>
      <c r="I250" s="13"/>
      <c r="J250" s="13">
        <f t="shared" si="79"/>
        <v>21300</v>
      </c>
    </row>
    <row r="251" spans="2:10" x14ac:dyDescent="0.25">
      <c r="B251" s="32">
        <f t="shared" si="94"/>
        <v>244</v>
      </c>
      <c r="C251" s="25" t="s">
        <v>140</v>
      </c>
      <c r="D251" s="25"/>
      <c r="E251" s="25"/>
      <c r="F251" s="25"/>
      <c r="G251" s="5" t="s">
        <v>141</v>
      </c>
      <c r="H251" s="6">
        <f>H252</f>
        <v>500</v>
      </c>
      <c r="I251" s="6">
        <f t="shared" ref="I251:I253" si="96">I252</f>
        <v>0</v>
      </c>
      <c r="J251" s="6">
        <f t="shared" si="79"/>
        <v>500</v>
      </c>
    </row>
    <row r="252" spans="2:10" x14ac:dyDescent="0.25">
      <c r="B252" s="32">
        <f t="shared" si="94"/>
        <v>245</v>
      </c>
      <c r="C252" s="26">
        <v>210</v>
      </c>
      <c r="D252" s="26"/>
      <c r="E252" s="26"/>
      <c r="F252" s="26"/>
      <c r="G252" s="7" t="s">
        <v>24</v>
      </c>
      <c r="H252" s="8">
        <f>H253</f>
        <v>500</v>
      </c>
      <c r="I252" s="8">
        <f t="shared" si="96"/>
        <v>0</v>
      </c>
      <c r="J252" s="8">
        <f t="shared" si="79"/>
        <v>500</v>
      </c>
    </row>
    <row r="253" spans="2:10" x14ac:dyDescent="0.25">
      <c r="B253" s="32">
        <f t="shared" si="94"/>
        <v>246</v>
      </c>
      <c r="C253" s="27"/>
      <c r="D253" s="27">
        <v>212</v>
      </c>
      <c r="E253" s="27"/>
      <c r="F253" s="27"/>
      <c r="G253" s="9" t="s">
        <v>25</v>
      </c>
      <c r="H253" s="10">
        <f>H254</f>
        <v>500</v>
      </c>
      <c r="I253" s="10">
        <f t="shared" si="96"/>
        <v>0</v>
      </c>
      <c r="J253" s="10">
        <f t="shared" si="79"/>
        <v>500</v>
      </c>
    </row>
    <row r="254" spans="2:10" x14ac:dyDescent="0.25">
      <c r="B254" s="32">
        <f t="shared" si="94"/>
        <v>247</v>
      </c>
      <c r="C254" s="28"/>
      <c r="D254" s="28"/>
      <c r="E254" s="28">
        <v>212003</v>
      </c>
      <c r="F254" s="28"/>
      <c r="G254" s="12" t="s">
        <v>27</v>
      </c>
      <c r="H254" s="13">
        <v>500</v>
      </c>
      <c r="I254" s="13"/>
      <c r="J254" s="13">
        <f t="shared" si="79"/>
        <v>500</v>
      </c>
    </row>
    <row r="255" spans="2:10" x14ac:dyDescent="0.25">
      <c r="B255" s="32">
        <f t="shared" si="94"/>
        <v>248</v>
      </c>
      <c r="C255" s="25" t="s">
        <v>142</v>
      </c>
      <c r="D255" s="25"/>
      <c r="E255" s="25"/>
      <c r="F255" s="25"/>
      <c r="G255" s="5" t="s">
        <v>143</v>
      </c>
      <c r="H255" s="6">
        <f>H256</f>
        <v>45000</v>
      </c>
      <c r="I255" s="6">
        <f t="shared" ref="I255:I257" si="97">I256</f>
        <v>0</v>
      </c>
      <c r="J255" s="6">
        <f t="shared" si="79"/>
        <v>45000</v>
      </c>
    </row>
    <row r="256" spans="2:10" x14ac:dyDescent="0.25">
      <c r="B256" s="32">
        <f t="shared" si="94"/>
        <v>249</v>
      </c>
      <c r="C256" s="26">
        <v>220</v>
      </c>
      <c r="D256" s="26"/>
      <c r="E256" s="26"/>
      <c r="F256" s="26"/>
      <c r="G256" s="7" t="s">
        <v>28</v>
      </c>
      <c r="H256" s="8">
        <f>H257</f>
        <v>45000</v>
      </c>
      <c r="I256" s="8">
        <f t="shared" si="97"/>
        <v>0</v>
      </c>
      <c r="J256" s="8">
        <f t="shared" si="79"/>
        <v>45000</v>
      </c>
    </row>
    <row r="257" spans="2:10" x14ac:dyDescent="0.25">
      <c r="B257" s="32">
        <f t="shared" si="94"/>
        <v>250</v>
      </c>
      <c r="C257" s="27"/>
      <c r="D257" s="27">
        <v>223</v>
      </c>
      <c r="E257" s="27"/>
      <c r="F257" s="27"/>
      <c r="G257" s="9" t="s">
        <v>34</v>
      </c>
      <c r="H257" s="10">
        <f>H258</f>
        <v>45000</v>
      </c>
      <c r="I257" s="10">
        <f t="shared" si="97"/>
        <v>0</v>
      </c>
      <c r="J257" s="10">
        <f t="shared" si="79"/>
        <v>45000</v>
      </c>
    </row>
    <row r="258" spans="2:10" x14ac:dyDescent="0.25">
      <c r="B258" s="32">
        <f t="shared" si="94"/>
        <v>251</v>
      </c>
      <c r="C258" s="28"/>
      <c r="D258" s="28"/>
      <c r="E258" s="28">
        <v>223001</v>
      </c>
      <c r="F258" s="28"/>
      <c r="G258" s="12" t="s">
        <v>35</v>
      </c>
      <c r="H258" s="13">
        <v>45000</v>
      </c>
      <c r="I258" s="13"/>
      <c r="J258" s="13">
        <f t="shared" si="79"/>
        <v>45000</v>
      </c>
    </row>
    <row r="259" spans="2:10" x14ac:dyDescent="0.25">
      <c r="B259" s="32">
        <f t="shared" si="94"/>
        <v>252</v>
      </c>
      <c r="C259" s="25" t="s">
        <v>144</v>
      </c>
      <c r="D259" s="25"/>
      <c r="E259" s="25"/>
      <c r="F259" s="25"/>
      <c r="G259" s="5" t="s">
        <v>145</v>
      </c>
      <c r="H259" s="6">
        <f>H260</f>
        <v>53500</v>
      </c>
      <c r="I259" s="6">
        <f t="shared" ref="I259:I261" si="98">I260</f>
        <v>0</v>
      </c>
      <c r="J259" s="6">
        <f t="shared" si="79"/>
        <v>53500</v>
      </c>
    </row>
    <row r="260" spans="2:10" x14ac:dyDescent="0.25">
      <c r="B260" s="32">
        <f t="shared" si="94"/>
        <v>253</v>
      </c>
      <c r="C260" s="26">
        <v>220</v>
      </c>
      <c r="D260" s="26"/>
      <c r="E260" s="26"/>
      <c r="F260" s="26"/>
      <c r="G260" s="7" t="s">
        <v>28</v>
      </c>
      <c r="H260" s="8">
        <f>H261</f>
        <v>53500</v>
      </c>
      <c r="I260" s="8">
        <f t="shared" si="98"/>
        <v>0</v>
      </c>
      <c r="J260" s="8">
        <f t="shared" si="79"/>
        <v>53500</v>
      </c>
    </row>
    <row r="261" spans="2:10" x14ac:dyDescent="0.25">
      <c r="B261" s="32">
        <f t="shared" si="94"/>
        <v>254</v>
      </c>
      <c r="C261" s="27"/>
      <c r="D261" s="27">
        <v>223</v>
      </c>
      <c r="E261" s="27"/>
      <c r="F261" s="27"/>
      <c r="G261" s="9" t="s">
        <v>34</v>
      </c>
      <c r="H261" s="10">
        <f>H262</f>
        <v>53500</v>
      </c>
      <c r="I261" s="10">
        <f t="shared" si="98"/>
        <v>0</v>
      </c>
      <c r="J261" s="10">
        <f t="shared" si="79"/>
        <v>53500</v>
      </c>
    </row>
    <row r="262" spans="2:10" x14ac:dyDescent="0.25">
      <c r="B262" s="32">
        <f t="shared" si="94"/>
        <v>255</v>
      </c>
      <c r="C262" s="28"/>
      <c r="D262" s="28"/>
      <c r="E262" s="28">
        <v>223001</v>
      </c>
      <c r="F262" s="28"/>
      <c r="G262" s="12" t="s">
        <v>35</v>
      </c>
      <c r="H262" s="13">
        <v>53500</v>
      </c>
      <c r="I262" s="13"/>
      <c r="J262" s="13">
        <f t="shared" si="79"/>
        <v>53500</v>
      </c>
    </row>
    <row r="263" spans="2:10" x14ac:dyDescent="0.25">
      <c r="B263" s="32">
        <f t="shared" si="94"/>
        <v>256</v>
      </c>
      <c r="C263" s="25" t="s">
        <v>146</v>
      </c>
      <c r="D263" s="25"/>
      <c r="E263" s="25"/>
      <c r="F263" s="25"/>
      <c r="G263" s="5" t="s">
        <v>147</v>
      </c>
      <c r="H263" s="6">
        <f>H264</f>
        <v>92700</v>
      </c>
      <c r="I263" s="6">
        <f t="shared" ref="I263:I265" si="99">I264</f>
        <v>0</v>
      </c>
      <c r="J263" s="6">
        <f t="shared" si="79"/>
        <v>92700</v>
      </c>
    </row>
    <row r="264" spans="2:10" x14ac:dyDescent="0.25">
      <c r="B264" s="32">
        <f t="shared" si="94"/>
        <v>257</v>
      </c>
      <c r="C264" s="26">
        <v>220</v>
      </c>
      <c r="D264" s="26"/>
      <c r="E264" s="26"/>
      <c r="F264" s="26"/>
      <c r="G264" s="7" t="s">
        <v>28</v>
      </c>
      <c r="H264" s="8">
        <f>H265</f>
        <v>92700</v>
      </c>
      <c r="I264" s="8">
        <f t="shared" si="99"/>
        <v>0</v>
      </c>
      <c r="J264" s="8">
        <f t="shared" si="79"/>
        <v>92700</v>
      </c>
    </row>
    <row r="265" spans="2:10" x14ac:dyDescent="0.25">
      <c r="B265" s="32">
        <f t="shared" si="94"/>
        <v>258</v>
      </c>
      <c r="C265" s="27"/>
      <c r="D265" s="27">
        <v>223</v>
      </c>
      <c r="E265" s="27"/>
      <c r="F265" s="27"/>
      <c r="G265" s="9" t="s">
        <v>34</v>
      </c>
      <c r="H265" s="10">
        <f>H266</f>
        <v>92700</v>
      </c>
      <c r="I265" s="10">
        <f t="shared" si="99"/>
        <v>0</v>
      </c>
      <c r="J265" s="10">
        <f t="shared" ref="J265:J328" si="100">H265+I265</f>
        <v>92700</v>
      </c>
    </row>
    <row r="266" spans="2:10" x14ac:dyDescent="0.25">
      <c r="B266" s="32">
        <f t="shared" si="94"/>
        <v>259</v>
      </c>
      <c r="C266" s="28"/>
      <c r="D266" s="28"/>
      <c r="E266" s="28">
        <v>223001</v>
      </c>
      <c r="F266" s="28"/>
      <c r="G266" s="12" t="s">
        <v>35</v>
      </c>
      <c r="H266" s="13">
        <v>92700</v>
      </c>
      <c r="I266" s="13"/>
      <c r="J266" s="13">
        <f t="shared" si="100"/>
        <v>92700</v>
      </c>
    </row>
    <row r="267" spans="2:10" x14ac:dyDescent="0.25">
      <c r="B267" s="32">
        <f t="shared" si="94"/>
        <v>260</v>
      </c>
      <c r="C267" s="25" t="s">
        <v>148</v>
      </c>
      <c r="D267" s="25"/>
      <c r="E267" s="25"/>
      <c r="F267" s="25"/>
      <c r="G267" s="5" t="s">
        <v>149</v>
      </c>
      <c r="H267" s="6">
        <f>H268</f>
        <v>400</v>
      </c>
      <c r="I267" s="6">
        <f t="shared" ref="I267:I269" si="101">I268</f>
        <v>0</v>
      </c>
      <c r="J267" s="6">
        <f t="shared" si="100"/>
        <v>400</v>
      </c>
    </row>
    <row r="268" spans="2:10" x14ac:dyDescent="0.25">
      <c r="B268" s="32">
        <f t="shared" si="94"/>
        <v>261</v>
      </c>
      <c r="C268" s="26">
        <v>210</v>
      </c>
      <c r="D268" s="26"/>
      <c r="E268" s="26"/>
      <c r="F268" s="26"/>
      <c r="G268" s="7" t="s">
        <v>24</v>
      </c>
      <c r="H268" s="8">
        <f>H269</f>
        <v>400</v>
      </c>
      <c r="I268" s="8">
        <f t="shared" si="101"/>
        <v>0</v>
      </c>
      <c r="J268" s="8">
        <f t="shared" si="100"/>
        <v>400</v>
      </c>
    </row>
    <row r="269" spans="2:10" x14ac:dyDescent="0.25">
      <c r="B269" s="32">
        <f t="shared" si="94"/>
        <v>262</v>
      </c>
      <c r="C269" s="27"/>
      <c r="D269" s="27">
        <v>212</v>
      </c>
      <c r="E269" s="27"/>
      <c r="F269" s="27"/>
      <c r="G269" s="9" t="s">
        <v>25</v>
      </c>
      <c r="H269" s="10">
        <f>H270</f>
        <v>400</v>
      </c>
      <c r="I269" s="10">
        <f t="shared" si="101"/>
        <v>0</v>
      </c>
      <c r="J269" s="10">
        <f t="shared" si="100"/>
        <v>400</v>
      </c>
    </row>
    <row r="270" spans="2:10" x14ac:dyDescent="0.25">
      <c r="B270" s="32">
        <f t="shared" si="94"/>
        <v>263</v>
      </c>
      <c r="C270" s="28"/>
      <c r="D270" s="28"/>
      <c r="E270" s="28">
        <v>212003</v>
      </c>
      <c r="F270" s="28"/>
      <c r="G270" s="12" t="s">
        <v>27</v>
      </c>
      <c r="H270" s="13">
        <v>400</v>
      </c>
      <c r="I270" s="13"/>
      <c r="J270" s="13">
        <f t="shared" si="100"/>
        <v>400</v>
      </c>
    </row>
    <row r="271" spans="2:10" x14ac:dyDescent="0.25">
      <c r="B271" s="32">
        <f t="shared" si="94"/>
        <v>264</v>
      </c>
      <c r="C271" s="25" t="s">
        <v>150</v>
      </c>
      <c r="D271" s="25"/>
      <c r="E271" s="25"/>
      <c r="F271" s="25"/>
      <c r="G271" s="5" t="s">
        <v>151</v>
      </c>
      <c r="H271" s="6">
        <f>H272</f>
        <v>2500</v>
      </c>
      <c r="I271" s="6">
        <f t="shared" ref="I271:I273" si="102">I272</f>
        <v>0</v>
      </c>
      <c r="J271" s="6">
        <f t="shared" si="100"/>
        <v>2500</v>
      </c>
    </row>
    <row r="272" spans="2:10" x14ac:dyDescent="0.25">
      <c r="B272" s="32">
        <f t="shared" si="94"/>
        <v>265</v>
      </c>
      <c r="C272" s="26">
        <v>220</v>
      </c>
      <c r="D272" s="26"/>
      <c r="E272" s="26"/>
      <c r="F272" s="26"/>
      <c r="G272" s="7" t="s">
        <v>28</v>
      </c>
      <c r="H272" s="8">
        <f>H273</f>
        <v>2500</v>
      </c>
      <c r="I272" s="8">
        <f t="shared" si="102"/>
        <v>0</v>
      </c>
      <c r="J272" s="8">
        <f t="shared" si="100"/>
        <v>2500</v>
      </c>
    </row>
    <row r="273" spans="2:10" x14ac:dyDescent="0.25">
      <c r="B273" s="32">
        <f t="shared" si="94"/>
        <v>266</v>
      </c>
      <c r="C273" s="27"/>
      <c r="D273" s="27">
        <v>223</v>
      </c>
      <c r="E273" s="27"/>
      <c r="F273" s="27"/>
      <c r="G273" s="9" t="s">
        <v>34</v>
      </c>
      <c r="H273" s="10">
        <f>H274</f>
        <v>2500</v>
      </c>
      <c r="I273" s="10">
        <f t="shared" si="102"/>
        <v>0</v>
      </c>
      <c r="J273" s="10">
        <f t="shared" si="100"/>
        <v>2500</v>
      </c>
    </row>
    <row r="274" spans="2:10" x14ac:dyDescent="0.25">
      <c r="B274" s="32">
        <f t="shared" si="94"/>
        <v>267</v>
      </c>
      <c r="C274" s="28"/>
      <c r="D274" s="28"/>
      <c r="E274" s="28">
        <v>223001</v>
      </c>
      <c r="F274" s="28"/>
      <c r="G274" s="12" t="s">
        <v>35</v>
      </c>
      <c r="H274" s="13">
        <v>2500</v>
      </c>
      <c r="I274" s="13"/>
      <c r="J274" s="13">
        <f t="shared" si="100"/>
        <v>2500</v>
      </c>
    </row>
    <row r="275" spans="2:10" x14ac:dyDescent="0.25">
      <c r="B275" s="32">
        <f t="shared" si="94"/>
        <v>268</v>
      </c>
      <c r="C275" s="25" t="s">
        <v>152</v>
      </c>
      <c r="D275" s="25"/>
      <c r="E275" s="25"/>
      <c r="F275" s="25"/>
      <c r="G275" s="5" t="s">
        <v>153</v>
      </c>
      <c r="H275" s="6">
        <f>H276</f>
        <v>1900</v>
      </c>
      <c r="I275" s="6">
        <f t="shared" ref="I275:I277" si="103">I276</f>
        <v>0</v>
      </c>
      <c r="J275" s="6">
        <f t="shared" si="100"/>
        <v>1900</v>
      </c>
    </row>
    <row r="276" spans="2:10" x14ac:dyDescent="0.25">
      <c r="B276" s="32">
        <f t="shared" si="94"/>
        <v>269</v>
      </c>
      <c r="C276" s="26">
        <v>220</v>
      </c>
      <c r="D276" s="26"/>
      <c r="E276" s="26"/>
      <c r="F276" s="26"/>
      <c r="G276" s="7" t="s">
        <v>28</v>
      </c>
      <c r="H276" s="8">
        <f>H277</f>
        <v>1900</v>
      </c>
      <c r="I276" s="8">
        <f t="shared" si="103"/>
        <v>0</v>
      </c>
      <c r="J276" s="8">
        <f t="shared" si="100"/>
        <v>1900</v>
      </c>
    </row>
    <row r="277" spans="2:10" x14ac:dyDescent="0.25">
      <c r="B277" s="32">
        <f t="shared" si="94"/>
        <v>270</v>
      </c>
      <c r="C277" s="27"/>
      <c r="D277" s="27">
        <v>223</v>
      </c>
      <c r="E277" s="27"/>
      <c r="F277" s="27"/>
      <c r="G277" s="9" t="s">
        <v>34</v>
      </c>
      <c r="H277" s="10">
        <f>H278</f>
        <v>1900</v>
      </c>
      <c r="I277" s="10">
        <f t="shared" si="103"/>
        <v>0</v>
      </c>
      <c r="J277" s="10">
        <f t="shared" si="100"/>
        <v>1900</v>
      </c>
    </row>
    <row r="278" spans="2:10" x14ac:dyDescent="0.25">
      <c r="B278" s="32">
        <f t="shared" si="94"/>
        <v>271</v>
      </c>
      <c r="C278" s="28"/>
      <c r="D278" s="28"/>
      <c r="E278" s="28">
        <v>223001</v>
      </c>
      <c r="F278" s="28"/>
      <c r="G278" s="12" t="s">
        <v>35</v>
      </c>
      <c r="H278" s="13">
        <v>1900</v>
      </c>
      <c r="I278" s="13"/>
      <c r="J278" s="13">
        <f t="shared" si="100"/>
        <v>1900</v>
      </c>
    </row>
    <row r="279" spans="2:10" x14ac:dyDescent="0.25">
      <c r="B279" s="32">
        <f t="shared" si="94"/>
        <v>272</v>
      </c>
      <c r="C279" s="25" t="s">
        <v>154</v>
      </c>
      <c r="D279" s="25"/>
      <c r="E279" s="25"/>
      <c r="F279" s="25"/>
      <c r="G279" s="5" t="s">
        <v>155</v>
      </c>
      <c r="H279" s="6">
        <f>H280</f>
        <v>4900</v>
      </c>
      <c r="I279" s="6">
        <f t="shared" ref="I279:I281" si="104">I280</f>
        <v>0</v>
      </c>
      <c r="J279" s="6">
        <f t="shared" si="100"/>
        <v>4900</v>
      </c>
    </row>
    <row r="280" spans="2:10" x14ac:dyDescent="0.25">
      <c r="B280" s="32">
        <f t="shared" si="94"/>
        <v>273</v>
      </c>
      <c r="C280" s="26">
        <v>220</v>
      </c>
      <c r="D280" s="26"/>
      <c r="E280" s="26"/>
      <c r="F280" s="26"/>
      <c r="G280" s="7" t="s">
        <v>28</v>
      </c>
      <c r="H280" s="8">
        <f>H281</f>
        <v>4900</v>
      </c>
      <c r="I280" s="8">
        <f t="shared" si="104"/>
        <v>0</v>
      </c>
      <c r="J280" s="8">
        <f t="shared" si="100"/>
        <v>4900</v>
      </c>
    </row>
    <row r="281" spans="2:10" x14ac:dyDescent="0.25">
      <c r="B281" s="32">
        <f t="shared" si="94"/>
        <v>274</v>
      </c>
      <c r="C281" s="27"/>
      <c r="D281" s="27">
        <v>223</v>
      </c>
      <c r="E281" s="27"/>
      <c r="F281" s="27"/>
      <c r="G281" s="9" t="s">
        <v>34</v>
      </c>
      <c r="H281" s="10">
        <f>H282</f>
        <v>4900</v>
      </c>
      <c r="I281" s="10">
        <f t="shared" si="104"/>
        <v>0</v>
      </c>
      <c r="J281" s="10">
        <f t="shared" si="100"/>
        <v>4900</v>
      </c>
    </row>
    <row r="282" spans="2:10" x14ac:dyDescent="0.25">
      <c r="B282" s="32">
        <f t="shared" si="94"/>
        <v>275</v>
      </c>
      <c r="C282" s="28"/>
      <c r="D282" s="28"/>
      <c r="E282" s="28">
        <v>223001</v>
      </c>
      <c r="F282" s="28"/>
      <c r="G282" s="12" t="s">
        <v>35</v>
      </c>
      <c r="H282" s="13">
        <v>4900</v>
      </c>
      <c r="I282" s="13"/>
      <c r="J282" s="13">
        <f t="shared" si="100"/>
        <v>4900</v>
      </c>
    </row>
    <row r="283" spans="2:10" x14ac:dyDescent="0.25">
      <c r="B283" s="32">
        <f t="shared" si="94"/>
        <v>276</v>
      </c>
      <c r="C283" s="25" t="s">
        <v>156</v>
      </c>
      <c r="D283" s="25"/>
      <c r="E283" s="25"/>
      <c r="F283" s="25"/>
      <c r="G283" s="5" t="s">
        <v>157</v>
      </c>
      <c r="H283" s="6">
        <f>H284</f>
        <v>104000</v>
      </c>
      <c r="I283" s="6">
        <f t="shared" ref="I283:I285" si="105">I284</f>
        <v>0</v>
      </c>
      <c r="J283" s="6">
        <f t="shared" si="100"/>
        <v>104000</v>
      </c>
    </row>
    <row r="284" spans="2:10" x14ac:dyDescent="0.25">
      <c r="B284" s="32">
        <f t="shared" si="94"/>
        <v>277</v>
      </c>
      <c r="C284" s="26">
        <v>220</v>
      </c>
      <c r="D284" s="26"/>
      <c r="E284" s="26"/>
      <c r="F284" s="26"/>
      <c r="G284" s="7" t="s">
        <v>28</v>
      </c>
      <c r="H284" s="8">
        <f>H285</f>
        <v>104000</v>
      </c>
      <c r="I284" s="8">
        <f t="shared" si="105"/>
        <v>0</v>
      </c>
      <c r="J284" s="8">
        <f t="shared" si="100"/>
        <v>104000</v>
      </c>
    </row>
    <row r="285" spans="2:10" x14ac:dyDescent="0.25">
      <c r="B285" s="32">
        <f t="shared" si="94"/>
        <v>278</v>
      </c>
      <c r="C285" s="27"/>
      <c r="D285" s="27">
        <v>223</v>
      </c>
      <c r="E285" s="27"/>
      <c r="F285" s="27"/>
      <c r="G285" s="9" t="s">
        <v>34</v>
      </c>
      <c r="H285" s="10">
        <f>H286</f>
        <v>104000</v>
      </c>
      <c r="I285" s="10">
        <f t="shared" si="105"/>
        <v>0</v>
      </c>
      <c r="J285" s="10">
        <f t="shared" si="100"/>
        <v>104000</v>
      </c>
    </row>
    <row r="286" spans="2:10" x14ac:dyDescent="0.25">
      <c r="B286" s="32">
        <f t="shared" si="94"/>
        <v>279</v>
      </c>
      <c r="C286" s="28"/>
      <c r="D286" s="28"/>
      <c r="E286" s="28">
        <v>223001</v>
      </c>
      <c r="F286" s="28"/>
      <c r="G286" s="12" t="s">
        <v>35</v>
      </c>
      <c r="H286" s="13">
        <v>104000</v>
      </c>
      <c r="I286" s="13"/>
      <c r="J286" s="13">
        <f t="shared" si="100"/>
        <v>104000</v>
      </c>
    </row>
    <row r="287" spans="2:10" x14ac:dyDescent="0.25">
      <c r="B287" s="32">
        <f t="shared" si="94"/>
        <v>280</v>
      </c>
      <c r="C287" s="25" t="s">
        <v>158</v>
      </c>
      <c r="D287" s="25"/>
      <c r="E287" s="25"/>
      <c r="F287" s="25"/>
      <c r="G287" s="5" t="s">
        <v>159</v>
      </c>
      <c r="H287" s="6">
        <f>H288</f>
        <v>10500</v>
      </c>
      <c r="I287" s="6">
        <f t="shared" ref="I287:I289" si="106">I288</f>
        <v>0</v>
      </c>
      <c r="J287" s="6">
        <f t="shared" si="100"/>
        <v>10500</v>
      </c>
    </row>
    <row r="288" spans="2:10" x14ac:dyDescent="0.25">
      <c r="B288" s="32">
        <f t="shared" si="94"/>
        <v>281</v>
      </c>
      <c r="C288" s="26">
        <v>220</v>
      </c>
      <c r="D288" s="26"/>
      <c r="E288" s="26"/>
      <c r="F288" s="26"/>
      <c r="G288" s="7" t="s">
        <v>28</v>
      </c>
      <c r="H288" s="8">
        <f>H289</f>
        <v>10500</v>
      </c>
      <c r="I288" s="8">
        <f t="shared" si="106"/>
        <v>0</v>
      </c>
      <c r="J288" s="8">
        <f t="shared" si="100"/>
        <v>10500</v>
      </c>
    </row>
    <row r="289" spans="2:10" x14ac:dyDescent="0.25">
      <c r="B289" s="32">
        <f t="shared" si="94"/>
        <v>282</v>
      </c>
      <c r="C289" s="27"/>
      <c r="D289" s="27">
        <v>223</v>
      </c>
      <c r="E289" s="27"/>
      <c r="F289" s="27"/>
      <c r="G289" s="9" t="s">
        <v>34</v>
      </c>
      <c r="H289" s="10">
        <f>H290</f>
        <v>10500</v>
      </c>
      <c r="I289" s="10">
        <f t="shared" si="106"/>
        <v>0</v>
      </c>
      <c r="J289" s="10">
        <f t="shared" si="100"/>
        <v>10500</v>
      </c>
    </row>
    <row r="290" spans="2:10" x14ac:dyDescent="0.25">
      <c r="B290" s="32">
        <f t="shared" si="94"/>
        <v>283</v>
      </c>
      <c r="C290" s="28"/>
      <c r="D290" s="28"/>
      <c r="E290" s="28">
        <v>223001</v>
      </c>
      <c r="F290" s="28"/>
      <c r="G290" s="12" t="s">
        <v>35</v>
      </c>
      <c r="H290" s="13">
        <v>10500</v>
      </c>
      <c r="I290" s="13"/>
      <c r="J290" s="13">
        <f t="shared" si="100"/>
        <v>10500</v>
      </c>
    </row>
    <row r="291" spans="2:10" x14ac:dyDescent="0.25">
      <c r="B291" s="32">
        <f t="shared" si="94"/>
        <v>284</v>
      </c>
      <c r="C291" s="25" t="s">
        <v>160</v>
      </c>
      <c r="D291" s="25"/>
      <c r="E291" s="25"/>
      <c r="F291" s="25"/>
      <c r="G291" s="5" t="s">
        <v>161</v>
      </c>
      <c r="H291" s="6">
        <f>H292</f>
        <v>27000</v>
      </c>
      <c r="I291" s="6">
        <f t="shared" ref="I291:I293" si="107">I292</f>
        <v>0</v>
      </c>
      <c r="J291" s="6">
        <f t="shared" si="100"/>
        <v>27000</v>
      </c>
    </row>
    <row r="292" spans="2:10" x14ac:dyDescent="0.25">
      <c r="B292" s="32">
        <f t="shared" si="94"/>
        <v>285</v>
      </c>
      <c r="C292" s="26">
        <v>220</v>
      </c>
      <c r="D292" s="26"/>
      <c r="E292" s="26"/>
      <c r="F292" s="26"/>
      <c r="G292" s="7" t="s">
        <v>28</v>
      </c>
      <c r="H292" s="8">
        <f>H293</f>
        <v>27000</v>
      </c>
      <c r="I292" s="8">
        <f t="shared" si="107"/>
        <v>0</v>
      </c>
      <c r="J292" s="8">
        <f t="shared" si="100"/>
        <v>27000</v>
      </c>
    </row>
    <row r="293" spans="2:10" x14ac:dyDescent="0.25">
      <c r="B293" s="32">
        <f t="shared" si="94"/>
        <v>286</v>
      </c>
      <c r="C293" s="27"/>
      <c r="D293" s="27">
        <v>223</v>
      </c>
      <c r="E293" s="27"/>
      <c r="F293" s="27"/>
      <c r="G293" s="9" t="s">
        <v>34</v>
      </c>
      <c r="H293" s="10">
        <f>H294</f>
        <v>27000</v>
      </c>
      <c r="I293" s="10">
        <f t="shared" si="107"/>
        <v>0</v>
      </c>
      <c r="J293" s="10">
        <f t="shared" si="100"/>
        <v>27000</v>
      </c>
    </row>
    <row r="294" spans="2:10" x14ac:dyDescent="0.25">
      <c r="B294" s="32">
        <f t="shared" si="94"/>
        <v>287</v>
      </c>
      <c r="C294" s="28"/>
      <c r="D294" s="28"/>
      <c r="E294" s="28">
        <v>223001</v>
      </c>
      <c r="F294" s="28"/>
      <c r="G294" s="12" t="s">
        <v>35</v>
      </c>
      <c r="H294" s="13">
        <v>27000</v>
      </c>
      <c r="I294" s="13"/>
      <c r="J294" s="13">
        <f t="shared" si="100"/>
        <v>27000</v>
      </c>
    </row>
    <row r="295" spans="2:10" x14ac:dyDescent="0.25">
      <c r="B295" s="32">
        <f t="shared" si="94"/>
        <v>288</v>
      </c>
      <c r="C295" s="25" t="s">
        <v>162</v>
      </c>
      <c r="D295" s="25"/>
      <c r="E295" s="25"/>
      <c r="F295" s="25"/>
      <c r="G295" s="5" t="s">
        <v>163</v>
      </c>
      <c r="H295" s="6">
        <f>H297</f>
        <v>83000</v>
      </c>
      <c r="I295" s="6">
        <f t="shared" ref="I295" si="108">I297</f>
        <v>0</v>
      </c>
      <c r="J295" s="6">
        <f t="shared" si="100"/>
        <v>83000</v>
      </c>
    </row>
    <row r="296" spans="2:10" x14ac:dyDescent="0.25">
      <c r="B296" s="32">
        <f t="shared" si="94"/>
        <v>289</v>
      </c>
      <c r="C296" s="26">
        <v>220</v>
      </c>
      <c r="D296" s="26"/>
      <c r="E296" s="26"/>
      <c r="F296" s="26"/>
      <c r="G296" s="7" t="s">
        <v>28</v>
      </c>
      <c r="H296" s="8">
        <f>H297</f>
        <v>83000</v>
      </c>
      <c r="I296" s="8">
        <f t="shared" ref="I296:I297" si="109">I297</f>
        <v>0</v>
      </c>
      <c r="J296" s="8">
        <f t="shared" si="100"/>
        <v>83000</v>
      </c>
    </row>
    <row r="297" spans="2:10" x14ac:dyDescent="0.25">
      <c r="B297" s="32">
        <f t="shared" si="94"/>
        <v>290</v>
      </c>
      <c r="C297" s="27"/>
      <c r="D297" s="27">
        <v>223</v>
      </c>
      <c r="E297" s="27"/>
      <c r="F297" s="27"/>
      <c r="G297" s="9" t="s">
        <v>34</v>
      </c>
      <c r="H297" s="10">
        <f>H298</f>
        <v>83000</v>
      </c>
      <c r="I297" s="10">
        <f t="shared" si="109"/>
        <v>0</v>
      </c>
      <c r="J297" s="10">
        <f t="shared" si="100"/>
        <v>83000</v>
      </c>
    </row>
    <row r="298" spans="2:10" x14ac:dyDescent="0.25">
      <c r="B298" s="32">
        <f t="shared" si="94"/>
        <v>291</v>
      </c>
      <c r="C298" s="28"/>
      <c r="D298" s="28"/>
      <c r="E298" s="28">
        <v>223001</v>
      </c>
      <c r="F298" s="28"/>
      <c r="G298" s="12" t="s">
        <v>35</v>
      </c>
      <c r="H298" s="13">
        <v>83000</v>
      </c>
      <c r="I298" s="13"/>
      <c r="J298" s="13">
        <f t="shared" si="100"/>
        <v>83000</v>
      </c>
    </row>
    <row r="299" spans="2:10" x14ac:dyDescent="0.25">
      <c r="B299" s="32">
        <f t="shared" si="94"/>
        <v>292</v>
      </c>
      <c r="C299" s="25" t="s">
        <v>164</v>
      </c>
      <c r="D299" s="25"/>
      <c r="E299" s="25"/>
      <c r="F299" s="25"/>
      <c r="G299" s="5" t="s">
        <v>165</v>
      </c>
      <c r="H299" s="6">
        <f>H300</f>
        <v>5500</v>
      </c>
      <c r="I299" s="6">
        <f t="shared" ref="I299:I301" si="110">I300</f>
        <v>0</v>
      </c>
      <c r="J299" s="6">
        <f t="shared" si="100"/>
        <v>5500</v>
      </c>
    </row>
    <row r="300" spans="2:10" x14ac:dyDescent="0.25">
      <c r="B300" s="32">
        <f t="shared" si="94"/>
        <v>293</v>
      </c>
      <c r="C300" s="26">
        <v>220</v>
      </c>
      <c r="D300" s="26"/>
      <c r="E300" s="26"/>
      <c r="F300" s="26"/>
      <c r="G300" s="7" t="s">
        <v>28</v>
      </c>
      <c r="H300" s="8">
        <f>H301</f>
        <v>5500</v>
      </c>
      <c r="I300" s="8">
        <f t="shared" si="110"/>
        <v>0</v>
      </c>
      <c r="J300" s="8">
        <f t="shared" si="100"/>
        <v>5500</v>
      </c>
    </row>
    <row r="301" spans="2:10" x14ac:dyDescent="0.25">
      <c r="B301" s="32">
        <f t="shared" si="94"/>
        <v>294</v>
      </c>
      <c r="C301" s="27"/>
      <c r="D301" s="27">
        <v>223</v>
      </c>
      <c r="E301" s="27"/>
      <c r="F301" s="27"/>
      <c r="G301" s="9" t="s">
        <v>34</v>
      </c>
      <c r="H301" s="10">
        <f>H302</f>
        <v>5500</v>
      </c>
      <c r="I301" s="10">
        <f t="shared" si="110"/>
        <v>0</v>
      </c>
      <c r="J301" s="10">
        <f t="shared" si="100"/>
        <v>5500</v>
      </c>
    </row>
    <row r="302" spans="2:10" x14ac:dyDescent="0.25">
      <c r="B302" s="32">
        <f t="shared" si="94"/>
        <v>295</v>
      </c>
      <c r="C302" s="28"/>
      <c r="D302" s="28"/>
      <c r="E302" s="28">
        <v>223001</v>
      </c>
      <c r="F302" s="28"/>
      <c r="G302" s="12" t="s">
        <v>35</v>
      </c>
      <c r="H302" s="13">
        <v>5500</v>
      </c>
      <c r="I302" s="13"/>
      <c r="J302" s="13">
        <f t="shared" si="100"/>
        <v>5500</v>
      </c>
    </row>
    <row r="303" spans="2:10" x14ac:dyDescent="0.25">
      <c r="B303" s="32">
        <f t="shared" si="94"/>
        <v>296</v>
      </c>
      <c r="C303" s="25" t="s">
        <v>166</v>
      </c>
      <c r="D303" s="25"/>
      <c r="E303" s="25"/>
      <c r="F303" s="25"/>
      <c r="G303" s="5" t="s">
        <v>412</v>
      </c>
      <c r="H303" s="6">
        <f>H304</f>
        <v>7300</v>
      </c>
      <c r="I303" s="6">
        <f t="shared" ref="I303:I305" si="111">I304</f>
        <v>0</v>
      </c>
      <c r="J303" s="6">
        <f t="shared" si="100"/>
        <v>7300</v>
      </c>
    </row>
    <row r="304" spans="2:10" x14ac:dyDescent="0.25">
      <c r="B304" s="32">
        <f t="shared" si="94"/>
        <v>297</v>
      </c>
      <c r="C304" s="26">
        <v>220</v>
      </c>
      <c r="D304" s="26"/>
      <c r="E304" s="26"/>
      <c r="F304" s="26"/>
      <c r="G304" s="7" t="s">
        <v>28</v>
      </c>
      <c r="H304" s="8">
        <f>H305</f>
        <v>7300</v>
      </c>
      <c r="I304" s="8">
        <f t="shared" si="111"/>
        <v>0</v>
      </c>
      <c r="J304" s="8">
        <f t="shared" si="100"/>
        <v>7300</v>
      </c>
    </row>
    <row r="305" spans="2:10" x14ac:dyDescent="0.25">
      <c r="B305" s="32">
        <f t="shared" si="94"/>
        <v>298</v>
      </c>
      <c r="C305" s="27"/>
      <c r="D305" s="27">
        <v>223</v>
      </c>
      <c r="E305" s="27"/>
      <c r="F305" s="27"/>
      <c r="G305" s="9" t="s">
        <v>34</v>
      </c>
      <c r="H305" s="10">
        <f>H306</f>
        <v>7300</v>
      </c>
      <c r="I305" s="10">
        <f t="shared" si="111"/>
        <v>0</v>
      </c>
      <c r="J305" s="10">
        <f t="shared" si="100"/>
        <v>7300</v>
      </c>
    </row>
    <row r="306" spans="2:10" ht="15.75" thickBot="1" x14ac:dyDescent="0.3">
      <c r="B306" s="32">
        <f t="shared" si="94"/>
        <v>299</v>
      </c>
      <c r="C306" s="28"/>
      <c r="D306" s="28"/>
      <c r="E306" s="28">
        <v>223001</v>
      </c>
      <c r="F306" s="28"/>
      <c r="G306" s="12" t="s">
        <v>35</v>
      </c>
      <c r="H306" s="13">
        <v>7300</v>
      </c>
      <c r="I306" s="13"/>
      <c r="J306" s="13">
        <f t="shared" si="100"/>
        <v>7300</v>
      </c>
    </row>
    <row r="307" spans="2:10" ht="15.75" thickBot="1" x14ac:dyDescent="0.3">
      <c r="B307" s="32">
        <f t="shared" si="94"/>
        <v>300</v>
      </c>
      <c r="C307" s="24">
        <v>6</v>
      </c>
      <c r="D307" s="24"/>
      <c r="E307" s="24"/>
      <c r="F307" s="24"/>
      <c r="G307" s="3" t="s">
        <v>167</v>
      </c>
      <c r="H307" s="4">
        <f>H308+H311+H315+H318</f>
        <v>24800</v>
      </c>
      <c r="I307" s="4">
        <f t="shared" ref="I307" si="112">I308+I311+I315+I318</f>
        <v>0</v>
      </c>
      <c r="J307" s="4">
        <f t="shared" si="100"/>
        <v>24800</v>
      </c>
    </row>
    <row r="308" spans="2:10" x14ac:dyDescent="0.25">
      <c r="B308" s="32">
        <f t="shared" si="94"/>
        <v>301</v>
      </c>
      <c r="C308" s="25">
        <v>210</v>
      </c>
      <c r="D308" s="25"/>
      <c r="E308" s="25"/>
      <c r="F308" s="25"/>
      <c r="G308" s="5" t="s">
        <v>24</v>
      </c>
      <c r="H308" s="6">
        <f>H309</f>
        <v>1345</v>
      </c>
      <c r="I308" s="6">
        <f t="shared" ref="I308:I309" si="113">I309</f>
        <v>0</v>
      </c>
      <c r="J308" s="6">
        <f t="shared" si="100"/>
        <v>1345</v>
      </c>
    </row>
    <row r="309" spans="2:10" x14ac:dyDescent="0.25">
      <c r="B309" s="32">
        <f t="shared" ref="B309:B315" si="114">B308+1</f>
        <v>302</v>
      </c>
      <c r="C309" s="26"/>
      <c r="D309" s="26">
        <v>212</v>
      </c>
      <c r="E309" s="26"/>
      <c r="F309" s="26"/>
      <c r="G309" s="7" t="s">
        <v>25</v>
      </c>
      <c r="H309" s="8">
        <f>H310</f>
        <v>1345</v>
      </c>
      <c r="I309" s="8">
        <f t="shared" si="113"/>
        <v>0</v>
      </c>
      <c r="J309" s="8">
        <f t="shared" si="100"/>
        <v>1345</v>
      </c>
    </row>
    <row r="310" spans="2:10" x14ac:dyDescent="0.25">
      <c r="B310" s="32">
        <f t="shared" si="114"/>
        <v>303</v>
      </c>
      <c r="C310" s="27"/>
      <c r="D310" s="27"/>
      <c r="E310" s="27">
        <v>212003</v>
      </c>
      <c r="F310" s="27"/>
      <c r="G310" s="9" t="s">
        <v>27</v>
      </c>
      <c r="H310" s="10">
        <v>1345</v>
      </c>
      <c r="I310" s="10"/>
      <c r="J310" s="10">
        <f t="shared" si="100"/>
        <v>1345</v>
      </c>
    </row>
    <row r="311" spans="2:10" x14ac:dyDescent="0.25">
      <c r="B311" s="32">
        <f t="shared" si="114"/>
        <v>304</v>
      </c>
      <c r="C311" s="25">
        <v>220</v>
      </c>
      <c r="D311" s="25"/>
      <c r="E311" s="25"/>
      <c r="F311" s="25"/>
      <c r="G311" s="5" t="s">
        <v>28</v>
      </c>
      <c r="H311" s="6">
        <f>H312</f>
        <v>23000</v>
      </c>
      <c r="I311" s="6">
        <f t="shared" ref="I311" si="115">I312</f>
        <v>0</v>
      </c>
      <c r="J311" s="6">
        <f t="shared" si="100"/>
        <v>23000</v>
      </c>
    </row>
    <row r="312" spans="2:10" x14ac:dyDescent="0.25">
      <c r="B312" s="32">
        <f t="shared" si="114"/>
        <v>305</v>
      </c>
      <c r="C312" s="26"/>
      <c r="D312" s="26">
        <v>223</v>
      </c>
      <c r="E312" s="26"/>
      <c r="F312" s="26"/>
      <c r="G312" s="7" t="s">
        <v>34</v>
      </c>
      <c r="H312" s="8">
        <f>H313+H314</f>
        <v>23000</v>
      </c>
      <c r="I312" s="8">
        <f t="shared" ref="I312" si="116">I313+I314</f>
        <v>0</v>
      </c>
      <c r="J312" s="8">
        <f t="shared" si="100"/>
        <v>23000</v>
      </c>
    </row>
    <row r="313" spans="2:10" x14ac:dyDescent="0.25">
      <c r="B313" s="32">
        <f t="shared" si="114"/>
        <v>306</v>
      </c>
      <c r="C313" s="27"/>
      <c r="D313" s="27"/>
      <c r="E313" s="27">
        <v>223001</v>
      </c>
      <c r="F313" s="27"/>
      <c r="G313" s="9" t="s">
        <v>35</v>
      </c>
      <c r="H313" s="10">
        <v>11000</v>
      </c>
      <c r="I313" s="10"/>
      <c r="J313" s="10">
        <f t="shared" si="100"/>
        <v>11000</v>
      </c>
    </row>
    <row r="314" spans="2:10" x14ac:dyDescent="0.25">
      <c r="B314" s="32">
        <f t="shared" si="114"/>
        <v>307</v>
      </c>
      <c r="C314" s="27"/>
      <c r="D314" s="27"/>
      <c r="E314" s="27">
        <v>223002</v>
      </c>
      <c r="F314" s="27"/>
      <c r="G314" s="9" t="s">
        <v>47</v>
      </c>
      <c r="H314" s="10">
        <v>12000</v>
      </c>
      <c r="I314" s="10"/>
      <c r="J314" s="10">
        <f t="shared" si="100"/>
        <v>12000</v>
      </c>
    </row>
    <row r="315" spans="2:10" x14ac:dyDescent="0.25">
      <c r="B315" s="32">
        <f t="shared" si="114"/>
        <v>308</v>
      </c>
      <c r="C315" s="25">
        <v>240</v>
      </c>
      <c r="D315" s="25"/>
      <c r="E315" s="25"/>
      <c r="F315" s="25"/>
      <c r="G315" s="5" t="s">
        <v>38</v>
      </c>
      <c r="H315" s="6">
        <f>H316</f>
        <v>5</v>
      </c>
      <c r="I315" s="6">
        <f t="shared" ref="I315:I316" si="117">I316</f>
        <v>0</v>
      </c>
      <c r="J315" s="6">
        <f t="shared" si="100"/>
        <v>5</v>
      </c>
    </row>
    <row r="316" spans="2:10" x14ac:dyDescent="0.25">
      <c r="B316" s="32">
        <f t="shared" ref="B316:B379" si="118">B315+1</f>
        <v>309</v>
      </c>
      <c r="C316" s="26"/>
      <c r="D316" s="26">
        <v>242</v>
      </c>
      <c r="E316" s="26"/>
      <c r="F316" s="26"/>
      <c r="G316" s="7" t="s">
        <v>39</v>
      </c>
      <c r="H316" s="8">
        <f>H317</f>
        <v>5</v>
      </c>
      <c r="I316" s="8">
        <f t="shared" si="117"/>
        <v>0</v>
      </c>
      <c r="J316" s="8">
        <f t="shared" si="100"/>
        <v>5</v>
      </c>
    </row>
    <row r="317" spans="2:10" x14ac:dyDescent="0.25">
      <c r="B317" s="32">
        <f t="shared" si="118"/>
        <v>310</v>
      </c>
      <c r="C317" s="27"/>
      <c r="D317" s="27"/>
      <c r="E317" s="27">
        <v>242</v>
      </c>
      <c r="F317" s="27"/>
      <c r="G317" s="9" t="s">
        <v>39</v>
      </c>
      <c r="H317" s="10">
        <v>5</v>
      </c>
      <c r="I317" s="10"/>
      <c r="J317" s="10">
        <f t="shared" si="100"/>
        <v>5</v>
      </c>
    </row>
    <row r="318" spans="2:10" x14ac:dyDescent="0.25">
      <c r="B318" s="32">
        <f t="shared" si="118"/>
        <v>311</v>
      </c>
      <c r="C318" s="25">
        <v>290</v>
      </c>
      <c r="D318" s="25"/>
      <c r="E318" s="25"/>
      <c r="F318" s="25"/>
      <c r="G318" s="5" t="s">
        <v>40</v>
      </c>
      <c r="H318" s="6">
        <f>H319</f>
        <v>450</v>
      </c>
      <c r="I318" s="6">
        <f t="shared" ref="I318:I319" si="119">I319</f>
        <v>0</v>
      </c>
      <c r="J318" s="6">
        <f t="shared" si="100"/>
        <v>450</v>
      </c>
    </row>
    <row r="319" spans="2:10" x14ac:dyDescent="0.25">
      <c r="B319" s="32">
        <f t="shared" si="118"/>
        <v>312</v>
      </c>
      <c r="C319" s="26"/>
      <c r="D319" s="26">
        <v>292</v>
      </c>
      <c r="E319" s="26"/>
      <c r="F319" s="26"/>
      <c r="G319" s="7" t="s">
        <v>41</v>
      </c>
      <c r="H319" s="8">
        <f>H320</f>
        <v>450</v>
      </c>
      <c r="I319" s="8">
        <f t="shared" si="119"/>
        <v>0</v>
      </c>
      <c r="J319" s="8">
        <f t="shared" si="100"/>
        <v>450</v>
      </c>
    </row>
    <row r="320" spans="2:10" ht="15.75" thickBot="1" x14ac:dyDescent="0.3">
      <c r="B320" s="32">
        <f t="shared" si="118"/>
        <v>313</v>
      </c>
      <c r="C320" s="27"/>
      <c r="D320" s="27"/>
      <c r="E320" s="27">
        <v>292012</v>
      </c>
      <c r="F320" s="27"/>
      <c r="G320" s="9" t="s">
        <v>43</v>
      </c>
      <c r="H320" s="10">
        <v>450</v>
      </c>
      <c r="I320" s="10"/>
      <c r="J320" s="10">
        <f t="shared" si="100"/>
        <v>450</v>
      </c>
    </row>
    <row r="321" spans="2:10" ht="15.75" thickBot="1" x14ac:dyDescent="0.3">
      <c r="B321" s="32">
        <f t="shared" si="118"/>
        <v>314</v>
      </c>
      <c r="C321" s="24">
        <v>7</v>
      </c>
      <c r="D321" s="24"/>
      <c r="E321" s="24"/>
      <c r="F321" s="24"/>
      <c r="G321" s="3" t="s">
        <v>168</v>
      </c>
      <c r="H321" s="4">
        <f>H322+H325</f>
        <v>25000</v>
      </c>
      <c r="I321" s="4">
        <f t="shared" ref="I321" si="120">I322+I325</f>
        <v>0</v>
      </c>
      <c r="J321" s="4">
        <f t="shared" si="100"/>
        <v>25000</v>
      </c>
    </row>
    <row r="322" spans="2:10" x14ac:dyDescent="0.25">
      <c r="B322" s="32">
        <f t="shared" si="118"/>
        <v>315</v>
      </c>
      <c r="C322" s="25">
        <v>210</v>
      </c>
      <c r="D322" s="25"/>
      <c r="E322" s="25"/>
      <c r="F322" s="25"/>
      <c r="G322" s="5" t="s">
        <v>24</v>
      </c>
      <c r="H322" s="6">
        <f>H323</f>
        <v>2000</v>
      </c>
      <c r="I322" s="6">
        <f t="shared" ref="I322:I323" si="121">I323</f>
        <v>0</v>
      </c>
      <c r="J322" s="6">
        <f t="shared" si="100"/>
        <v>2000</v>
      </c>
    </row>
    <row r="323" spans="2:10" x14ac:dyDescent="0.25">
      <c r="B323" s="32">
        <f t="shared" si="118"/>
        <v>316</v>
      </c>
      <c r="C323" s="26"/>
      <c r="D323" s="26">
        <v>212</v>
      </c>
      <c r="E323" s="26"/>
      <c r="F323" s="26"/>
      <c r="G323" s="7" t="s">
        <v>25</v>
      </c>
      <c r="H323" s="8">
        <f>H324</f>
        <v>2000</v>
      </c>
      <c r="I323" s="8">
        <f t="shared" si="121"/>
        <v>0</v>
      </c>
      <c r="J323" s="8">
        <f t="shared" si="100"/>
        <v>2000</v>
      </c>
    </row>
    <row r="324" spans="2:10" x14ac:dyDescent="0.25">
      <c r="B324" s="32">
        <f t="shared" si="118"/>
        <v>317</v>
      </c>
      <c r="C324" s="27"/>
      <c r="D324" s="27"/>
      <c r="E324" s="27">
        <v>212003</v>
      </c>
      <c r="F324" s="27"/>
      <c r="G324" s="9" t="s">
        <v>27</v>
      </c>
      <c r="H324" s="10">
        <v>2000</v>
      </c>
      <c r="I324" s="10"/>
      <c r="J324" s="10">
        <f t="shared" si="100"/>
        <v>2000</v>
      </c>
    </row>
    <row r="325" spans="2:10" x14ac:dyDescent="0.25">
      <c r="B325" s="32">
        <f t="shared" si="118"/>
        <v>318</v>
      </c>
      <c r="C325" s="25">
        <v>220</v>
      </c>
      <c r="D325" s="25"/>
      <c r="E325" s="25"/>
      <c r="F325" s="25"/>
      <c r="G325" s="5" t="s">
        <v>28</v>
      </c>
      <c r="H325" s="6">
        <f>H326</f>
        <v>23000</v>
      </c>
      <c r="I325" s="6">
        <f t="shared" ref="I325" si="122">I326</f>
        <v>0</v>
      </c>
      <c r="J325" s="6">
        <f t="shared" si="100"/>
        <v>23000</v>
      </c>
    </row>
    <row r="326" spans="2:10" x14ac:dyDescent="0.25">
      <c r="B326" s="32">
        <f t="shared" si="118"/>
        <v>319</v>
      </c>
      <c r="C326" s="26"/>
      <c r="D326" s="26">
        <v>223</v>
      </c>
      <c r="E326" s="26"/>
      <c r="F326" s="26"/>
      <c r="G326" s="7" t="s">
        <v>34</v>
      </c>
      <c r="H326" s="8">
        <f>H328+H327</f>
        <v>23000</v>
      </c>
      <c r="I326" s="8">
        <f t="shared" ref="I326" si="123">I328+I327</f>
        <v>0</v>
      </c>
      <c r="J326" s="8">
        <f t="shared" si="100"/>
        <v>23000</v>
      </c>
    </row>
    <row r="327" spans="2:10" x14ac:dyDescent="0.25">
      <c r="B327" s="32">
        <f t="shared" si="118"/>
        <v>320</v>
      </c>
      <c r="C327" s="26"/>
      <c r="D327" s="26"/>
      <c r="E327" s="27">
        <v>223001</v>
      </c>
      <c r="F327" s="27"/>
      <c r="G327" s="9" t="s">
        <v>35</v>
      </c>
      <c r="H327" s="10">
        <v>12000</v>
      </c>
      <c r="I327" s="10"/>
      <c r="J327" s="10">
        <f t="shared" si="100"/>
        <v>12000</v>
      </c>
    </row>
    <row r="328" spans="2:10" ht="15.75" thickBot="1" x14ac:dyDescent="0.3">
      <c r="B328" s="32">
        <f t="shared" si="118"/>
        <v>321</v>
      </c>
      <c r="C328" s="27"/>
      <c r="D328" s="27"/>
      <c r="E328" s="27">
        <v>223002</v>
      </c>
      <c r="F328" s="27"/>
      <c r="G328" s="9" t="s">
        <v>47</v>
      </c>
      <c r="H328" s="10">
        <v>11000</v>
      </c>
      <c r="I328" s="10"/>
      <c r="J328" s="10">
        <f t="shared" si="100"/>
        <v>11000</v>
      </c>
    </row>
    <row r="329" spans="2:10" ht="15.75" thickBot="1" x14ac:dyDescent="0.3">
      <c r="B329" s="32">
        <f t="shared" si="118"/>
        <v>322</v>
      </c>
      <c r="C329" s="24">
        <v>8</v>
      </c>
      <c r="D329" s="24"/>
      <c r="E329" s="24"/>
      <c r="F329" s="24"/>
      <c r="G329" s="3" t="s">
        <v>169</v>
      </c>
      <c r="H329" s="4">
        <f>H330+H333</f>
        <v>41700</v>
      </c>
      <c r="I329" s="4">
        <f t="shared" ref="I329" si="124">I330+I333</f>
        <v>0</v>
      </c>
      <c r="J329" s="4">
        <f t="shared" ref="J329:J392" si="125">H329+I329</f>
        <v>41700</v>
      </c>
    </row>
    <row r="330" spans="2:10" x14ac:dyDescent="0.25">
      <c r="B330" s="32">
        <f t="shared" si="118"/>
        <v>323</v>
      </c>
      <c r="C330" s="25">
        <v>210</v>
      </c>
      <c r="D330" s="25"/>
      <c r="E330" s="25"/>
      <c r="F330" s="25"/>
      <c r="G330" s="5" t="s">
        <v>24</v>
      </c>
      <c r="H330" s="6">
        <f>H331</f>
        <v>20100</v>
      </c>
      <c r="I330" s="6">
        <f t="shared" ref="I330:I331" si="126">I331</f>
        <v>0</v>
      </c>
      <c r="J330" s="6">
        <f t="shared" si="125"/>
        <v>20100</v>
      </c>
    </row>
    <row r="331" spans="2:10" x14ac:dyDescent="0.25">
      <c r="B331" s="32">
        <f t="shared" si="118"/>
        <v>324</v>
      </c>
      <c r="C331" s="26"/>
      <c r="D331" s="26">
        <v>212</v>
      </c>
      <c r="E331" s="26"/>
      <c r="F331" s="26"/>
      <c r="G331" s="7" t="s">
        <v>25</v>
      </c>
      <c r="H331" s="8">
        <f>H332</f>
        <v>20100</v>
      </c>
      <c r="I331" s="8">
        <f t="shared" si="126"/>
        <v>0</v>
      </c>
      <c r="J331" s="8">
        <f t="shared" si="125"/>
        <v>20100</v>
      </c>
    </row>
    <row r="332" spans="2:10" x14ac:dyDescent="0.25">
      <c r="B332" s="32">
        <f t="shared" si="118"/>
        <v>325</v>
      </c>
      <c r="C332" s="27"/>
      <c r="D332" s="27"/>
      <c r="E332" s="27">
        <v>212003</v>
      </c>
      <c r="F332" s="27"/>
      <c r="G332" s="9" t="s">
        <v>27</v>
      </c>
      <c r="H332" s="10">
        <v>20100</v>
      </c>
      <c r="I332" s="10"/>
      <c r="J332" s="10">
        <f t="shared" si="125"/>
        <v>20100</v>
      </c>
    </row>
    <row r="333" spans="2:10" x14ac:dyDescent="0.25">
      <c r="B333" s="32">
        <f t="shared" si="118"/>
        <v>326</v>
      </c>
      <c r="C333" s="25">
        <v>220</v>
      </c>
      <c r="D333" s="25"/>
      <c r="E333" s="25"/>
      <c r="F333" s="25"/>
      <c r="G333" s="5" t="s">
        <v>28</v>
      </c>
      <c r="H333" s="6">
        <f>H334</f>
        <v>21600</v>
      </c>
      <c r="I333" s="6">
        <f t="shared" ref="I333:I334" si="127">I334</f>
        <v>0</v>
      </c>
      <c r="J333" s="6">
        <f t="shared" si="125"/>
        <v>21600</v>
      </c>
    </row>
    <row r="334" spans="2:10" x14ac:dyDescent="0.25">
      <c r="B334" s="32">
        <f t="shared" si="118"/>
        <v>327</v>
      </c>
      <c r="C334" s="26"/>
      <c r="D334" s="26">
        <v>223</v>
      </c>
      <c r="E334" s="26"/>
      <c r="F334" s="26"/>
      <c r="G334" s="7" t="s">
        <v>34</v>
      </c>
      <c r="H334" s="8">
        <f>H335</f>
        <v>21600</v>
      </c>
      <c r="I334" s="8">
        <f t="shared" si="127"/>
        <v>0</v>
      </c>
      <c r="J334" s="8">
        <f t="shared" si="125"/>
        <v>21600</v>
      </c>
    </row>
    <row r="335" spans="2:10" ht="15.75" thickBot="1" x14ac:dyDescent="0.3">
      <c r="B335" s="32">
        <f t="shared" si="118"/>
        <v>328</v>
      </c>
      <c r="C335" s="27"/>
      <c r="D335" s="27"/>
      <c r="E335" s="27">
        <v>223002</v>
      </c>
      <c r="F335" s="27"/>
      <c r="G335" s="9" t="s">
        <v>47</v>
      </c>
      <c r="H335" s="10">
        <v>21600</v>
      </c>
      <c r="I335" s="10"/>
      <c r="J335" s="10">
        <f t="shared" si="125"/>
        <v>21600</v>
      </c>
    </row>
    <row r="336" spans="2:10" ht="15.75" thickBot="1" x14ac:dyDescent="0.3">
      <c r="B336" s="32">
        <f t="shared" si="118"/>
        <v>329</v>
      </c>
      <c r="C336" s="24">
        <v>9</v>
      </c>
      <c r="D336" s="24"/>
      <c r="E336" s="24"/>
      <c r="F336" s="24"/>
      <c r="G336" s="3" t="s">
        <v>170</v>
      </c>
      <c r="H336" s="4">
        <f>H337+H340+H344</f>
        <v>17000</v>
      </c>
      <c r="I336" s="4">
        <f t="shared" ref="I336" si="128">I337+I340+I344</f>
        <v>0</v>
      </c>
      <c r="J336" s="4">
        <f t="shared" si="125"/>
        <v>17000</v>
      </c>
    </row>
    <row r="337" spans="2:10" x14ac:dyDescent="0.25">
      <c r="B337" s="32">
        <f t="shared" si="118"/>
        <v>330</v>
      </c>
      <c r="C337" s="25">
        <v>210</v>
      </c>
      <c r="D337" s="25"/>
      <c r="E337" s="25"/>
      <c r="F337" s="25"/>
      <c r="G337" s="5" t="s">
        <v>24</v>
      </c>
      <c r="H337" s="6">
        <f>H338</f>
        <v>3000</v>
      </c>
      <c r="I337" s="6">
        <f t="shared" ref="I337:I338" si="129">I338</f>
        <v>0</v>
      </c>
      <c r="J337" s="6">
        <f t="shared" si="125"/>
        <v>3000</v>
      </c>
    </row>
    <row r="338" spans="2:10" x14ac:dyDescent="0.25">
      <c r="B338" s="32">
        <f t="shared" si="118"/>
        <v>331</v>
      </c>
      <c r="C338" s="26"/>
      <c r="D338" s="26">
        <v>212</v>
      </c>
      <c r="E338" s="26"/>
      <c r="F338" s="26"/>
      <c r="G338" s="7" t="s">
        <v>25</v>
      </c>
      <c r="H338" s="8">
        <f>H339</f>
        <v>3000</v>
      </c>
      <c r="I338" s="8">
        <f t="shared" si="129"/>
        <v>0</v>
      </c>
      <c r="J338" s="8">
        <f t="shared" si="125"/>
        <v>3000</v>
      </c>
    </row>
    <row r="339" spans="2:10" x14ac:dyDescent="0.25">
      <c r="B339" s="32">
        <f t="shared" si="118"/>
        <v>332</v>
      </c>
      <c r="C339" s="27"/>
      <c r="D339" s="27"/>
      <c r="E339" s="27">
        <v>212003</v>
      </c>
      <c r="F339" s="27"/>
      <c r="G339" s="9" t="s">
        <v>27</v>
      </c>
      <c r="H339" s="10">
        <v>3000</v>
      </c>
      <c r="I339" s="10"/>
      <c r="J339" s="10">
        <f t="shared" si="125"/>
        <v>3000</v>
      </c>
    </row>
    <row r="340" spans="2:10" x14ac:dyDescent="0.25">
      <c r="B340" s="32">
        <f t="shared" si="118"/>
        <v>333</v>
      </c>
      <c r="C340" s="25">
        <v>220</v>
      </c>
      <c r="D340" s="25"/>
      <c r="E340" s="25"/>
      <c r="F340" s="25"/>
      <c r="G340" s="5" t="s">
        <v>28</v>
      </c>
      <c r="H340" s="6">
        <f>H341</f>
        <v>13500</v>
      </c>
      <c r="I340" s="6">
        <f t="shared" ref="I340" si="130">I341</f>
        <v>0</v>
      </c>
      <c r="J340" s="6">
        <f t="shared" si="125"/>
        <v>13500</v>
      </c>
    </row>
    <row r="341" spans="2:10" x14ac:dyDescent="0.25">
      <c r="B341" s="32">
        <f t="shared" si="118"/>
        <v>334</v>
      </c>
      <c r="C341" s="26"/>
      <c r="D341" s="26">
        <v>223</v>
      </c>
      <c r="E341" s="26"/>
      <c r="F341" s="26"/>
      <c r="G341" s="7" t="s">
        <v>34</v>
      </c>
      <c r="H341" s="8">
        <f>H342+H343</f>
        <v>13500</v>
      </c>
      <c r="I341" s="8">
        <f t="shared" ref="I341" si="131">I342+I343</f>
        <v>0</v>
      </c>
      <c r="J341" s="8">
        <f t="shared" si="125"/>
        <v>13500</v>
      </c>
    </row>
    <row r="342" spans="2:10" x14ac:dyDescent="0.25">
      <c r="B342" s="32">
        <f t="shared" si="118"/>
        <v>335</v>
      </c>
      <c r="C342" s="27"/>
      <c r="D342" s="27"/>
      <c r="E342" s="27">
        <v>223001</v>
      </c>
      <c r="F342" s="27"/>
      <c r="G342" s="9" t="s">
        <v>35</v>
      </c>
      <c r="H342" s="10">
        <v>6000</v>
      </c>
      <c r="I342" s="10"/>
      <c r="J342" s="10">
        <f t="shared" si="125"/>
        <v>6000</v>
      </c>
    </row>
    <row r="343" spans="2:10" x14ac:dyDescent="0.25">
      <c r="B343" s="32">
        <f t="shared" si="118"/>
        <v>336</v>
      </c>
      <c r="C343" s="27"/>
      <c r="D343" s="27"/>
      <c r="E343" s="27">
        <v>223002</v>
      </c>
      <c r="F343" s="27"/>
      <c r="G343" s="9" t="s">
        <v>47</v>
      </c>
      <c r="H343" s="10">
        <v>7500</v>
      </c>
      <c r="I343" s="10"/>
      <c r="J343" s="10">
        <f t="shared" si="125"/>
        <v>7500</v>
      </c>
    </row>
    <row r="344" spans="2:10" x14ac:dyDescent="0.25">
      <c r="B344" s="32">
        <f t="shared" si="118"/>
        <v>337</v>
      </c>
      <c r="C344" s="25">
        <v>290</v>
      </c>
      <c r="D344" s="25"/>
      <c r="E344" s="25"/>
      <c r="F344" s="25"/>
      <c r="G344" s="5" t="s">
        <v>40</v>
      </c>
      <c r="H344" s="6">
        <f>H345</f>
        <v>500</v>
      </c>
      <c r="I344" s="6">
        <f t="shared" ref="I344:I345" si="132">I345</f>
        <v>0</v>
      </c>
      <c r="J344" s="6">
        <f t="shared" si="125"/>
        <v>500</v>
      </c>
    </row>
    <row r="345" spans="2:10" x14ac:dyDescent="0.25">
      <c r="B345" s="32">
        <f t="shared" si="118"/>
        <v>338</v>
      </c>
      <c r="C345" s="26"/>
      <c r="D345" s="26">
        <v>292</v>
      </c>
      <c r="E345" s="26"/>
      <c r="F345" s="26"/>
      <c r="G345" s="7" t="s">
        <v>41</v>
      </c>
      <c r="H345" s="8">
        <f>H346</f>
        <v>500</v>
      </c>
      <c r="I345" s="8">
        <f t="shared" si="132"/>
        <v>0</v>
      </c>
      <c r="J345" s="8">
        <f t="shared" si="125"/>
        <v>500</v>
      </c>
    </row>
    <row r="346" spans="2:10" ht="15.75" thickBot="1" x14ac:dyDescent="0.3">
      <c r="B346" s="32">
        <f t="shared" si="118"/>
        <v>339</v>
      </c>
      <c r="C346" s="27"/>
      <c r="D346" s="27"/>
      <c r="E346" s="27">
        <v>292012</v>
      </c>
      <c r="F346" s="27"/>
      <c r="G346" s="9" t="s">
        <v>43</v>
      </c>
      <c r="H346" s="10">
        <v>500</v>
      </c>
      <c r="I346" s="10"/>
      <c r="J346" s="10">
        <f t="shared" si="125"/>
        <v>500</v>
      </c>
    </row>
    <row r="347" spans="2:10" ht="15.75" thickBot="1" x14ac:dyDescent="0.3">
      <c r="B347" s="32">
        <f t="shared" si="118"/>
        <v>340</v>
      </c>
      <c r="C347" s="24">
        <v>10</v>
      </c>
      <c r="D347" s="24"/>
      <c r="E347" s="24"/>
      <c r="F347" s="24"/>
      <c r="G347" s="3" t="s">
        <v>171</v>
      </c>
      <c r="H347" s="4">
        <f>H348+H351+H355</f>
        <v>21200</v>
      </c>
      <c r="I347" s="4">
        <f t="shared" ref="I347" si="133">I348+I351+I355</f>
        <v>0</v>
      </c>
      <c r="J347" s="4">
        <f t="shared" si="125"/>
        <v>21200</v>
      </c>
    </row>
    <row r="348" spans="2:10" x14ac:dyDescent="0.25">
      <c r="B348" s="32">
        <f t="shared" si="118"/>
        <v>341</v>
      </c>
      <c r="C348" s="25">
        <v>210</v>
      </c>
      <c r="D348" s="25"/>
      <c r="E348" s="25"/>
      <c r="F348" s="25"/>
      <c r="G348" s="5" t="s">
        <v>24</v>
      </c>
      <c r="H348" s="6">
        <f>H349</f>
        <v>5100</v>
      </c>
      <c r="I348" s="6">
        <f t="shared" ref="I348:I349" si="134">I349</f>
        <v>0</v>
      </c>
      <c r="J348" s="6">
        <f t="shared" si="125"/>
        <v>5100</v>
      </c>
    </row>
    <row r="349" spans="2:10" x14ac:dyDescent="0.25">
      <c r="B349" s="32">
        <f t="shared" si="118"/>
        <v>342</v>
      </c>
      <c r="C349" s="26"/>
      <c r="D349" s="26">
        <v>212</v>
      </c>
      <c r="E349" s="26"/>
      <c r="F349" s="26"/>
      <c r="G349" s="7" t="s">
        <v>25</v>
      </c>
      <c r="H349" s="8">
        <f>H350</f>
        <v>5100</v>
      </c>
      <c r="I349" s="8">
        <f t="shared" si="134"/>
        <v>0</v>
      </c>
      <c r="J349" s="8">
        <f t="shared" si="125"/>
        <v>5100</v>
      </c>
    </row>
    <row r="350" spans="2:10" x14ac:dyDescent="0.25">
      <c r="B350" s="32">
        <f t="shared" si="118"/>
        <v>343</v>
      </c>
      <c r="C350" s="27"/>
      <c r="D350" s="27"/>
      <c r="E350" s="27">
        <v>212003</v>
      </c>
      <c r="F350" s="27"/>
      <c r="G350" s="9" t="s">
        <v>27</v>
      </c>
      <c r="H350" s="10">
        <v>5100</v>
      </c>
      <c r="I350" s="10"/>
      <c r="J350" s="10">
        <f t="shared" si="125"/>
        <v>5100</v>
      </c>
    </row>
    <row r="351" spans="2:10" x14ac:dyDescent="0.25">
      <c r="B351" s="32">
        <f t="shared" si="118"/>
        <v>344</v>
      </c>
      <c r="C351" s="25">
        <v>220</v>
      </c>
      <c r="D351" s="25"/>
      <c r="E351" s="25"/>
      <c r="F351" s="25"/>
      <c r="G351" s="5" t="s">
        <v>28</v>
      </c>
      <c r="H351" s="6">
        <f>H352</f>
        <v>15600</v>
      </c>
      <c r="I351" s="6">
        <f t="shared" ref="I351" si="135">I352</f>
        <v>0</v>
      </c>
      <c r="J351" s="6">
        <f t="shared" si="125"/>
        <v>15600</v>
      </c>
    </row>
    <row r="352" spans="2:10" x14ac:dyDescent="0.25">
      <c r="B352" s="32">
        <f t="shared" si="118"/>
        <v>345</v>
      </c>
      <c r="C352" s="26"/>
      <c r="D352" s="26">
        <v>223</v>
      </c>
      <c r="E352" s="26"/>
      <c r="F352" s="26"/>
      <c r="G352" s="7" t="s">
        <v>34</v>
      </c>
      <c r="H352" s="8">
        <f>H353+H354</f>
        <v>15600</v>
      </c>
      <c r="I352" s="8">
        <f t="shared" ref="I352" si="136">I353+I354</f>
        <v>0</v>
      </c>
      <c r="J352" s="8">
        <f t="shared" si="125"/>
        <v>15600</v>
      </c>
    </row>
    <row r="353" spans="2:10" x14ac:dyDescent="0.25">
      <c r="B353" s="32">
        <f t="shared" si="118"/>
        <v>346</v>
      </c>
      <c r="C353" s="27"/>
      <c r="D353" s="27"/>
      <c r="E353" s="27">
        <v>223001</v>
      </c>
      <c r="F353" s="27"/>
      <c r="G353" s="9" t="s">
        <v>35</v>
      </c>
      <c r="H353" s="10">
        <v>11000</v>
      </c>
      <c r="I353" s="10"/>
      <c r="J353" s="10">
        <f t="shared" si="125"/>
        <v>11000</v>
      </c>
    </row>
    <row r="354" spans="2:10" x14ac:dyDescent="0.25">
      <c r="B354" s="32">
        <f t="shared" si="118"/>
        <v>347</v>
      </c>
      <c r="C354" s="27"/>
      <c r="D354" s="27"/>
      <c r="E354" s="27">
        <v>223002</v>
      </c>
      <c r="F354" s="27"/>
      <c r="G354" s="9" t="s">
        <v>47</v>
      </c>
      <c r="H354" s="10">
        <v>4600</v>
      </c>
      <c r="I354" s="10"/>
      <c r="J354" s="10">
        <f t="shared" si="125"/>
        <v>4600</v>
      </c>
    </row>
    <row r="355" spans="2:10" x14ac:dyDescent="0.25">
      <c r="B355" s="32">
        <f t="shared" si="118"/>
        <v>348</v>
      </c>
      <c r="C355" s="25">
        <v>290</v>
      </c>
      <c r="D355" s="25"/>
      <c r="E355" s="25"/>
      <c r="F355" s="25"/>
      <c r="G355" s="5" t="s">
        <v>40</v>
      </c>
      <c r="H355" s="6">
        <f>H356</f>
        <v>500</v>
      </c>
      <c r="I355" s="6">
        <f t="shared" ref="I355:I356" si="137">I356</f>
        <v>0</v>
      </c>
      <c r="J355" s="6">
        <f t="shared" si="125"/>
        <v>500</v>
      </c>
    </row>
    <row r="356" spans="2:10" x14ac:dyDescent="0.25">
      <c r="B356" s="32">
        <f t="shared" si="118"/>
        <v>349</v>
      </c>
      <c r="C356" s="26"/>
      <c r="D356" s="26">
        <v>292</v>
      </c>
      <c r="E356" s="26"/>
      <c r="F356" s="26"/>
      <c r="G356" s="7" t="s">
        <v>41</v>
      </c>
      <c r="H356" s="8">
        <f>H357</f>
        <v>500</v>
      </c>
      <c r="I356" s="8">
        <f t="shared" si="137"/>
        <v>0</v>
      </c>
      <c r="J356" s="8">
        <f t="shared" si="125"/>
        <v>500</v>
      </c>
    </row>
    <row r="357" spans="2:10" ht="15.75" thickBot="1" x14ac:dyDescent="0.3">
      <c r="B357" s="32">
        <f t="shared" si="118"/>
        <v>350</v>
      </c>
      <c r="C357" s="27"/>
      <c r="D357" s="27"/>
      <c r="E357" s="27">
        <v>292012</v>
      </c>
      <c r="F357" s="27"/>
      <c r="G357" s="9" t="s">
        <v>43</v>
      </c>
      <c r="H357" s="10">
        <v>500</v>
      </c>
      <c r="I357" s="10"/>
      <c r="J357" s="10">
        <f t="shared" si="125"/>
        <v>500</v>
      </c>
    </row>
    <row r="358" spans="2:10" ht="15.75" thickBot="1" x14ac:dyDescent="0.3">
      <c r="B358" s="32">
        <f t="shared" si="118"/>
        <v>351</v>
      </c>
      <c r="C358" s="24">
        <v>11</v>
      </c>
      <c r="D358" s="24"/>
      <c r="E358" s="24"/>
      <c r="F358" s="24"/>
      <c r="G358" s="3" t="s">
        <v>172</v>
      </c>
      <c r="H358" s="4">
        <f>H359+H362+H366</f>
        <v>62700</v>
      </c>
      <c r="I358" s="4">
        <f t="shared" ref="I358" si="138">I359+I362+I366</f>
        <v>0</v>
      </c>
      <c r="J358" s="4">
        <f t="shared" si="125"/>
        <v>62700</v>
      </c>
    </row>
    <row r="359" spans="2:10" x14ac:dyDescent="0.25">
      <c r="B359" s="32">
        <f t="shared" si="118"/>
        <v>352</v>
      </c>
      <c r="C359" s="25">
        <v>210</v>
      </c>
      <c r="D359" s="25"/>
      <c r="E359" s="25"/>
      <c r="F359" s="25"/>
      <c r="G359" s="5" t="s">
        <v>24</v>
      </c>
      <c r="H359" s="6">
        <f>H360</f>
        <v>37200</v>
      </c>
      <c r="I359" s="6">
        <f t="shared" ref="I359:I360" si="139">I360</f>
        <v>0</v>
      </c>
      <c r="J359" s="6">
        <f t="shared" si="125"/>
        <v>37200</v>
      </c>
    </row>
    <row r="360" spans="2:10" x14ac:dyDescent="0.25">
      <c r="B360" s="32">
        <f t="shared" si="118"/>
        <v>353</v>
      </c>
      <c r="C360" s="26"/>
      <c r="D360" s="26">
        <v>212</v>
      </c>
      <c r="E360" s="26"/>
      <c r="F360" s="26"/>
      <c r="G360" s="7" t="s">
        <v>25</v>
      </c>
      <c r="H360" s="8">
        <f>H361</f>
        <v>37200</v>
      </c>
      <c r="I360" s="8">
        <f t="shared" si="139"/>
        <v>0</v>
      </c>
      <c r="J360" s="8">
        <f t="shared" si="125"/>
        <v>37200</v>
      </c>
    </row>
    <row r="361" spans="2:10" x14ac:dyDescent="0.25">
      <c r="B361" s="32">
        <f t="shared" si="118"/>
        <v>354</v>
      </c>
      <c r="C361" s="27"/>
      <c r="D361" s="27"/>
      <c r="E361" s="27">
        <v>212003</v>
      </c>
      <c r="F361" s="27"/>
      <c r="G361" s="9" t="s">
        <v>27</v>
      </c>
      <c r="H361" s="10">
        <v>37200</v>
      </c>
      <c r="I361" s="10"/>
      <c r="J361" s="10">
        <f t="shared" si="125"/>
        <v>37200</v>
      </c>
    </row>
    <row r="362" spans="2:10" x14ac:dyDescent="0.25">
      <c r="B362" s="32">
        <f t="shared" si="118"/>
        <v>355</v>
      </c>
      <c r="C362" s="25">
        <v>220</v>
      </c>
      <c r="D362" s="25"/>
      <c r="E362" s="25"/>
      <c r="F362" s="25"/>
      <c r="G362" s="5" t="s">
        <v>28</v>
      </c>
      <c r="H362" s="6">
        <f>H363</f>
        <v>25000</v>
      </c>
      <c r="I362" s="6">
        <f t="shared" ref="I362" si="140">I363</f>
        <v>0</v>
      </c>
      <c r="J362" s="6">
        <f t="shared" si="125"/>
        <v>25000</v>
      </c>
    </row>
    <row r="363" spans="2:10" x14ac:dyDescent="0.25">
      <c r="B363" s="32">
        <f t="shared" si="118"/>
        <v>356</v>
      </c>
      <c r="C363" s="26"/>
      <c r="D363" s="26">
        <v>223</v>
      </c>
      <c r="E363" s="26"/>
      <c r="F363" s="26"/>
      <c r="G363" s="7" t="s">
        <v>34</v>
      </c>
      <c r="H363" s="8">
        <f>H365+H364</f>
        <v>25000</v>
      </c>
      <c r="I363" s="8">
        <f t="shared" ref="I363" si="141">I365+I364</f>
        <v>0</v>
      </c>
      <c r="J363" s="8">
        <f t="shared" si="125"/>
        <v>25000</v>
      </c>
    </row>
    <row r="364" spans="2:10" x14ac:dyDescent="0.25">
      <c r="B364" s="32">
        <f t="shared" si="118"/>
        <v>357</v>
      </c>
      <c r="C364" s="26"/>
      <c r="D364" s="26"/>
      <c r="E364" s="27">
        <v>223001</v>
      </c>
      <c r="F364" s="27"/>
      <c r="G364" s="9" t="s">
        <v>35</v>
      </c>
      <c r="H364" s="10">
        <v>14700</v>
      </c>
      <c r="I364" s="10"/>
      <c r="J364" s="10">
        <f t="shared" si="125"/>
        <v>14700</v>
      </c>
    </row>
    <row r="365" spans="2:10" x14ac:dyDescent="0.25">
      <c r="B365" s="32">
        <f t="shared" si="118"/>
        <v>358</v>
      </c>
      <c r="C365" s="27"/>
      <c r="D365" s="27"/>
      <c r="E365" s="27">
        <v>223002</v>
      </c>
      <c r="F365" s="27"/>
      <c r="G365" s="9" t="s">
        <v>47</v>
      </c>
      <c r="H365" s="10">
        <v>10300</v>
      </c>
      <c r="I365" s="10"/>
      <c r="J365" s="10">
        <f t="shared" si="125"/>
        <v>10300</v>
      </c>
    </row>
    <row r="366" spans="2:10" x14ac:dyDescent="0.25">
      <c r="B366" s="32">
        <f t="shared" si="118"/>
        <v>359</v>
      </c>
      <c r="C366" s="25">
        <v>290</v>
      </c>
      <c r="D366" s="25"/>
      <c r="E366" s="25"/>
      <c r="F366" s="25"/>
      <c r="G366" s="5" t="s">
        <v>40</v>
      </c>
      <c r="H366" s="6">
        <f>H367</f>
        <v>500</v>
      </c>
      <c r="I366" s="6">
        <f t="shared" ref="I366:I367" si="142">I367</f>
        <v>0</v>
      </c>
      <c r="J366" s="6">
        <f t="shared" si="125"/>
        <v>500</v>
      </c>
    </row>
    <row r="367" spans="2:10" x14ac:dyDescent="0.25">
      <c r="B367" s="32">
        <f t="shared" si="118"/>
        <v>360</v>
      </c>
      <c r="C367" s="26"/>
      <c r="D367" s="26">
        <v>292</v>
      </c>
      <c r="E367" s="26"/>
      <c r="F367" s="26"/>
      <c r="G367" s="7" t="s">
        <v>41</v>
      </c>
      <c r="H367" s="8">
        <f>H368</f>
        <v>500</v>
      </c>
      <c r="I367" s="8">
        <f t="shared" si="142"/>
        <v>0</v>
      </c>
      <c r="J367" s="8">
        <f t="shared" si="125"/>
        <v>500</v>
      </c>
    </row>
    <row r="368" spans="2:10" ht="15.75" thickBot="1" x14ac:dyDescent="0.3">
      <c r="B368" s="32">
        <f t="shared" si="118"/>
        <v>361</v>
      </c>
      <c r="C368" s="27"/>
      <c r="D368" s="27"/>
      <c r="E368" s="27">
        <v>292012</v>
      </c>
      <c r="F368" s="27"/>
      <c r="G368" s="9" t="s">
        <v>43</v>
      </c>
      <c r="H368" s="10">
        <v>500</v>
      </c>
      <c r="I368" s="10"/>
      <c r="J368" s="10">
        <f t="shared" si="125"/>
        <v>500</v>
      </c>
    </row>
    <row r="369" spans="2:10" ht="15.75" thickBot="1" x14ac:dyDescent="0.3">
      <c r="B369" s="32">
        <f t="shared" si="118"/>
        <v>362</v>
      </c>
      <c r="C369" s="24">
        <v>12</v>
      </c>
      <c r="D369" s="24"/>
      <c r="E369" s="24"/>
      <c r="F369" s="24"/>
      <c r="G369" s="3" t="s">
        <v>173</v>
      </c>
      <c r="H369" s="4">
        <f>H370+H373+H377</f>
        <v>22000</v>
      </c>
      <c r="I369" s="4">
        <f t="shared" ref="I369" si="143">I370+I373+I377</f>
        <v>0</v>
      </c>
      <c r="J369" s="4">
        <f t="shared" si="125"/>
        <v>22000</v>
      </c>
    </row>
    <row r="370" spans="2:10" x14ac:dyDescent="0.25">
      <c r="B370" s="32">
        <f t="shared" si="118"/>
        <v>363</v>
      </c>
      <c r="C370" s="25">
        <v>210</v>
      </c>
      <c r="D370" s="25"/>
      <c r="E370" s="25"/>
      <c r="F370" s="25"/>
      <c r="G370" s="5" t="s">
        <v>24</v>
      </c>
      <c r="H370" s="6">
        <f>H371</f>
        <v>3000</v>
      </c>
      <c r="I370" s="6">
        <f t="shared" ref="I370:I371" si="144">I371</f>
        <v>0</v>
      </c>
      <c r="J370" s="6">
        <f t="shared" si="125"/>
        <v>3000</v>
      </c>
    </row>
    <row r="371" spans="2:10" x14ac:dyDescent="0.25">
      <c r="B371" s="32">
        <f t="shared" si="118"/>
        <v>364</v>
      </c>
      <c r="C371" s="26"/>
      <c r="D371" s="26">
        <v>212</v>
      </c>
      <c r="E371" s="26"/>
      <c r="F371" s="26"/>
      <c r="G371" s="7" t="s">
        <v>25</v>
      </c>
      <c r="H371" s="8">
        <f>H372</f>
        <v>3000</v>
      </c>
      <c r="I371" s="8">
        <f t="shared" si="144"/>
        <v>0</v>
      </c>
      <c r="J371" s="8">
        <f t="shared" si="125"/>
        <v>3000</v>
      </c>
    </row>
    <row r="372" spans="2:10" x14ac:dyDescent="0.25">
      <c r="B372" s="32">
        <f t="shared" si="118"/>
        <v>365</v>
      </c>
      <c r="C372" s="27"/>
      <c r="D372" s="27"/>
      <c r="E372" s="27">
        <v>212003</v>
      </c>
      <c r="F372" s="27"/>
      <c r="G372" s="9" t="s">
        <v>27</v>
      </c>
      <c r="H372" s="10">
        <v>3000</v>
      </c>
      <c r="I372" s="10"/>
      <c r="J372" s="10">
        <f t="shared" si="125"/>
        <v>3000</v>
      </c>
    </row>
    <row r="373" spans="2:10" x14ac:dyDescent="0.25">
      <c r="B373" s="32">
        <f t="shared" si="118"/>
        <v>366</v>
      </c>
      <c r="C373" s="25">
        <v>220</v>
      </c>
      <c r="D373" s="25"/>
      <c r="E373" s="25"/>
      <c r="F373" s="25"/>
      <c r="G373" s="5" t="s">
        <v>28</v>
      </c>
      <c r="H373" s="6">
        <f>H374</f>
        <v>18500</v>
      </c>
      <c r="I373" s="6">
        <f t="shared" ref="I373" si="145">I374</f>
        <v>0</v>
      </c>
      <c r="J373" s="6">
        <f t="shared" si="125"/>
        <v>18500</v>
      </c>
    </row>
    <row r="374" spans="2:10" x14ac:dyDescent="0.25">
      <c r="B374" s="32">
        <f t="shared" si="118"/>
        <v>367</v>
      </c>
      <c r="C374" s="26"/>
      <c r="D374" s="26">
        <v>223</v>
      </c>
      <c r="E374" s="26"/>
      <c r="F374" s="26"/>
      <c r="G374" s="7" t="s">
        <v>34</v>
      </c>
      <c r="H374" s="8">
        <f>H375+H376</f>
        <v>18500</v>
      </c>
      <c r="I374" s="8">
        <f t="shared" ref="I374" si="146">I375+I376</f>
        <v>0</v>
      </c>
      <c r="J374" s="8">
        <f t="shared" si="125"/>
        <v>18500</v>
      </c>
    </row>
    <row r="375" spans="2:10" x14ac:dyDescent="0.25">
      <c r="B375" s="32">
        <f t="shared" si="118"/>
        <v>368</v>
      </c>
      <c r="C375" s="27"/>
      <c r="D375" s="27"/>
      <c r="E375" s="27">
        <v>223001</v>
      </c>
      <c r="F375" s="27"/>
      <c r="G375" s="9" t="s">
        <v>35</v>
      </c>
      <c r="H375" s="10">
        <v>8500</v>
      </c>
      <c r="I375" s="10"/>
      <c r="J375" s="10">
        <f t="shared" si="125"/>
        <v>8500</v>
      </c>
    </row>
    <row r="376" spans="2:10" x14ac:dyDescent="0.25">
      <c r="B376" s="32">
        <f t="shared" si="118"/>
        <v>369</v>
      </c>
      <c r="C376" s="27"/>
      <c r="D376" s="27"/>
      <c r="E376" s="27">
        <v>223002</v>
      </c>
      <c r="F376" s="27"/>
      <c r="G376" s="9" t="s">
        <v>47</v>
      </c>
      <c r="H376" s="10">
        <v>10000</v>
      </c>
      <c r="I376" s="10"/>
      <c r="J376" s="10">
        <f t="shared" si="125"/>
        <v>10000</v>
      </c>
    </row>
    <row r="377" spans="2:10" x14ac:dyDescent="0.25">
      <c r="B377" s="32">
        <f t="shared" si="118"/>
        <v>370</v>
      </c>
      <c r="C377" s="25">
        <v>290</v>
      </c>
      <c r="D377" s="25"/>
      <c r="E377" s="25"/>
      <c r="F377" s="25"/>
      <c r="G377" s="5" t="s">
        <v>40</v>
      </c>
      <c r="H377" s="6">
        <f>H378</f>
        <v>500</v>
      </c>
      <c r="I377" s="6">
        <f t="shared" ref="I377:I378" si="147">I378</f>
        <v>0</v>
      </c>
      <c r="J377" s="6">
        <f t="shared" si="125"/>
        <v>500</v>
      </c>
    </row>
    <row r="378" spans="2:10" x14ac:dyDescent="0.25">
      <c r="B378" s="32">
        <f t="shared" si="118"/>
        <v>371</v>
      </c>
      <c r="C378" s="26"/>
      <c r="D378" s="26">
        <v>292</v>
      </c>
      <c r="E378" s="26"/>
      <c r="F378" s="26"/>
      <c r="G378" s="7" t="s">
        <v>41</v>
      </c>
      <c r="H378" s="8">
        <f>H379</f>
        <v>500</v>
      </c>
      <c r="I378" s="8">
        <f t="shared" si="147"/>
        <v>0</v>
      </c>
      <c r="J378" s="8">
        <f t="shared" si="125"/>
        <v>500</v>
      </c>
    </row>
    <row r="379" spans="2:10" ht="15.75" thickBot="1" x14ac:dyDescent="0.3">
      <c r="B379" s="32">
        <f t="shared" si="118"/>
        <v>372</v>
      </c>
      <c r="C379" s="27"/>
      <c r="D379" s="27"/>
      <c r="E379" s="27">
        <v>292012</v>
      </c>
      <c r="F379" s="27"/>
      <c r="G379" s="9" t="s">
        <v>43</v>
      </c>
      <c r="H379" s="10">
        <v>500</v>
      </c>
      <c r="I379" s="10"/>
      <c r="J379" s="10">
        <f t="shared" si="125"/>
        <v>500</v>
      </c>
    </row>
    <row r="380" spans="2:10" ht="15.75" thickBot="1" x14ac:dyDescent="0.3">
      <c r="B380" s="32">
        <f t="shared" ref="B380:B426" si="148">B379+1</f>
        <v>373</v>
      </c>
      <c r="C380" s="24">
        <v>13</v>
      </c>
      <c r="D380" s="24"/>
      <c r="E380" s="24"/>
      <c r="F380" s="24"/>
      <c r="G380" s="3" t="s">
        <v>174</v>
      </c>
      <c r="H380" s="4">
        <f>H381+H384+H388</f>
        <v>19000</v>
      </c>
      <c r="I380" s="4">
        <f t="shared" ref="I380" si="149">I381+I384+I388</f>
        <v>0</v>
      </c>
      <c r="J380" s="4">
        <f t="shared" si="125"/>
        <v>19000</v>
      </c>
    </row>
    <row r="381" spans="2:10" x14ac:dyDescent="0.25">
      <c r="B381" s="32">
        <f t="shared" si="148"/>
        <v>374</v>
      </c>
      <c r="C381" s="25">
        <v>210</v>
      </c>
      <c r="D381" s="25"/>
      <c r="E381" s="25"/>
      <c r="F381" s="25"/>
      <c r="G381" s="5" t="s">
        <v>24</v>
      </c>
      <c r="H381" s="6">
        <f>H382</f>
        <v>6000</v>
      </c>
      <c r="I381" s="6">
        <f t="shared" ref="I381:I382" si="150">I382</f>
        <v>0</v>
      </c>
      <c r="J381" s="6">
        <f t="shared" si="125"/>
        <v>6000</v>
      </c>
    </row>
    <row r="382" spans="2:10" x14ac:dyDescent="0.25">
      <c r="B382" s="32">
        <f t="shared" si="148"/>
        <v>375</v>
      </c>
      <c r="C382" s="26"/>
      <c r="D382" s="26">
        <v>212</v>
      </c>
      <c r="E382" s="26"/>
      <c r="F382" s="26"/>
      <c r="G382" s="7" t="s">
        <v>25</v>
      </c>
      <c r="H382" s="8">
        <f>H383</f>
        <v>6000</v>
      </c>
      <c r="I382" s="8">
        <f t="shared" si="150"/>
        <v>0</v>
      </c>
      <c r="J382" s="8">
        <f t="shared" si="125"/>
        <v>6000</v>
      </c>
    </row>
    <row r="383" spans="2:10" x14ac:dyDescent="0.25">
      <c r="B383" s="32">
        <f t="shared" si="148"/>
        <v>376</v>
      </c>
      <c r="C383" s="27"/>
      <c r="D383" s="27"/>
      <c r="E383" s="27">
        <v>212003</v>
      </c>
      <c r="F383" s="27"/>
      <c r="G383" s="9" t="s">
        <v>27</v>
      </c>
      <c r="H383" s="10">
        <v>6000</v>
      </c>
      <c r="I383" s="10"/>
      <c r="J383" s="10">
        <f t="shared" si="125"/>
        <v>6000</v>
      </c>
    </row>
    <row r="384" spans="2:10" x14ac:dyDescent="0.25">
      <c r="B384" s="32">
        <f t="shared" si="148"/>
        <v>377</v>
      </c>
      <c r="C384" s="25">
        <v>220</v>
      </c>
      <c r="D384" s="25"/>
      <c r="E384" s="25"/>
      <c r="F384" s="25"/>
      <c r="G384" s="5" t="s">
        <v>28</v>
      </c>
      <c r="H384" s="6">
        <f>H385</f>
        <v>12700</v>
      </c>
      <c r="I384" s="6">
        <f t="shared" ref="I384" si="151">I385</f>
        <v>0</v>
      </c>
      <c r="J384" s="6">
        <f t="shared" si="125"/>
        <v>12700</v>
      </c>
    </row>
    <row r="385" spans="2:10" x14ac:dyDescent="0.25">
      <c r="B385" s="32">
        <f t="shared" si="148"/>
        <v>378</v>
      </c>
      <c r="C385" s="26"/>
      <c r="D385" s="26">
        <v>223</v>
      </c>
      <c r="E385" s="26"/>
      <c r="F385" s="26"/>
      <c r="G385" s="7" t="s">
        <v>34</v>
      </c>
      <c r="H385" s="8">
        <f>H386+H387</f>
        <v>12700</v>
      </c>
      <c r="I385" s="8">
        <f t="shared" ref="I385" si="152">I386+I387</f>
        <v>0</v>
      </c>
      <c r="J385" s="8">
        <f t="shared" si="125"/>
        <v>12700</v>
      </c>
    </row>
    <row r="386" spans="2:10" x14ac:dyDescent="0.25">
      <c r="B386" s="32">
        <f t="shared" si="148"/>
        <v>379</v>
      </c>
      <c r="C386" s="27"/>
      <c r="D386" s="27"/>
      <c r="E386" s="27">
        <v>223001</v>
      </c>
      <c r="F386" s="27"/>
      <c r="G386" s="9" t="s">
        <v>35</v>
      </c>
      <c r="H386" s="10">
        <v>8300</v>
      </c>
      <c r="I386" s="10"/>
      <c r="J386" s="10">
        <f t="shared" si="125"/>
        <v>8300</v>
      </c>
    </row>
    <row r="387" spans="2:10" x14ac:dyDescent="0.25">
      <c r="B387" s="32">
        <f t="shared" si="148"/>
        <v>380</v>
      </c>
      <c r="C387" s="27"/>
      <c r="D387" s="27"/>
      <c r="E387" s="27">
        <v>223002</v>
      </c>
      <c r="F387" s="27"/>
      <c r="G387" s="9" t="s">
        <v>47</v>
      </c>
      <c r="H387" s="10">
        <v>4400</v>
      </c>
      <c r="I387" s="10"/>
      <c r="J387" s="10">
        <f t="shared" si="125"/>
        <v>4400</v>
      </c>
    </row>
    <row r="388" spans="2:10" x14ac:dyDescent="0.25">
      <c r="B388" s="32">
        <f t="shared" si="148"/>
        <v>381</v>
      </c>
      <c r="C388" s="25">
        <v>290</v>
      </c>
      <c r="D388" s="25"/>
      <c r="E388" s="25"/>
      <c r="F388" s="25"/>
      <c r="G388" s="5" t="s">
        <v>40</v>
      </c>
      <c r="H388" s="6">
        <f>H389</f>
        <v>300</v>
      </c>
      <c r="I388" s="6">
        <f t="shared" ref="I388:I389" si="153">I389</f>
        <v>0</v>
      </c>
      <c r="J388" s="6">
        <f t="shared" si="125"/>
        <v>300</v>
      </c>
    </row>
    <row r="389" spans="2:10" x14ac:dyDescent="0.25">
      <c r="B389" s="32">
        <f t="shared" si="148"/>
        <v>382</v>
      </c>
      <c r="C389" s="26"/>
      <c r="D389" s="26">
        <v>292</v>
      </c>
      <c r="E389" s="26"/>
      <c r="F389" s="26"/>
      <c r="G389" s="7" t="s">
        <v>41</v>
      </c>
      <c r="H389" s="8">
        <f>H390</f>
        <v>300</v>
      </c>
      <c r="I389" s="8">
        <f t="shared" si="153"/>
        <v>0</v>
      </c>
      <c r="J389" s="8">
        <f t="shared" si="125"/>
        <v>300</v>
      </c>
    </row>
    <row r="390" spans="2:10" ht="15.75" thickBot="1" x14ac:dyDescent="0.3">
      <c r="B390" s="32">
        <f t="shared" si="148"/>
        <v>383</v>
      </c>
      <c r="C390" s="27"/>
      <c r="D390" s="27"/>
      <c r="E390" s="27">
        <v>292012</v>
      </c>
      <c r="F390" s="27"/>
      <c r="G390" s="9" t="s">
        <v>43</v>
      </c>
      <c r="H390" s="10">
        <v>300</v>
      </c>
      <c r="I390" s="10"/>
      <c r="J390" s="10">
        <f t="shared" si="125"/>
        <v>300</v>
      </c>
    </row>
    <row r="391" spans="2:10" ht="15.75" thickBot="1" x14ac:dyDescent="0.3">
      <c r="B391" s="32">
        <f t="shared" si="148"/>
        <v>384</v>
      </c>
      <c r="C391" s="24">
        <v>14</v>
      </c>
      <c r="D391" s="24"/>
      <c r="E391" s="24"/>
      <c r="F391" s="24"/>
      <c r="G391" s="3" t="s">
        <v>175</v>
      </c>
      <c r="H391" s="4">
        <f>H392+H395</f>
        <v>91100</v>
      </c>
      <c r="I391" s="4">
        <f t="shared" ref="I391" si="154">I392+I395</f>
        <v>0</v>
      </c>
      <c r="J391" s="4">
        <f t="shared" si="125"/>
        <v>91100</v>
      </c>
    </row>
    <row r="392" spans="2:10" x14ac:dyDescent="0.25">
      <c r="B392" s="32">
        <f t="shared" si="148"/>
        <v>385</v>
      </c>
      <c r="C392" s="25">
        <v>210</v>
      </c>
      <c r="D392" s="25"/>
      <c r="E392" s="25"/>
      <c r="F392" s="25"/>
      <c r="G392" s="5" t="s">
        <v>24</v>
      </c>
      <c r="H392" s="6">
        <f>H393</f>
        <v>100</v>
      </c>
      <c r="I392" s="6">
        <f t="shared" ref="I392:I393" si="155">I393</f>
        <v>0</v>
      </c>
      <c r="J392" s="6">
        <f t="shared" si="125"/>
        <v>100</v>
      </c>
    </row>
    <row r="393" spans="2:10" x14ac:dyDescent="0.25">
      <c r="B393" s="32">
        <f t="shared" si="148"/>
        <v>386</v>
      </c>
      <c r="C393" s="26"/>
      <c r="D393" s="26">
        <v>212</v>
      </c>
      <c r="E393" s="26"/>
      <c r="F393" s="26"/>
      <c r="G393" s="7" t="s">
        <v>25</v>
      </c>
      <c r="H393" s="8">
        <f>H394</f>
        <v>100</v>
      </c>
      <c r="I393" s="8">
        <f t="shared" si="155"/>
        <v>0</v>
      </c>
      <c r="J393" s="8">
        <f t="shared" ref="J393:J426" si="156">H393+I393</f>
        <v>100</v>
      </c>
    </row>
    <row r="394" spans="2:10" x14ac:dyDescent="0.25">
      <c r="B394" s="32">
        <f t="shared" si="148"/>
        <v>387</v>
      </c>
      <c r="C394" s="27"/>
      <c r="D394" s="27"/>
      <c r="E394" s="27">
        <v>212003</v>
      </c>
      <c r="F394" s="27"/>
      <c r="G394" s="9" t="s">
        <v>27</v>
      </c>
      <c r="H394" s="10">
        <v>100</v>
      </c>
      <c r="I394" s="10"/>
      <c r="J394" s="10">
        <f t="shared" si="156"/>
        <v>100</v>
      </c>
    </row>
    <row r="395" spans="2:10" x14ac:dyDescent="0.25">
      <c r="B395" s="32">
        <f t="shared" si="148"/>
        <v>388</v>
      </c>
      <c r="C395" s="25">
        <v>220</v>
      </c>
      <c r="D395" s="25"/>
      <c r="E395" s="25"/>
      <c r="F395" s="25"/>
      <c r="G395" s="5" t="s">
        <v>28</v>
      </c>
      <c r="H395" s="6">
        <f>H396</f>
        <v>91000</v>
      </c>
      <c r="I395" s="6">
        <f t="shared" ref="I395:I396" si="157">I396</f>
        <v>0</v>
      </c>
      <c r="J395" s="6">
        <f t="shared" si="156"/>
        <v>91000</v>
      </c>
    </row>
    <row r="396" spans="2:10" x14ac:dyDescent="0.25">
      <c r="B396" s="32">
        <f t="shared" si="148"/>
        <v>389</v>
      </c>
      <c r="C396" s="26"/>
      <c r="D396" s="26">
        <v>223</v>
      </c>
      <c r="E396" s="26"/>
      <c r="F396" s="26"/>
      <c r="G396" s="7" t="s">
        <v>34</v>
      </c>
      <c r="H396" s="8">
        <f>H397</f>
        <v>91000</v>
      </c>
      <c r="I396" s="8">
        <f t="shared" si="157"/>
        <v>0</v>
      </c>
      <c r="J396" s="8">
        <f t="shared" si="156"/>
        <v>91000</v>
      </c>
    </row>
    <row r="397" spans="2:10" x14ac:dyDescent="0.25">
      <c r="B397" s="32">
        <f t="shared" si="148"/>
        <v>390</v>
      </c>
      <c r="C397" s="27"/>
      <c r="D397" s="27"/>
      <c r="E397" s="27">
        <v>223001</v>
      </c>
      <c r="F397" s="27"/>
      <c r="G397" s="9" t="s">
        <v>35</v>
      </c>
      <c r="H397" s="10">
        <v>91000</v>
      </c>
      <c r="I397" s="10"/>
      <c r="J397" s="10">
        <f t="shared" si="156"/>
        <v>91000</v>
      </c>
    </row>
    <row r="398" spans="2:10" ht="16.5" thickBot="1" x14ac:dyDescent="0.3">
      <c r="B398" s="32">
        <f t="shared" si="148"/>
        <v>391</v>
      </c>
      <c r="C398" s="23">
        <v>300</v>
      </c>
      <c r="D398" s="23"/>
      <c r="E398" s="23"/>
      <c r="F398" s="23"/>
      <c r="G398" s="1" t="s">
        <v>176</v>
      </c>
      <c r="H398" s="2">
        <f>H399+H420+H417</f>
        <v>8468507</v>
      </c>
      <c r="I398" s="2">
        <f t="shared" ref="I398" si="158">I399+I420+I417</f>
        <v>0</v>
      </c>
      <c r="J398" s="2">
        <f t="shared" si="156"/>
        <v>8468507</v>
      </c>
    </row>
    <row r="399" spans="2:10" ht="15.75" thickBot="1" x14ac:dyDescent="0.3">
      <c r="B399" s="32">
        <f t="shared" si="148"/>
        <v>392</v>
      </c>
      <c r="C399" s="24"/>
      <c r="D399" s="24"/>
      <c r="E399" s="24"/>
      <c r="F399" s="24"/>
      <c r="G399" s="3" t="s">
        <v>8</v>
      </c>
      <c r="H399" s="4">
        <f>H400</f>
        <v>8130695</v>
      </c>
      <c r="I399" s="4">
        <f t="shared" ref="I399:I400" si="159">I400</f>
        <v>0</v>
      </c>
      <c r="J399" s="4">
        <f t="shared" si="156"/>
        <v>8130695</v>
      </c>
    </row>
    <row r="400" spans="2:10" x14ac:dyDescent="0.25">
      <c r="B400" s="32">
        <f t="shared" si="148"/>
        <v>393</v>
      </c>
      <c r="C400" s="25">
        <v>310</v>
      </c>
      <c r="D400" s="25"/>
      <c r="E400" s="25"/>
      <c r="F400" s="25"/>
      <c r="G400" s="5" t="s">
        <v>177</v>
      </c>
      <c r="H400" s="6">
        <f>H401</f>
        <v>8130695</v>
      </c>
      <c r="I400" s="6">
        <f t="shared" si="159"/>
        <v>0</v>
      </c>
      <c r="J400" s="6">
        <f t="shared" si="156"/>
        <v>8130695</v>
      </c>
    </row>
    <row r="401" spans="2:10" x14ac:dyDescent="0.25">
      <c r="B401" s="32">
        <f t="shared" si="148"/>
        <v>394</v>
      </c>
      <c r="C401" s="26"/>
      <c r="D401" s="26">
        <v>312</v>
      </c>
      <c r="E401" s="26"/>
      <c r="F401" s="26"/>
      <c r="G401" s="7" t="s">
        <v>178</v>
      </c>
      <c r="H401" s="8">
        <f>H402+H406</f>
        <v>8130695</v>
      </c>
      <c r="I401" s="8">
        <f t="shared" ref="I401" si="160">I402+I406</f>
        <v>0</v>
      </c>
      <c r="J401" s="8">
        <f t="shared" si="156"/>
        <v>8130695</v>
      </c>
    </row>
    <row r="402" spans="2:10" x14ac:dyDescent="0.25">
      <c r="B402" s="32">
        <f t="shared" si="148"/>
        <v>395</v>
      </c>
      <c r="C402" s="27"/>
      <c r="D402" s="27"/>
      <c r="E402" s="27">
        <v>312001</v>
      </c>
      <c r="F402" s="27"/>
      <c r="G402" s="9" t="s">
        <v>179</v>
      </c>
      <c r="H402" s="10">
        <f>SUM(H403:H405)</f>
        <v>849300</v>
      </c>
      <c r="I402" s="10">
        <f t="shared" ref="I402" si="161">SUM(I403:I405)</f>
        <v>0</v>
      </c>
      <c r="J402" s="10">
        <f t="shared" si="156"/>
        <v>849300</v>
      </c>
    </row>
    <row r="403" spans="2:10" x14ac:dyDescent="0.25">
      <c r="B403" s="32">
        <f t="shared" si="148"/>
        <v>396</v>
      </c>
      <c r="C403" s="28"/>
      <c r="D403" s="28"/>
      <c r="E403" s="28"/>
      <c r="F403" s="28" t="s">
        <v>180</v>
      </c>
      <c r="G403" s="12" t="s">
        <v>181</v>
      </c>
      <c r="H403" s="13">
        <v>833300</v>
      </c>
      <c r="I403" s="13"/>
      <c r="J403" s="13">
        <f t="shared" si="156"/>
        <v>833300</v>
      </c>
    </row>
    <row r="404" spans="2:10" x14ac:dyDescent="0.25">
      <c r="B404" s="32">
        <f t="shared" si="148"/>
        <v>397</v>
      </c>
      <c r="C404" s="28"/>
      <c r="D404" s="28"/>
      <c r="E404" s="28"/>
      <c r="F404" s="28" t="s">
        <v>182</v>
      </c>
      <c r="G404" s="12" t="s">
        <v>183</v>
      </c>
      <c r="H404" s="13">
        <v>12000</v>
      </c>
      <c r="I404" s="13"/>
      <c r="J404" s="13">
        <f t="shared" si="156"/>
        <v>12000</v>
      </c>
    </row>
    <row r="405" spans="2:10" x14ac:dyDescent="0.25">
      <c r="B405" s="32">
        <f t="shared" si="148"/>
        <v>398</v>
      </c>
      <c r="C405" s="28"/>
      <c r="D405" s="28"/>
      <c r="E405" s="28"/>
      <c r="F405" s="28"/>
      <c r="G405" s="12" t="s">
        <v>631</v>
      </c>
      <c r="H405" s="13">
        <v>4000</v>
      </c>
      <c r="I405" s="13"/>
      <c r="J405" s="13">
        <f t="shared" si="156"/>
        <v>4000</v>
      </c>
    </row>
    <row r="406" spans="2:10" x14ac:dyDescent="0.25">
      <c r="B406" s="32">
        <f t="shared" si="148"/>
        <v>399</v>
      </c>
      <c r="C406" s="27"/>
      <c r="D406" s="27"/>
      <c r="E406" s="27">
        <v>312012</v>
      </c>
      <c r="F406" s="27"/>
      <c r="G406" s="9" t="s">
        <v>185</v>
      </c>
      <c r="H406" s="10">
        <f>SUM(H407:H416)</f>
        <v>7281395</v>
      </c>
      <c r="I406" s="10">
        <f t="shared" ref="I406" si="162">SUM(I407:I416)</f>
        <v>0</v>
      </c>
      <c r="J406" s="10">
        <f t="shared" si="156"/>
        <v>7281395</v>
      </c>
    </row>
    <row r="407" spans="2:10" x14ac:dyDescent="0.25">
      <c r="B407" s="32">
        <f t="shared" si="148"/>
        <v>400</v>
      </c>
      <c r="C407" s="28"/>
      <c r="D407" s="28"/>
      <c r="E407" s="28"/>
      <c r="F407" s="28" t="s">
        <v>186</v>
      </c>
      <c r="G407" s="12" t="s">
        <v>184</v>
      </c>
      <c r="H407" s="13">
        <f>6958100-290-19400</f>
        <v>6938410</v>
      </c>
      <c r="I407" s="13"/>
      <c r="J407" s="13">
        <f t="shared" si="156"/>
        <v>6938410</v>
      </c>
    </row>
    <row r="408" spans="2:10" x14ac:dyDescent="0.25">
      <c r="B408" s="32">
        <f t="shared" si="148"/>
        <v>401</v>
      </c>
      <c r="C408" s="28"/>
      <c r="D408" s="28"/>
      <c r="E408" s="28"/>
      <c r="F408" s="28" t="s">
        <v>187</v>
      </c>
      <c r="G408" s="12" t="s">
        <v>188</v>
      </c>
      <c r="H408" s="13">
        <f>83700-45+327</f>
        <v>83982</v>
      </c>
      <c r="I408" s="13"/>
      <c r="J408" s="13">
        <f t="shared" si="156"/>
        <v>83982</v>
      </c>
    </row>
    <row r="409" spans="2:10" x14ac:dyDescent="0.25">
      <c r="B409" s="32">
        <f t="shared" si="148"/>
        <v>402</v>
      </c>
      <c r="C409" s="28"/>
      <c r="D409" s="28"/>
      <c r="E409" s="28"/>
      <c r="F409" s="28" t="s">
        <v>189</v>
      </c>
      <c r="G409" s="12" t="s">
        <v>190</v>
      </c>
      <c r="H409" s="13">
        <v>99000</v>
      </c>
      <c r="I409" s="13"/>
      <c r="J409" s="13">
        <f t="shared" si="156"/>
        <v>99000</v>
      </c>
    </row>
    <row r="410" spans="2:10" x14ac:dyDescent="0.25">
      <c r="B410" s="32">
        <f t="shared" si="148"/>
        <v>403</v>
      </c>
      <c r="C410" s="28"/>
      <c r="D410" s="28"/>
      <c r="E410" s="28"/>
      <c r="F410" s="28" t="s">
        <v>191</v>
      </c>
      <c r="G410" s="12" t="s">
        <v>192</v>
      </c>
      <c r="H410" s="13">
        <v>52000</v>
      </c>
      <c r="I410" s="13"/>
      <c r="J410" s="13">
        <f t="shared" si="156"/>
        <v>52000</v>
      </c>
    </row>
    <row r="411" spans="2:10" x14ac:dyDescent="0.25">
      <c r="B411" s="32">
        <f t="shared" si="148"/>
        <v>404</v>
      </c>
      <c r="C411" s="28"/>
      <c r="D411" s="28"/>
      <c r="E411" s="28"/>
      <c r="F411" s="28" t="s">
        <v>193</v>
      </c>
      <c r="G411" s="12" t="s">
        <v>194</v>
      </c>
      <c r="H411" s="13">
        <f>38900+2140</f>
        <v>41040</v>
      </c>
      <c r="I411" s="13"/>
      <c r="J411" s="13">
        <f t="shared" si="156"/>
        <v>41040</v>
      </c>
    </row>
    <row r="412" spans="2:10" x14ac:dyDescent="0.25">
      <c r="B412" s="32">
        <f t="shared" si="148"/>
        <v>405</v>
      </c>
      <c r="C412" s="28"/>
      <c r="D412" s="28"/>
      <c r="E412" s="28"/>
      <c r="F412" s="28" t="s">
        <v>195</v>
      </c>
      <c r="G412" s="12" t="s">
        <v>196</v>
      </c>
      <c r="H412" s="13">
        <v>18500</v>
      </c>
      <c r="I412" s="13"/>
      <c r="J412" s="13">
        <f t="shared" si="156"/>
        <v>18500</v>
      </c>
    </row>
    <row r="413" spans="2:10" x14ac:dyDescent="0.25">
      <c r="B413" s="32">
        <f t="shared" si="148"/>
        <v>406</v>
      </c>
      <c r="C413" s="28"/>
      <c r="D413" s="28"/>
      <c r="E413" s="28"/>
      <c r="F413" s="28" t="s">
        <v>197</v>
      </c>
      <c r="G413" s="12" t="s">
        <v>198</v>
      </c>
      <c r="H413" s="13">
        <v>24500</v>
      </c>
      <c r="I413" s="13"/>
      <c r="J413" s="13">
        <f t="shared" si="156"/>
        <v>24500</v>
      </c>
    </row>
    <row r="414" spans="2:10" x14ac:dyDescent="0.25">
      <c r="B414" s="32">
        <f t="shared" si="148"/>
        <v>407</v>
      </c>
      <c r="C414" s="28"/>
      <c r="D414" s="28"/>
      <c r="E414" s="28"/>
      <c r="F414" s="28" t="s">
        <v>199</v>
      </c>
      <c r="G414" s="12" t="s">
        <v>200</v>
      </c>
      <c r="H414" s="13">
        <v>5200</v>
      </c>
      <c r="I414" s="13"/>
      <c r="J414" s="13">
        <f t="shared" si="156"/>
        <v>5200</v>
      </c>
    </row>
    <row r="415" spans="2:10" x14ac:dyDescent="0.25">
      <c r="B415" s="32">
        <f t="shared" si="148"/>
        <v>408</v>
      </c>
      <c r="C415" s="28"/>
      <c r="D415" s="28"/>
      <c r="E415" s="28"/>
      <c r="F415" s="28"/>
      <c r="G415" s="12" t="s">
        <v>201</v>
      </c>
      <c r="H415" s="13">
        <v>11100</v>
      </c>
      <c r="I415" s="13"/>
      <c r="J415" s="13">
        <f t="shared" si="156"/>
        <v>11100</v>
      </c>
    </row>
    <row r="416" spans="2:10" ht="15.75" thickBot="1" x14ac:dyDescent="0.3">
      <c r="B416" s="32">
        <f t="shared" si="148"/>
        <v>409</v>
      </c>
      <c r="C416" s="28"/>
      <c r="D416" s="28"/>
      <c r="E416" s="28"/>
      <c r="F416" s="28"/>
      <c r="G416" s="12" t="s">
        <v>602</v>
      </c>
      <c r="H416" s="13">
        <v>7663</v>
      </c>
      <c r="I416" s="13"/>
      <c r="J416" s="13">
        <f t="shared" si="156"/>
        <v>7663</v>
      </c>
    </row>
    <row r="417" spans="2:10" ht="15.75" thickBot="1" x14ac:dyDescent="0.3">
      <c r="B417" s="32">
        <f t="shared" si="148"/>
        <v>410</v>
      </c>
      <c r="C417" s="24">
        <v>1</v>
      </c>
      <c r="D417" s="24"/>
      <c r="E417" s="24"/>
      <c r="F417" s="24"/>
      <c r="G417" s="3" t="s">
        <v>583</v>
      </c>
      <c r="H417" s="4">
        <f>H418</f>
        <v>3800</v>
      </c>
      <c r="I417" s="4">
        <f t="shared" ref="I417:I418" si="163">I418</f>
        <v>0</v>
      </c>
      <c r="J417" s="4">
        <f t="shared" si="156"/>
        <v>3800</v>
      </c>
    </row>
    <row r="418" spans="2:10" x14ac:dyDescent="0.25">
      <c r="B418" s="32">
        <f t="shared" si="148"/>
        <v>411</v>
      </c>
      <c r="C418" s="26">
        <v>310</v>
      </c>
      <c r="D418" s="26"/>
      <c r="E418" s="26"/>
      <c r="F418" s="26"/>
      <c r="G418" s="7" t="s">
        <v>177</v>
      </c>
      <c r="H418" s="8">
        <f>H419</f>
        <v>3800</v>
      </c>
      <c r="I418" s="8">
        <f t="shared" si="163"/>
        <v>0</v>
      </c>
      <c r="J418" s="8">
        <f t="shared" si="156"/>
        <v>3800</v>
      </c>
    </row>
    <row r="419" spans="2:10" ht="15.75" thickBot="1" x14ac:dyDescent="0.3">
      <c r="B419" s="32">
        <f t="shared" si="148"/>
        <v>412</v>
      </c>
      <c r="C419" s="27"/>
      <c r="D419" s="27">
        <v>312</v>
      </c>
      <c r="E419" s="27"/>
      <c r="F419" s="27"/>
      <c r="G419" s="9" t="s">
        <v>178</v>
      </c>
      <c r="H419" s="10">
        <v>3800</v>
      </c>
      <c r="I419" s="10"/>
      <c r="J419" s="10">
        <f t="shared" si="156"/>
        <v>3800</v>
      </c>
    </row>
    <row r="420" spans="2:10" ht="15.75" thickBot="1" x14ac:dyDescent="0.3">
      <c r="B420" s="32">
        <f t="shared" si="148"/>
        <v>413</v>
      </c>
      <c r="C420" s="24">
        <v>5</v>
      </c>
      <c r="D420" s="24"/>
      <c r="E420" s="24"/>
      <c r="F420" s="24"/>
      <c r="G420" s="3" t="s">
        <v>121</v>
      </c>
      <c r="H420" s="4">
        <f>H421</f>
        <v>334012</v>
      </c>
      <c r="I420" s="4">
        <f t="shared" ref="I420:I421" si="164">I421</f>
        <v>0</v>
      </c>
      <c r="J420" s="4">
        <f t="shared" si="156"/>
        <v>334012</v>
      </c>
    </row>
    <row r="421" spans="2:10" x14ac:dyDescent="0.25">
      <c r="B421" s="32">
        <f t="shared" si="148"/>
        <v>414</v>
      </c>
      <c r="C421" s="25" t="s">
        <v>49</v>
      </c>
      <c r="D421" s="25"/>
      <c r="E421" s="25"/>
      <c r="F421" s="25"/>
      <c r="G421" s="5"/>
      <c r="H421" s="6">
        <f>H422</f>
        <v>334012</v>
      </c>
      <c r="I421" s="6">
        <f t="shared" si="164"/>
        <v>0</v>
      </c>
      <c r="J421" s="6">
        <f t="shared" si="156"/>
        <v>334012</v>
      </c>
    </row>
    <row r="422" spans="2:10" x14ac:dyDescent="0.25">
      <c r="B422" s="32">
        <f t="shared" si="148"/>
        <v>415</v>
      </c>
      <c r="C422" s="26">
        <v>310</v>
      </c>
      <c r="D422" s="26"/>
      <c r="E422" s="26"/>
      <c r="F422" s="26"/>
      <c r="G422" s="7" t="s">
        <v>177</v>
      </c>
      <c r="H422" s="8">
        <f>H424+H423</f>
        <v>334012</v>
      </c>
      <c r="I422" s="8">
        <f t="shared" ref="I422" si="165">I424+I423</f>
        <v>0</v>
      </c>
      <c r="J422" s="8">
        <f t="shared" si="156"/>
        <v>334012</v>
      </c>
    </row>
    <row r="423" spans="2:10" x14ac:dyDescent="0.25">
      <c r="B423" s="32">
        <f t="shared" si="148"/>
        <v>416</v>
      </c>
      <c r="C423" s="26"/>
      <c r="D423" s="26">
        <v>311</v>
      </c>
      <c r="E423" s="26"/>
      <c r="F423" s="26"/>
      <c r="G423" s="9" t="s">
        <v>620</v>
      </c>
      <c r="H423" s="10">
        <v>5512</v>
      </c>
      <c r="I423" s="10"/>
      <c r="J423" s="10">
        <f t="shared" si="156"/>
        <v>5512</v>
      </c>
    </row>
    <row r="424" spans="2:10" x14ac:dyDescent="0.25">
      <c r="B424" s="32">
        <f t="shared" si="148"/>
        <v>417</v>
      </c>
      <c r="C424" s="27"/>
      <c r="D424" s="27">
        <v>312</v>
      </c>
      <c r="E424" s="27"/>
      <c r="F424" s="27"/>
      <c r="G424" s="9" t="s">
        <v>178</v>
      </c>
      <c r="H424" s="10">
        <f>H425</f>
        <v>328500</v>
      </c>
      <c r="I424" s="10">
        <f t="shared" ref="I424" si="166">I425</f>
        <v>0</v>
      </c>
      <c r="J424" s="10">
        <f t="shared" si="156"/>
        <v>328500</v>
      </c>
    </row>
    <row r="425" spans="2:10" x14ac:dyDescent="0.25">
      <c r="B425" s="32">
        <f t="shared" si="148"/>
        <v>418</v>
      </c>
      <c r="C425" s="28"/>
      <c r="D425" s="28"/>
      <c r="E425" s="28">
        <v>312001</v>
      </c>
      <c r="F425" s="28"/>
      <c r="G425" s="12" t="s">
        <v>179</v>
      </c>
      <c r="H425" s="13">
        <v>328500</v>
      </c>
      <c r="I425" s="13"/>
      <c r="J425" s="13">
        <f t="shared" si="156"/>
        <v>328500</v>
      </c>
    </row>
    <row r="426" spans="2:10" x14ac:dyDescent="0.25">
      <c r="B426" s="32">
        <f t="shared" si="148"/>
        <v>419</v>
      </c>
      <c r="C426" s="29"/>
      <c r="D426" s="29"/>
      <c r="E426" s="29"/>
      <c r="F426" s="29"/>
      <c r="G426" s="17" t="s">
        <v>202</v>
      </c>
      <c r="H426" s="18">
        <f>H398+H24+H8</f>
        <v>38216770</v>
      </c>
      <c r="I426" s="18">
        <f t="shared" ref="I426" si="167">I398+I24+I8</f>
        <v>37565</v>
      </c>
      <c r="J426" s="18">
        <f t="shared" si="156"/>
        <v>38254335</v>
      </c>
    </row>
    <row r="428" spans="2:10" ht="12" customHeight="1" x14ac:dyDescent="0.25">
      <c r="B428" s="208" t="s">
        <v>203</v>
      </c>
      <c r="C428" s="209"/>
      <c r="D428" s="209"/>
      <c r="E428" s="209"/>
      <c r="F428" s="209"/>
      <c r="G428" s="210"/>
      <c r="H428" s="214" t="s">
        <v>560</v>
      </c>
      <c r="I428" s="196" t="s">
        <v>635</v>
      </c>
      <c r="J428" s="196" t="s">
        <v>636</v>
      </c>
    </row>
    <row r="429" spans="2:10" ht="9" customHeight="1" x14ac:dyDescent="0.25">
      <c r="B429" s="211"/>
      <c r="C429" s="212"/>
      <c r="D429" s="212"/>
      <c r="E429" s="212"/>
      <c r="F429" s="212"/>
      <c r="G429" s="213"/>
      <c r="H429" s="215"/>
      <c r="I429" s="197"/>
      <c r="J429" s="197"/>
    </row>
    <row r="430" spans="2:10" x14ac:dyDescent="0.25">
      <c r="B430" s="200" t="s">
        <v>1</v>
      </c>
      <c r="C430" s="202" t="s">
        <v>2</v>
      </c>
      <c r="D430" s="204" t="s">
        <v>3</v>
      </c>
      <c r="E430" s="204" t="s">
        <v>4</v>
      </c>
      <c r="F430" s="204" t="s">
        <v>5</v>
      </c>
      <c r="G430" s="206" t="s">
        <v>6</v>
      </c>
      <c r="H430" s="215"/>
      <c r="I430" s="197"/>
      <c r="J430" s="197"/>
    </row>
    <row r="431" spans="2:10" ht="8.25" customHeight="1" thickBot="1" x14ac:dyDescent="0.3">
      <c r="B431" s="201"/>
      <c r="C431" s="203"/>
      <c r="D431" s="205"/>
      <c r="E431" s="205"/>
      <c r="F431" s="205"/>
      <c r="G431" s="207"/>
      <c r="H431" s="216"/>
      <c r="I431" s="198"/>
      <c r="J431" s="198"/>
    </row>
    <row r="432" spans="2:10" ht="17.25" thickTop="1" thickBot="1" x14ac:dyDescent="0.3">
      <c r="B432" s="91">
        <v>1</v>
      </c>
      <c r="C432" s="23">
        <v>200</v>
      </c>
      <c r="D432" s="23"/>
      <c r="E432" s="23"/>
      <c r="F432" s="23"/>
      <c r="G432" s="1" t="s">
        <v>23</v>
      </c>
      <c r="H432" s="2">
        <f>H433</f>
        <v>774007</v>
      </c>
      <c r="I432" s="2">
        <f t="shared" ref="I432" si="168">I433</f>
        <v>-409007</v>
      </c>
      <c r="J432" s="2">
        <f>H432+I432</f>
        <v>365000</v>
      </c>
    </row>
    <row r="433" spans="2:10" ht="15.75" thickBot="1" x14ac:dyDescent="0.3">
      <c r="B433" s="92">
        <v>2</v>
      </c>
      <c r="C433" s="24"/>
      <c r="D433" s="24"/>
      <c r="E433" s="24"/>
      <c r="F433" s="24"/>
      <c r="G433" s="3" t="s">
        <v>8</v>
      </c>
      <c r="H433" s="4">
        <f>H434+H439</f>
        <v>774007</v>
      </c>
      <c r="I433" s="4">
        <f t="shared" ref="I433" si="169">I434+I439</f>
        <v>-409007</v>
      </c>
      <c r="J433" s="4">
        <f t="shared" ref="J433:J442" si="170">H433+I433</f>
        <v>365000</v>
      </c>
    </row>
    <row r="434" spans="2:10" x14ac:dyDescent="0.25">
      <c r="B434" s="32">
        <v>3</v>
      </c>
      <c r="C434" s="25">
        <v>230</v>
      </c>
      <c r="D434" s="25"/>
      <c r="E434" s="25"/>
      <c r="F434" s="25"/>
      <c r="G434" s="5" t="s">
        <v>203</v>
      </c>
      <c r="H434" s="6">
        <f>H435+H437</f>
        <v>759007</v>
      </c>
      <c r="I434" s="6">
        <f t="shared" ref="I434" si="171">I435+I437</f>
        <v>-409007</v>
      </c>
      <c r="J434" s="6">
        <f t="shared" si="170"/>
        <v>350000</v>
      </c>
    </row>
    <row r="435" spans="2:10" x14ac:dyDescent="0.25">
      <c r="B435" s="32">
        <f>B434+1</f>
        <v>4</v>
      </c>
      <c r="C435" s="26"/>
      <c r="D435" s="26">
        <v>231</v>
      </c>
      <c r="E435" s="26"/>
      <c r="F435" s="26"/>
      <c r="G435" s="7" t="s">
        <v>204</v>
      </c>
      <c r="H435" s="8">
        <f>H436</f>
        <v>200000</v>
      </c>
      <c r="I435" s="8">
        <f t="shared" ref="I435" si="172">I436</f>
        <v>0</v>
      </c>
      <c r="J435" s="8">
        <f t="shared" si="170"/>
        <v>200000</v>
      </c>
    </row>
    <row r="436" spans="2:10" x14ac:dyDescent="0.25">
      <c r="B436" s="32">
        <f>B435+1</f>
        <v>5</v>
      </c>
      <c r="C436" s="27"/>
      <c r="D436" s="27"/>
      <c r="E436" s="27">
        <v>231</v>
      </c>
      <c r="F436" s="27"/>
      <c r="G436" s="9" t="s">
        <v>204</v>
      </c>
      <c r="H436" s="10">
        <f>200000</f>
        <v>200000</v>
      </c>
      <c r="I436" s="10"/>
      <c r="J436" s="10">
        <f t="shared" si="170"/>
        <v>200000</v>
      </c>
    </row>
    <row r="437" spans="2:10" x14ac:dyDescent="0.25">
      <c r="B437" s="32">
        <f>B436+1</f>
        <v>6</v>
      </c>
      <c r="C437" s="147"/>
      <c r="D437" s="26">
        <v>233</v>
      </c>
      <c r="E437" s="26"/>
      <c r="F437" s="26"/>
      <c r="G437" s="7" t="s">
        <v>600</v>
      </c>
      <c r="H437" s="8">
        <f>H438</f>
        <v>559007</v>
      </c>
      <c r="I437" s="8">
        <f t="shared" ref="I437" si="173">I438</f>
        <v>-409007</v>
      </c>
      <c r="J437" s="8">
        <f t="shared" si="170"/>
        <v>150000</v>
      </c>
    </row>
    <row r="438" spans="2:10" x14ac:dyDescent="0.25">
      <c r="B438" s="32">
        <f t="shared" ref="B438:B442" si="174">B437+1</f>
        <v>7</v>
      </c>
      <c r="C438" s="147"/>
      <c r="D438" s="147"/>
      <c r="E438" s="147">
        <v>233</v>
      </c>
      <c r="F438" s="147"/>
      <c r="G438" s="148" t="s">
        <v>591</v>
      </c>
      <c r="H438" s="149">
        <f>175407+148400+10000+2000+179000+44200</f>
        <v>559007</v>
      </c>
      <c r="I438" s="149">
        <v>-409007</v>
      </c>
      <c r="J438" s="149">
        <f t="shared" si="170"/>
        <v>150000</v>
      </c>
    </row>
    <row r="439" spans="2:10" x14ac:dyDescent="0.25">
      <c r="B439" s="32">
        <f t="shared" si="174"/>
        <v>8</v>
      </c>
      <c r="C439" s="25">
        <v>320</v>
      </c>
      <c r="D439" s="25"/>
      <c r="E439" s="25"/>
      <c r="F439" s="25"/>
      <c r="G439" s="5" t="s">
        <v>203</v>
      </c>
      <c r="H439" s="6">
        <f>H440</f>
        <v>15000</v>
      </c>
      <c r="I439" s="6">
        <f t="shared" ref="I439:I440" si="175">I440</f>
        <v>0</v>
      </c>
      <c r="J439" s="6">
        <f t="shared" si="170"/>
        <v>15000</v>
      </c>
    </row>
    <row r="440" spans="2:10" x14ac:dyDescent="0.25">
      <c r="B440" s="32">
        <f t="shared" si="174"/>
        <v>9</v>
      </c>
      <c r="C440" s="26"/>
      <c r="D440" s="26">
        <v>322</v>
      </c>
      <c r="E440" s="26"/>
      <c r="F440" s="26"/>
      <c r="G440" s="7" t="s">
        <v>178</v>
      </c>
      <c r="H440" s="8">
        <f>H441</f>
        <v>15000</v>
      </c>
      <c r="I440" s="8">
        <f t="shared" si="175"/>
        <v>0</v>
      </c>
      <c r="J440" s="8">
        <f t="shared" si="170"/>
        <v>15000</v>
      </c>
    </row>
    <row r="441" spans="2:10" x14ac:dyDescent="0.25">
      <c r="B441" s="32">
        <f t="shared" si="174"/>
        <v>10</v>
      </c>
      <c r="C441" s="27"/>
      <c r="D441" s="27"/>
      <c r="E441" s="27">
        <v>322</v>
      </c>
      <c r="F441" s="27"/>
      <c r="G441" s="9" t="s">
        <v>621</v>
      </c>
      <c r="H441" s="10">
        <v>15000</v>
      </c>
      <c r="I441" s="10"/>
      <c r="J441" s="10">
        <f t="shared" si="170"/>
        <v>15000</v>
      </c>
    </row>
    <row r="442" spans="2:10" x14ac:dyDescent="0.25">
      <c r="B442" s="32">
        <f t="shared" si="174"/>
        <v>11</v>
      </c>
      <c r="C442" s="29"/>
      <c r="D442" s="29"/>
      <c r="E442" s="29"/>
      <c r="F442" s="29"/>
      <c r="G442" s="17" t="s">
        <v>205</v>
      </c>
      <c r="H442" s="18">
        <f>H432</f>
        <v>774007</v>
      </c>
      <c r="I442" s="18">
        <f t="shared" ref="I442" si="176">I432</f>
        <v>-409007</v>
      </c>
      <c r="J442" s="18">
        <f t="shared" si="170"/>
        <v>365000</v>
      </c>
    </row>
    <row r="444" spans="2:10" ht="12.75" customHeight="1" x14ac:dyDescent="0.25">
      <c r="B444" s="208" t="s">
        <v>206</v>
      </c>
      <c r="C444" s="209"/>
      <c r="D444" s="209"/>
      <c r="E444" s="209"/>
      <c r="F444" s="209"/>
      <c r="G444" s="210"/>
      <c r="H444" s="214" t="s">
        <v>560</v>
      </c>
      <c r="I444" s="196" t="s">
        <v>635</v>
      </c>
      <c r="J444" s="196" t="s">
        <v>636</v>
      </c>
    </row>
    <row r="445" spans="2:10" ht="9.75" customHeight="1" x14ac:dyDescent="0.25">
      <c r="B445" s="211"/>
      <c r="C445" s="212"/>
      <c r="D445" s="212"/>
      <c r="E445" s="212"/>
      <c r="F445" s="212"/>
      <c r="G445" s="213"/>
      <c r="H445" s="215"/>
      <c r="I445" s="197"/>
      <c r="J445" s="197"/>
    </row>
    <row r="446" spans="2:10" x14ac:dyDescent="0.25">
      <c r="B446" s="200" t="s">
        <v>1</v>
      </c>
      <c r="C446" s="202" t="s">
        <v>2</v>
      </c>
      <c r="D446" s="204" t="s">
        <v>3</v>
      </c>
      <c r="E446" s="204" t="s">
        <v>4</v>
      </c>
      <c r="F446" s="204" t="s">
        <v>5</v>
      </c>
      <c r="G446" s="206" t="s">
        <v>6</v>
      </c>
      <c r="H446" s="215"/>
      <c r="I446" s="197"/>
      <c r="J446" s="197"/>
    </row>
    <row r="447" spans="2:10" ht="9.75" customHeight="1" thickBot="1" x14ac:dyDescent="0.3">
      <c r="B447" s="201"/>
      <c r="C447" s="203"/>
      <c r="D447" s="205"/>
      <c r="E447" s="205"/>
      <c r="F447" s="205"/>
      <c r="G447" s="207"/>
      <c r="H447" s="216"/>
      <c r="I447" s="198"/>
      <c r="J447" s="198"/>
    </row>
    <row r="448" spans="2:10" ht="15.75" thickTop="1" x14ac:dyDescent="0.25">
      <c r="B448" s="93">
        <v>1</v>
      </c>
      <c r="C448" s="29"/>
      <c r="D448" s="29"/>
      <c r="E448" s="29"/>
      <c r="F448" s="29"/>
      <c r="G448" s="17" t="s">
        <v>202</v>
      </c>
      <c r="H448" s="18">
        <f>H426</f>
        <v>38216770</v>
      </c>
      <c r="I448" s="18">
        <f>I426</f>
        <v>37565</v>
      </c>
      <c r="J448" s="18">
        <f t="shared" ref="J448:J450" si="177">H448+I448</f>
        <v>38254335</v>
      </c>
    </row>
    <row r="449" spans="2:10" ht="15.75" thickBot="1" x14ac:dyDescent="0.3">
      <c r="B449" s="93">
        <v>2</v>
      </c>
      <c r="C449" s="29"/>
      <c r="D449" s="29"/>
      <c r="E449" s="29"/>
      <c r="F449" s="29"/>
      <c r="G449" s="17" t="s">
        <v>205</v>
      </c>
      <c r="H449" s="18">
        <f>H442</f>
        <v>774007</v>
      </c>
      <c r="I449" s="18">
        <f t="shared" ref="I449" si="178">I442</f>
        <v>-409007</v>
      </c>
      <c r="J449" s="18">
        <f t="shared" si="177"/>
        <v>365000</v>
      </c>
    </row>
    <row r="450" spans="2:10" ht="16.5" thickTop="1" x14ac:dyDescent="0.25">
      <c r="B450" s="94">
        <v>3</v>
      </c>
      <c r="C450" s="31"/>
      <c r="D450" s="31"/>
      <c r="E450" s="31"/>
      <c r="F450" s="31"/>
      <c r="G450" s="19" t="s">
        <v>206</v>
      </c>
      <c r="H450" s="20">
        <f>H448+H449</f>
        <v>38990777</v>
      </c>
      <c r="I450" s="20">
        <f t="shared" ref="I450" si="179">I448+I449</f>
        <v>-371442</v>
      </c>
      <c r="J450" s="20">
        <f t="shared" si="177"/>
        <v>38619335</v>
      </c>
    </row>
    <row r="453" spans="2:10" x14ac:dyDescent="0.25">
      <c r="H453"/>
    </row>
    <row r="454" spans="2:10" x14ac:dyDescent="0.25">
      <c r="H454"/>
    </row>
    <row r="455" spans="2:10" x14ac:dyDescent="0.25">
      <c r="H455"/>
    </row>
    <row r="456" spans="2:10" x14ac:dyDescent="0.25">
      <c r="H456"/>
    </row>
    <row r="457" spans="2:10" x14ac:dyDescent="0.25">
      <c r="H457"/>
    </row>
    <row r="458" spans="2:10" x14ac:dyDescent="0.25">
      <c r="H458"/>
    </row>
    <row r="459" spans="2:10" x14ac:dyDescent="0.25">
      <c r="H459"/>
    </row>
    <row r="460" spans="2:10" x14ac:dyDescent="0.25">
      <c r="H460"/>
    </row>
    <row r="461" spans="2:10" x14ac:dyDescent="0.25">
      <c r="H461"/>
    </row>
    <row r="462" spans="2:10" x14ac:dyDescent="0.25">
      <c r="H462"/>
    </row>
    <row r="463" spans="2:10" x14ac:dyDescent="0.25">
      <c r="H463"/>
    </row>
    <row r="464" spans="2:10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70" spans="8:8" x14ac:dyDescent="0.25">
      <c r="H470"/>
    </row>
    <row r="471" spans="8:8" x14ac:dyDescent="0.25">
      <c r="H471"/>
    </row>
  </sheetData>
  <mergeCells count="31">
    <mergeCell ref="G6:G7"/>
    <mergeCell ref="B4:G5"/>
    <mergeCell ref="H4:H7"/>
    <mergeCell ref="F430:F431"/>
    <mergeCell ref="B6:B7"/>
    <mergeCell ref="C6:C7"/>
    <mergeCell ref="D6:D7"/>
    <mergeCell ref="E6:E7"/>
    <mergeCell ref="F6:F7"/>
    <mergeCell ref="B428:G429"/>
    <mergeCell ref="H428:H431"/>
    <mergeCell ref="B430:B431"/>
    <mergeCell ref="C430:C431"/>
    <mergeCell ref="D430:D431"/>
    <mergeCell ref="E430:E431"/>
    <mergeCell ref="I444:I447"/>
    <mergeCell ref="J444:J447"/>
    <mergeCell ref="B2:J2"/>
    <mergeCell ref="I4:I7"/>
    <mergeCell ref="J4:J7"/>
    <mergeCell ref="I428:I431"/>
    <mergeCell ref="J428:J431"/>
    <mergeCell ref="B446:B447"/>
    <mergeCell ref="C446:C447"/>
    <mergeCell ref="D446:D447"/>
    <mergeCell ref="E446:E447"/>
    <mergeCell ref="F446:F447"/>
    <mergeCell ref="G446:G447"/>
    <mergeCell ref="B444:G445"/>
    <mergeCell ref="H444:H447"/>
    <mergeCell ref="G430:G431"/>
  </mergeCells>
  <pageMargins left="0.23622047244094491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7"/>
  <sheetViews>
    <sheetView zoomScale="90" zoomScaleNormal="90" workbookViewId="0"/>
  </sheetViews>
  <sheetFormatPr defaultRowHeight="15" x14ac:dyDescent="0.25"/>
  <cols>
    <col min="1" max="1" width="1" customWidth="1"/>
    <col min="2" max="2" width="5" style="75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2" customWidth="1"/>
    <col min="8" max="8" width="39.7109375" customWidth="1"/>
    <col min="9" max="9" width="12.42578125" style="11" customWidth="1"/>
    <col min="10" max="10" width="11.28515625" style="133" customWidth="1"/>
    <col min="11" max="11" width="12.28515625" style="133" customWidth="1"/>
    <col min="12" max="12" width="1.5703125" style="133" customWidth="1"/>
    <col min="13" max="13" width="12.28515625" style="11" customWidth="1"/>
    <col min="14" max="14" width="10.85546875" customWidth="1"/>
    <col min="15" max="15" width="13.140625" customWidth="1"/>
    <col min="16" max="16" width="1.85546875" customWidth="1"/>
    <col min="17" max="17" width="13" customWidth="1"/>
    <col min="18" max="18" width="10.85546875" customWidth="1"/>
    <col min="19" max="19" width="12.57031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19" x14ac:dyDescent="0.25">
      <c r="A1" t="s">
        <v>1</v>
      </c>
    </row>
    <row r="2" spans="1:19" ht="27" x14ac:dyDescent="0.35">
      <c r="B2" s="231" t="s">
        <v>559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9" ht="19.5" customHeight="1" x14ac:dyDescent="0.25">
      <c r="B3" s="233" t="s">
        <v>208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  <c r="N3" s="169"/>
      <c r="O3" s="170"/>
      <c r="Q3" s="236" t="s">
        <v>563</v>
      </c>
      <c r="R3" s="221" t="s">
        <v>635</v>
      </c>
      <c r="S3" s="221" t="s">
        <v>636</v>
      </c>
    </row>
    <row r="4" spans="1:19" ht="12.75" customHeight="1" x14ac:dyDescent="0.25">
      <c r="B4" s="237"/>
      <c r="C4" s="240" t="s">
        <v>209</v>
      </c>
      <c r="D4" s="240" t="s">
        <v>210</v>
      </c>
      <c r="E4" s="240" t="s">
        <v>211</v>
      </c>
      <c r="F4" s="240" t="s">
        <v>212</v>
      </c>
      <c r="G4" s="243" t="s">
        <v>213</v>
      </c>
      <c r="H4" s="245" t="s">
        <v>214</v>
      </c>
      <c r="I4" s="248" t="s">
        <v>561</v>
      </c>
      <c r="J4" s="222" t="s">
        <v>635</v>
      </c>
      <c r="K4" s="222" t="s">
        <v>637</v>
      </c>
      <c r="L4" s="129"/>
      <c r="M4" s="250" t="s">
        <v>562</v>
      </c>
      <c r="N4" s="222" t="s">
        <v>635</v>
      </c>
      <c r="O4" s="222" t="s">
        <v>638</v>
      </c>
      <c r="Q4" s="236"/>
      <c r="R4" s="222"/>
      <c r="S4" s="222"/>
    </row>
    <row r="5" spans="1:19" ht="10.5" customHeight="1" x14ac:dyDescent="0.25">
      <c r="B5" s="238"/>
      <c r="C5" s="241"/>
      <c r="D5" s="241"/>
      <c r="E5" s="241"/>
      <c r="F5" s="241"/>
      <c r="G5" s="243"/>
      <c r="H5" s="246"/>
      <c r="I5" s="248"/>
      <c r="J5" s="222"/>
      <c r="K5" s="222"/>
      <c r="L5" s="129"/>
      <c r="M5" s="250"/>
      <c r="N5" s="222"/>
      <c r="O5" s="222"/>
      <c r="Q5" s="236"/>
      <c r="R5" s="222"/>
      <c r="S5" s="222"/>
    </row>
    <row r="6" spans="1:19" ht="9" customHeight="1" x14ac:dyDescent="0.25">
      <c r="B6" s="238"/>
      <c r="C6" s="241"/>
      <c r="D6" s="241"/>
      <c r="E6" s="241"/>
      <c r="F6" s="241"/>
      <c r="G6" s="243"/>
      <c r="H6" s="246"/>
      <c r="I6" s="248"/>
      <c r="J6" s="222"/>
      <c r="K6" s="222"/>
      <c r="L6" s="129"/>
      <c r="M6" s="250"/>
      <c r="N6" s="222"/>
      <c r="O6" s="222"/>
      <c r="Q6" s="236"/>
      <c r="R6" s="222"/>
      <c r="S6" s="222"/>
    </row>
    <row r="7" spans="1:19" ht="15.75" customHeight="1" thickBot="1" x14ac:dyDescent="0.3">
      <c r="B7" s="239"/>
      <c r="C7" s="242"/>
      <c r="D7" s="242"/>
      <c r="E7" s="242"/>
      <c r="F7" s="242"/>
      <c r="G7" s="244"/>
      <c r="H7" s="247"/>
      <c r="I7" s="249"/>
      <c r="J7" s="223"/>
      <c r="K7" s="223"/>
      <c r="L7" s="129"/>
      <c r="M7" s="251"/>
      <c r="N7" s="223"/>
      <c r="O7" s="223"/>
      <c r="Q7" s="236"/>
      <c r="R7" s="223"/>
      <c r="S7" s="223"/>
    </row>
    <row r="8" spans="1:19" ht="16.5" thickTop="1" x14ac:dyDescent="0.25">
      <c r="B8" s="72">
        <v>1</v>
      </c>
      <c r="C8" s="224" t="s">
        <v>207</v>
      </c>
      <c r="D8" s="225"/>
      <c r="E8" s="225"/>
      <c r="F8" s="225"/>
      <c r="G8" s="225"/>
      <c r="H8" s="226"/>
      <c r="I8" s="33">
        <f>I9+I31+I45+I56+I64+I68</f>
        <v>477550</v>
      </c>
      <c r="J8" s="33">
        <f t="shared" ref="J8" si="0">J9+J31+J45+J56+J64+J68</f>
        <v>0</v>
      </c>
      <c r="K8" s="33">
        <f>I8+J8</f>
        <v>477550</v>
      </c>
      <c r="L8" s="134"/>
      <c r="M8" s="33">
        <f>M9+M31+M45+M56+M64+M68</f>
        <v>387300</v>
      </c>
      <c r="N8" s="33">
        <f t="shared" ref="N8" si="1">N9+N31+N45+N56+N64+N68</f>
        <v>0</v>
      </c>
      <c r="O8" s="33">
        <f>M8+N8</f>
        <v>387300</v>
      </c>
      <c r="Q8" s="137">
        <f t="shared" ref="Q8:Q29" si="2">I8+M8</f>
        <v>864850</v>
      </c>
      <c r="R8" s="137">
        <f t="shared" ref="R8:R68" si="3">J8+N8</f>
        <v>0</v>
      </c>
      <c r="S8" s="137">
        <f t="shared" ref="S8:S68" si="4">K8+O8</f>
        <v>864850</v>
      </c>
    </row>
    <row r="9" spans="1:19" ht="15.75" x14ac:dyDescent="0.25">
      <c r="B9" s="73">
        <f>B8+1</f>
        <v>2</v>
      </c>
      <c r="C9" s="34">
        <v>1</v>
      </c>
      <c r="D9" s="227" t="s">
        <v>215</v>
      </c>
      <c r="E9" s="228"/>
      <c r="F9" s="228"/>
      <c r="G9" s="228"/>
      <c r="H9" s="229"/>
      <c r="I9" s="35">
        <f>I10+I17+I20+I23+I26</f>
        <v>184150</v>
      </c>
      <c r="J9" s="35">
        <f t="shared" ref="J9" si="5">J10+J17+J20+J23+J26</f>
        <v>0</v>
      </c>
      <c r="K9" s="35">
        <f t="shared" ref="K9:K68" si="6">I9+J9</f>
        <v>184150</v>
      </c>
      <c r="L9" s="135"/>
      <c r="M9" s="35">
        <f>M10+M17+M20+M23+M26</f>
        <v>0</v>
      </c>
      <c r="N9" s="35">
        <f t="shared" ref="N9" si="7">N10+N17+N20+N23+N26</f>
        <v>0</v>
      </c>
      <c r="O9" s="35">
        <f t="shared" ref="O9:O68" si="8">M9+N9</f>
        <v>0</v>
      </c>
      <c r="Q9" s="35">
        <f t="shared" si="2"/>
        <v>184150</v>
      </c>
      <c r="R9" s="35">
        <f t="shared" si="3"/>
        <v>0</v>
      </c>
      <c r="S9" s="35">
        <f t="shared" si="4"/>
        <v>184150</v>
      </c>
    </row>
    <row r="10" spans="1:19" x14ac:dyDescent="0.25">
      <c r="B10" s="73">
        <f t="shared" ref="B10:B68" si="9">B9+1</f>
        <v>3</v>
      </c>
      <c r="C10" s="36"/>
      <c r="D10" s="36">
        <v>1</v>
      </c>
      <c r="E10" s="230" t="s">
        <v>216</v>
      </c>
      <c r="F10" s="228"/>
      <c r="G10" s="228"/>
      <c r="H10" s="229"/>
      <c r="I10" s="37">
        <f>I11</f>
        <v>17000</v>
      </c>
      <c r="J10" s="37">
        <f t="shared" ref="J10" si="10">J11</f>
        <v>0</v>
      </c>
      <c r="K10" s="37">
        <f t="shared" si="6"/>
        <v>17000</v>
      </c>
      <c r="L10" s="136"/>
      <c r="M10" s="37">
        <f>M11</f>
        <v>0</v>
      </c>
      <c r="N10" s="37">
        <f t="shared" ref="N10" si="11">N11</f>
        <v>0</v>
      </c>
      <c r="O10" s="37">
        <f t="shared" si="8"/>
        <v>0</v>
      </c>
      <c r="Q10" s="37">
        <f t="shared" si="2"/>
        <v>17000</v>
      </c>
      <c r="R10" s="37">
        <f t="shared" si="3"/>
        <v>0</v>
      </c>
      <c r="S10" s="37">
        <f t="shared" si="4"/>
        <v>17000</v>
      </c>
    </row>
    <row r="11" spans="1:19" x14ac:dyDescent="0.25">
      <c r="B11" s="73">
        <f>B10+1</f>
        <v>4</v>
      </c>
      <c r="C11" s="21"/>
      <c r="D11" s="21"/>
      <c r="E11" s="21"/>
      <c r="F11" s="42" t="s">
        <v>217</v>
      </c>
      <c r="G11" s="97">
        <v>630</v>
      </c>
      <c r="H11" s="21" t="s">
        <v>218</v>
      </c>
      <c r="I11" s="15">
        <f>SUM(I12:I16)</f>
        <v>17000</v>
      </c>
      <c r="J11" s="15">
        <f t="shared" ref="J11" si="12">SUM(J12:J16)</f>
        <v>0</v>
      </c>
      <c r="K11" s="15">
        <f t="shared" si="6"/>
        <v>17000</v>
      </c>
      <c r="L11" s="130"/>
      <c r="M11" s="15"/>
      <c r="N11" s="15"/>
      <c r="O11" s="15">
        <f t="shared" si="8"/>
        <v>0</v>
      </c>
      <c r="Q11" s="15">
        <f t="shared" si="2"/>
        <v>17000</v>
      </c>
      <c r="R11" s="15">
        <f t="shared" si="3"/>
        <v>0</v>
      </c>
      <c r="S11" s="15">
        <f t="shared" si="4"/>
        <v>17000</v>
      </c>
    </row>
    <row r="12" spans="1:19" x14ac:dyDescent="0.25">
      <c r="B12" s="73">
        <f t="shared" ref="B12:B34" si="13">B11+1</f>
        <v>5</v>
      </c>
      <c r="C12" s="9"/>
      <c r="D12" s="9"/>
      <c r="E12" s="9"/>
      <c r="F12" s="43" t="s">
        <v>217</v>
      </c>
      <c r="G12" s="98">
        <v>631</v>
      </c>
      <c r="H12" s="9" t="s">
        <v>219</v>
      </c>
      <c r="I12" s="10">
        <v>2000</v>
      </c>
      <c r="J12" s="10"/>
      <c r="K12" s="10">
        <f t="shared" si="6"/>
        <v>2000</v>
      </c>
      <c r="L12" s="131"/>
      <c r="M12" s="10"/>
      <c r="N12" s="10"/>
      <c r="O12" s="10">
        <f t="shared" si="8"/>
        <v>0</v>
      </c>
      <c r="Q12" s="10">
        <f t="shared" si="2"/>
        <v>2000</v>
      </c>
      <c r="R12" s="10">
        <f t="shared" si="3"/>
        <v>0</v>
      </c>
      <c r="S12" s="10">
        <f t="shared" si="4"/>
        <v>2000</v>
      </c>
    </row>
    <row r="13" spans="1:19" x14ac:dyDescent="0.25">
      <c r="B13" s="73">
        <f t="shared" si="13"/>
        <v>6</v>
      </c>
      <c r="C13" s="9"/>
      <c r="D13" s="9"/>
      <c r="E13" s="9"/>
      <c r="F13" s="43" t="s">
        <v>217</v>
      </c>
      <c r="G13" s="98">
        <v>633</v>
      </c>
      <c r="H13" s="9" t="s">
        <v>220</v>
      </c>
      <c r="I13" s="10">
        <f>8000-500</f>
        <v>7500</v>
      </c>
      <c r="J13" s="10"/>
      <c r="K13" s="10">
        <f t="shared" si="6"/>
        <v>7500</v>
      </c>
      <c r="L13" s="131"/>
      <c r="M13" s="10"/>
      <c r="N13" s="10"/>
      <c r="O13" s="10">
        <f t="shared" si="8"/>
        <v>0</v>
      </c>
      <c r="Q13" s="10">
        <f t="shared" si="2"/>
        <v>7500</v>
      </c>
      <c r="R13" s="10">
        <f t="shared" si="3"/>
        <v>0</v>
      </c>
      <c r="S13" s="10">
        <f t="shared" si="4"/>
        <v>7500</v>
      </c>
    </row>
    <row r="14" spans="1:19" x14ac:dyDescent="0.25">
      <c r="B14" s="73">
        <f t="shared" si="13"/>
        <v>7</v>
      </c>
      <c r="C14" s="9"/>
      <c r="D14" s="9"/>
      <c r="E14" s="9"/>
      <c r="F14" s="43" t="s">
        <v>217</v>
      </c>
      <c r="G14" s="98">
        <v>634</v>
      </c>
      <c r="H14" s="9" t="s">
        <v>221</v>
      </c>
      <c r="I14" s="10">
        <f>500+500</f>
        <v>1000</v>
      </c>
      <c r="J14" s="10"/>
      <c r="K14" s="10">
        <f t="shared" si="6"/>
        <v>1000</v>
      </c>
      <c r="L14" s="131"/>
      <c r="M14" s="10"/>
      <c r="N14" s="10"/>
      <c r="O14" s="10">
        <f t="shared" si="8"/>
        <v>0</v>
      </c>
      <c r="Q14" s="10">
        <f t="shared" si="2"/>
        <v>1000</v>
      </c>
      <c r="R14" s="10">
        <f t="shared" si="3"/>
        <v>0</v>
      </c>
      <c r="S14" s="10">
        <f t="shared" si="4"/>
        <v>1000</v>
      </c>
    </row>
    <row r="15" spans="1:19" x14ac:dyDescent="0.25">
      <c r="B15" s="73">
        <f t="shared" si="13"/>
        <v>8</v>
      </c>
      <c r="C15" s="9"/>
      <c r="D15" s="9"/>
      <c r="E15" s="9"/>
      <c r="F15" s="43" t="s">
        <v>217</v>
      </c>
      <c r="G15" s="98">
        <v>636</v>
      </c>
      <c r="H15" s="9" t="s">
        <v>222</v>
      </c>
      <c r="I15" s="10">
        <v>500</v>
      </c>
      <c r="J15" s="10"/>
      <c r="K15" s="10">
        <f t="shared" si="6"/>
        <v>500</v>
      </c>
      <c r="L15" s="131"/>
      <c r="M15" s="10"/>
      <c r="N15" s="10"/>
      <c r="O15" s="10">
        <f t="shared" si="8"/>
        <v>0</v>
      </c>
      <c r="Q15" s="10">
        <f t="shared" si="2"/>
        <v>500</v>
      </c>
      <c r="R15" s="10">
        <f t="shared" si="3"/>
        <v>0</v>
      </c>
      <c r="S15" s="10">
        <f t="shared" si="4"/>
        <v>500</v>
      </c>
    </row>
    <row r="16" spans="1:19" x14ac:dyDescent="0.25">
      <c r="B16" s="73">
        <f t="shared" si="13"/>
        <v>9</v>
      </c>
      <c r="C16" s="9"/>
      <c r="D16" s="9"/>
      <c r="E16" s="9"/>
      <c r="F16" s="43" t="s">
        <v>217</v>
      </c>
      <c r="G16" s="98">
        <v>637</v>
      </c>
      <c r="H16" s="9" t="s">
        <v>223</v>
      </c>
      <c r="I16" s="10">
        <v>6000</v>
      </c>
      <c r="J16" s="10"/>
      <c r="K16" s="10">
        <f t="shared" si="6"/>
        <v>6000</v>
      </c>
      <c r="L16" s="131"/>
      <c r="M16" s="10"/>
      <c r="N16" s="10"/>
      <c r="O16" s="10">
        <f t="shared" si="8"/>
        <v>0</v>
      </c>
      <c r="Q16" s="10">
        <f t="shared" si="2"/>
        <v>6000</v>
      </c>
      <c r="R16" s="10">
        <f t="shared" si="3"/>
        <v>0</v>
      </c>
      <c r="S16" s="10">
        <f t="shared" si="4"/>
        <v>6000</v>
      </c>
    </row>
    <row r="17" spans="2:19" x14ac:dyDescent="0.25">
      <c r="B17" s="73">
        <f t="shared" si="13"/>
        <v>10</v>
      </c>
      <c r="C17" s="36"/>
      <c r="D17" s="36">
        <v>2</v>
      </c>
      <c r="E17" s="230" t="s">
        <v>224</v>
      </c>
      <c r="F17" s="228"/>
      <c r="G17" s="228"/>
      <c r="H17" s="229"/>
      <c r="I17" s="37">
        <f>I18</f>
        <v>450</v>
      </c>
      <c r="J17" s="37">
        <f t="shared" ref="J17:J18" si="14">J18</f>
        <v>0</v>
      </c>
      <c r="K17" s="37">
        <f t="shared" si="6"/>
        <v>450</v>
      </c>
      <c r="L17" s="136"/>
      <c r="M17" s="37">
        <f>M18</f>
        <v>0</v>
      </c>
      <c r="N17" s="37">
        <f t="shared" ref="N17" si="15">N18</f>
        <v>0</v>
      </c>
      <c r="O17" s="37">
        <f t="shared" si="8"/>
        <v>0</v>
      </c>
      <c r="Q17" s="37">
        <f t="shared" si="2"/>
        <v>450</v>
      </c>
      <c r="R17" s="37">
        <f t="shared" si="3"/>
        <v>0</v>
      </c>
      <c r="S17" s="37">
        <f t="shared" si="4"/>
        <v>450</v>
      </c>
    </row>
    <row r="18" spans="2:19" x14ac:dyDescent="0.25">
      <c r="B18" s="73">
        <f t="shared" si="13"/>
        <v>11</v>
      </c>
      <c r="C18" s="21"/>
      <c r="D18" s="21"/>
      <c r="E18" s="21"/>
      <c r="F18" s="42" t="s">
        <v>217</v>
      </c>
      <c r="G18" s="97">
        <v>630</v>
      </c>
      <c r="H18" s="21" t="s">
        <v>218</v>
      </c>
      <c r="I18" s="15">
        <f>I19</f>
        <v>450</v>
      </c>
      <c r="J18" s="15">
        <f t="shared" si="14"/>
        <v>0</v>
      </c>
      <c r="K18" s="15">
        <f t="shared" si="6"/>
        <v>450</v>
      </c>
      <c r="L18" s="130"/>
      <c r="M18" s="15"/>
      <c r="N18" s="15"/>
      <c r="O18" s="15">
        <f t="shared" si="8"/>
        <v>0</v>
      </c>
      <c r="Q18" s="15">
        <f t="shared" si="2"/>
        <v>450</v>
      </c>
      <c r="R18" s="15">
        <f t="shared" si="3"/>
        <v>0</v>
      </c>
      <c r="S18" s="15">
        <f t="shared" si="4"/>
        <v>450</v>
      </c>
    </row>
    <row r="19" spans="2:19" x14ac:dyDescent="0.25">
      <c r="B19" s="73">
        <f t="shared" si="13"/>
        <v>12</v>
      </c>
      <c r="C19" s="9"/>
      <c r="D19" s="9"/>
      <c r="E19" s="9"/>
      <c r="F19" s="43" t="s">
        <v>217</v>
      </c>
      <c r="G19" s="98">
        <v>633</v>
      </c>
      <c r="H19" s="9" t="s">
        <v>220</v>
      </c>
      <c r="I19" s="10">
        <f>1000-550</f>
        <v>450</v>
      </c>
      <c r="J19" s="10"/>
      <c r="K19" s="10">
        <f t="shared" si="6"/>
        <v>450</v>
      </c>
      <c r="L19" s="131"/>
      <c r="M19" s="10"/>
      <c r="N19" s="10"/>
      <c r="O19" s="10">
        <f t="shared" si="8"/>
        <v>0</v>
      </c>
      <c r="Q19" s="10">
        <f t="shared" si="2"/>
        <v>450</v>
      </c>
      <c r="R19" s="10">
        <f t="shared" si="3"/>
        <v>0</v>
      </c>
      <c r="S19" s="10">
        <f t="shared" si="4"/>
        <v>450</v>
      </c>
    </row>
    <row r="20" spans="2:19" x14ac:dyDescent="0.25">
      <c r="B20" s="73">
        <f t="shared" si="13"/>
        <v>13</v>
      </c>
      <c r="C20" s="36"/>
      <c r="D20" s="36">
        <v>3</v>
      </c>
      <c r="E20" s="230" t="s">
        <v>225</v>
      </c>
      <c r="F20" s="228"/>
      <c r="G20" s="228"/>
      <c r="H20" s="229"/>
      <c r="I20" s="37">
        <f>I21</f>
        <v>1000</v>
      </c>
      <c r="J20" s="37">
        <f t="shared" ref="J20:J21" si="16">J21</f>
        <v>0</v>
      </c>
      <c r="K20" s="37">
        <f t="shared" si="6"/>
        <v>1000</v>
      </c>
      <c r="L20" s="136"/>
      <c r="M20" s="37">
        <f>M21</f>
        <v>0</v>
      </c>
      <c r="N20" s="37">
        <f t="shared" ref="N20" si="17">N21</f>
        <v>0</v>
      </c>
      <c r="O20" s="37">
        <f t="shared" si="8"/>
        <v>0</v>
      </c>
      <c r="Q20" s="37">
        <f t="shared" si="2"/>
        <v>1000</v>
      </c>
      <c r="R20" s="37">
        <f t="shared" si="3"/>
        <v>0</v>
      </c>
      <c r="S20" s="37">
        <f t="shared" si="4"/>
        <v>1000</v>
      </c>
    </row>
    <row r="21" spans="2:19" x14ac:dyDescent="0.25">
      <c r="B21" s="73">
        <f t="shared" si="13"/>
        <v>14</v>
      </c>
      <c r="C21" s="21"/>
      <c r="D21" s="21"/>
      <c r="E21" s="21"/>
      <c r="F21" s="42" t="s">
        <v>217</v>
      </c>
      <c r="G21" s="97">
        <v>630</v>
      </c>
      <c r="H21" s="21" t="s">
        <v>218</v>
      </c>
      <c r="I21" s="15">
        <f>I22</f>
        <v>1000</v>
      </c>
      <c r="J21" s="15">
        <f t="shared" si="16"/>
        <v>0</v>
      </c>
      <c r="K21" s="15">
        <f t="shared" si="6"/>
        <v>1000</v>
      </c>
      <c r="L21" s="130"/>
      <c r="M21" s="15"/>
      <c r="N21" s="15"/>
      <c r="O21" s="15">
        <f t="shared" si="8"/>
        <v>0</v>
      </c>
      <c r="Q21" s="15">
        <f t="shared" si="2"/>
        <v>1000</v>
      </c>
      <c r="R21" s="15">
        <f t="shared" si="3"/>
        <v>0</v>
      </c>
      <c r="S21" s="15">
        <f t="shared" si="4"/>
        <v>1000</v>
      </c>
    </row>
    <row r="22" spans="2:19" x14ac:dyDescent="0.25">
      <c r="B22" s="73">
        <f t="shared" si="13"/>
        <v>15</v>
      </c>
      <c r="C22" s="9"/>
      <c r="D22" s="9"/>
      <c r="E22" s="9"/>
      <c r="F22" s="43" t="s">
        <v>217</v>
      </c>
      <c r="G22" s="98">
        <v>633</v>
      </c>
      <c r="H22" s="9" t="s">
        <v>220</v>
      </c>
      <c r="I22" s="10">
        <v>1000</v>
      </c>
      <c r="J22" s="10"/>
      <c r="K22" s="10">
        <f t="shared" si="6"/>
        <v>1000</v>
      </c>
      <c r="L22" s="131"/>
      <c r="M22" s="10"/>
      <c r="N22" s="10"/>
      <c r="O22" s="10">
        <f t="shared" si="8"/>
        <v>0</v>
      </c>
      <c r="Q22" s="10">
        <f t="shared" si="2"/>
        <v>1000</v>
      </c>
      <c r="R22" s="10">
        <f t="shared" si="3"/>
        <v>0</v>
      </c>
      <c r="S22" s="10">
        <f t="shared" si="4"/>
        <v>1000</v>
      </c>
    </row>
    <row r="23" spans="2:19" x14ac:dyDescent="0.25">
      <c r="B23" s="73">
        <f t="shared" si="13"/>
        <v>16</v>
      </c>
      <c r="C23" s="36"/>
      <c r="D23" s="36">
        <v>4</v>
      </c>
      <c r="E23" s="230" t="s">
        <v>226</v>
      </c>
      <c r="F23" s="228"/>
      <c r="G23" s="228"/>
      <c r="H23" s="229"/>
      <c r="I23" s="37">
        <f>I24</f>
        <v>1000</v>
      </c>
      <c r="J23" s="37">
        <f t="shared" ref="J23:J24" si="18">J24</f>
        <v>0</v>
      </c>
      <c r="K23" s="37">
        <f t="shared" si="6"/>
        <v>1000</v>
      </c>
      <c r="L23" s="136"/>
      <c r="M23" s="37">
        <f>M24</f>
        <v>0</v>
      </c>
      <c r="N23" s="37">
        <f t="shared" ref="N23" si="19">N24</f>
        <v>0</v>
      </c>
      <c r="O23" s="37">
        <f t="shared" si="8"/>
        <v>0</v>
      </c>
      <c r="Q23" s="37">
        <f t="shared" si="2"/>
        <v>1000</v>
      </c>
      <c r="R23" s="37">
        <f t="shared" si="3"/>
        <v>0</v>
      </c>
      <c r="S23" s="37">
        <f t="shared" si="4"/>
        <v>1000</v>
      </c>
    </row>
    <row r="24" spans="2:19" x14ac:dyDescent="0.25">
      <c r="B24" s="73">
        <f t="shared" si="13"/>
        <v>17</v>
      </c>
      <c r="C24" s="21"/>
      <c r="D24" s="21"/>
      <c r="E24" s="21"/>
      <c r="F24" s="42" t="s">
        <v>217</v>
      </c>
      <c r="G24" s="97">
        <v>630</v>
      </c>
      <c r="H24" s="21" t="s">
        <v>218</v>
      </c>
      <c r="I24" s="15">
        <f>I25</f>
        <v>1000</v>
      </c>
      <c r="J24" s="15">
        <f t="shared" si="18"/>
        <v>0</v>
      </c>
      <c r="K24" s="15">
        <f t="shared" si="6"/>
        <v>1000</v>
      </c>
      <c r="L24" s="130"/>
      <c r="M24" s="15"/>
      <c r="N24" s="15"/>
      <c r="O24" s="15">
        <f t="shared" si="8"/>
        <v>0</v>
      </c>
      <c r="Q24" s="15">
        <f t="shared" si="2"/>
        <v>1000</v>
      </c>
      <c r="R24" s="15">
        <f t="shared" si="3"/>
        <v>0</v>
      </c>
      <c r="S24" s="15">
        <f t="shared" si="4"/>
        <v>1000</v>
      </c>
    </row>
    <row r="25" spans="2:19" x14ac:dyDescent="0.25">
      <c r="B25" s="73">
        <f t="shared" si="13"/>
        <v>18</v>
      </c>
      <c r="C25" s="9"/>
      <c r="D25" s="9"/>
      <c r="E25" s="9"/>
      <c r="F25" s="43" t="s">
        <v>217</v>
      </c>
      <c r="G25" s="98">
        <v>637</v>
      </c>
      <c r="H25" s="9" t="s">
        <v>223</v>
      </c>
      <c r="I25" s="10">
        <v>1000</v>
      </c>
      <c r="J25" s="10"/>
      <c r="K25" s="10">
        <f t="shared" si="6"/>
        <v>1000</v>
      </c>
      <c r="L25" s="131"/>
      <c r="M25" s="10"/>
      <c r="N25" s="10"/>
      <c r="O25" s="10">
        <f t="shared" si="8"/>
        <v>0</v>
      </c>
      <c r="Q25" s="10">
        <f t="shared" si="2"/>
        <v>1000</v>
      </c>
      <c r="R25" s="10">
        <f t="shared" si="3"/>
        <v>0</v>
      </c>
      <c r="S25" s="10">
        <f t="shared" si="4"/>
        <v>1000</v>
      </c>
    </row>
    <row r="26" spans="2:19" x14ac:dyDescent="0.25">
      <c r="B26" s="73">
        <f t="shared" si="13"/>
        <v>19</v>
      </c>
      <c r="C26" s="36"/>
      <c r="D26" s="36">
        <v>5</v>
      </c>
      <c r="E26" s="230" t="s">
        <v>227</v>
      </c>
      <c r="F26" s="228"/>
      <c r="G26" s="228"/>
      <c r="H26" s="229"/>
      <c r="I26" s="37">
        <f>I27+I28</f>
        <v>164700</v>
      </c>
      <c r="J26" s="37">
        <f t="shared" ref="J26" si="20">J27+J28</f>
        <v>0</v>
      </c>
      <c r="K26" s="37">
        <f t="shared" si="6"/>
        <v>164700</v>
      </c>
      <c r="L26" s="136"/>
      <c r="M26" s="37">
        <f t="shared" ref="M26:N26" si="21">M27+M28</f>
        <v>0</v>
      </c>
      <c r="N26" s="37">
        <f t="shared" si="21"/>
        <v>0</v>
      </c>
      <c r="O26" s="37">
        <f t="shared" si="8"/>
        <v>0</v>
      </c>
      <c r="Q26" s="37">
        <f t="shared" si="2"/>
        <v>164700</v>
      </c>
      <c r="R26" s="37">
        <f t="shared" si="3"/>
        <v>0</v>
      </c>
      <c r="S26" s="37">
        <f t="shared" si="4"/>
        <v>164700</v>
      </c>
    </row>
    <row r="27" spans="2:19" x14ac:dyDescent="0.25">
      <c r="B27" s="73">
        <f t="shared" si="13"/>
        <v>20</v>
      </c>
      <c r="C27" s="21"/>
      <c r="D27" s="21"/>
      <c r="E27" s="21"/>
      <c r="F27" s="42" t="s">
        <v>217</v>
      </c>
      <c r="G27" s="97">
        <v>620</v>
      </c>
      <c r="H27" s="21" t="s">
        <v>228</v>
      </c>
      <c r="I27" s="15">
        <v>39650</v>
      </c>
      <c r="J27" s="15"/>
      <c r="K27" s="15">
        <f t="shared" si="6"/>
        <v>39650</v>
      </c>
      <c r="L27" s="130"/>
      <c r="M27" s="15"/>
      <c r="N27" s="15"/>
      <c r="O27" s="15">
        <f t="shared" si="8"/>
        <v>0</v>
      </c>
      <c r="Q27" s="15">
        <f t="shared" si="2"/>
        <v>39650</v>
      </c>
      <c r="R27" s="15">
        <f t="shared" si="3"/>
        <v>0</v>
      </c>
      <c r="S27" s="15">
        <f t="shared" si="4"/>
        <v>39650</v>
      </c>
    </row>
    <row r="28" spans="2:19" x14ac:dyDescent="0.25">
      <c r="B28" s="73">
        <f t="shared" si="13"/>
        <v>21</v>
      </c>
      <c r="C28" s="21"/>
      <c r="D28" s="21"/>
      <c r="E28" s="21"/>
      <c r="F28" s="42" t="s">
        <v>217</v>
      </c>
      <c r="G28" s="97">
        <v>630</v>
      </c>
      <c r="H28" s="21" t="s">
        <v>218</v>
      </c>
      <c r="I28" s="15">
        <f>SUM(I29:I30)</f>
        <v>125050</v>
      </c>
      <c r="J28" s="15">
        <f t="shared" ref="J28" si="22">SUM(J29:J30)</f>
        <v>0</v>
      </c>
      <c r="K28" s="15">
        <f t="shared" si="6"/>
        <v>125050</v>
      </c>
      <c r="L28" s="130"/>
      <c r="M28" s="15"/>
      <c r="N28" s="15"/>
      <c r="O28" s="15">
        <f t="shared" si="8"/>
        <v>0</v>
      </c>
      <c r="Q28" s="15">
        <f t="shared" si="2"/>
        <v>125050</v>
      </c>
      <c r="R28" s="15">
        <f t="shared" si="3"/>
        <v>0</v>
      </c>
      <c r="S28" s="15">
        <f t="shared" si="4"/>
        <v>125050</v>
      </c>
    </row>
    <row r="29" spans="2:19" x14ac:dyDescent="0.25">
      <c r="B29" s="73">
        <f t="shared" si="13"/>
        <v>22</v>
      </c>
      <c r="C29" s="9"/>
      <c r="D29" s="9"/>
      <c r="E29" s="9"/>
      <c r="F29" s="43" t="s">
        <v>217</v>
      </c>
      <c r="G29" s="98">
        <v>632</v>
      </c>
      <c r="H29" s="9" t="s">
        <v>229</v>
      </c>
      <c r="I29" s="10">
        <v>11550</v>
      </c>
      <c r="J29" s="10"/>
      <c r="K29" s="10">
        <f t="shared" si="6"/>
        <v>11550</v>
      </c>
      <c r="L29" s="131"/>
      <c r="M29" s="10"/>
      <c r="N29" s="10"/>
      <c r="O29" s="10">
        <f t="shared" si="8"/>
        <v>0</v>
      </c>
      <c r="Q29" s="10">
        <f t="shared" si="2"/>
        <v>11550</v>
      </c>
      <c r="R29" s="10">
        <f t="shared" si="3"/>
        <v>0</v>
      </c>
      <c r="S29" s="10">
        <f t="shared" si="4"/>
        <v>11550</v>
      </c>
    </row>
    <row r="30" spans="2:19" x14ac:dyDescent="0.25">
      <c r="B30" s="73">
        <f t="shared" si="13"/>
        <v>23</v>
      </c>
      <c r="C30" s="9"/>
      <c r="D30" s="9"/>
      <c r="E30" s="9"/>
      <c r="F30" s="43" t="s">
        <v>217</v>
      </c>
      <c r="G30" s="98">
        <v>637</v>
      </c>
      <c r="H30" s="9" t="s">
        <v>223</v>
      </c>
      <c r="I30" s="10">
        <v>113500</v>
      </c>
      <c r="J30" s="10"/>
      <c r="K30" s="10">
        <f t="shared" si="6"/>
        <v>113500</v>
      </c>
      <c r="L30" s="131"/>
      <c r="M30" s="10"/>
      <c r="N30" s="10"/>
      <c r="O30" s="10">
        <f t="shared" si="8"/>
        <v>0</v>
      </c>
      <c r="Q30" s="10">
        <f t="shared" ref="Q30:Q48" si="23">I30+M30</f>
        <v>113500</v>
      </c>
      <c r="R30" s="10">
        <f t="shared" si="3"/>
        <v>0</v>
      </c>
      <c r="S30" s="10">
        <f t="shared" si="4"/>
        <v>113500</v>
      </c>
    </row>
    <row r="31" spans="2:19" ht="15.75" x14ac:dyDescent="0.25">
      <c r="B31" s="73">
        <f t="shared" si="13"/>
        <v>24</v>
      </c>
      <c r="C31" s="34">
        <v>2</v>
      </c>
      <c r="D31" s="227" t="s">
        <v>232</v>
      </c>
      <c r="E31" s="228"/>
      <c r="F31" s="228"/>
      <c r="G31" s="228"/>
      <c r="H31" s="229"/>
      <c r="I31" s="35">
        <f>I32+I33</f>
        <v>160200</v>
      </c>
      <c r="J31" s="35">
        <f t="shared" ref="J31" si="24">J32+J33</f>
        <v>0</v>
      </c>
      <c r="K31" s="35">
        <f t="shared" si="6"/>
        <v>160200</v>
      </c>
      <c r="L31" s="135"/>
      <c r="M31" s="35">
        <f>M32+M33+M39</f>
        <v>125000</v>
      </c>
      <c r="N31" s="35">
        <f t="shared" ref="N31" si="25">N32+N33+N39</f>
        <v>0</v>
      </c>
      <c r="O31" s="35">
        <f t="shared" si="8"/>
        <v>125000</v>
      </c>
      <c r="Q31" s="35">
        <f t="shared" si="23"/>
        <v>285200</v>
      </c>
      <c r="R31" s="35">
        <f t="shared" si="3"/>
        <v>0</v>
      </c>
      <c r="S31" s="35">
        <f t="shared" si="4"/>
        <v>285200</v>
      </c>
    </row>
    <row r="32" spans="2:19" x14ac:dyDescent="0.25">
      <c r="B32" s="73">
        <f t="shared" si="13"/>
        <v>25</v>
      </c>
      <c r="C32" s="21"/>
      <c r="D32" s="21"/>
      <c r="E32" s="21"/>
      <c r="F32" s="42" t="s">
        <v>233</v>
      </c>
      <c r="G32" s="97">
        <v>620</v>
      </c>
      <c r="H32" s="21" t="s">
        <v>228</v>
      </c>
      <c r="I32" s="15">
        <f>4000+4000</f>
        <v>8000</v>
      </c>
      <c r="J32" s="15"/>
      <c r="K32" s="15">
        <f t="shared" si="6"/>
        <v>8000</v>
      </c>
      <c r="L32" s="130"/>
      <c r="M32" s="15"/>
      <c r="N32" s="15"/>
      <c r="O32" s="15">
        <f t="shared" si="8"/>
        <v>0</v>
      </c>
      <c r="Q32" s="15">
        <f t="shared" si="23"/>
        <v>8000</v>
      </c>
      <c r="R32" s="15">
        <f t="shared" si="3"/>
        <v>0</v>
      </c>
      <c r="S32" s="15">
        <f t="shared" si="4"/>
        <v>8000</v>
      </c>
    </row>
    <row r="33" spans="2:19" x14ac:dyDescent="0.25">
      <c r="B33" s="73">
        <f t="shared" si="13"/>
        <v>26</v>
      </c>
      <c r="C33" s="21"/>
      <c r="D33" s="21"/>
      <c r="E33" s="21"/>
      <c r="F33" s="42" t="s">
        <v>233</v>
      </c>
      <c r="G33" s="97">
        <v>630</v>
      </c>
      <c r="H33" s="21" t="s">
        <v>218</v>
      </c>
      <c r="I33" s="15">
        <f>SUM(I34:I38)</f>
        <v>152200</v>
      </c>
      <c r="J33" s="15">
        <f t="shared" ref="J33" si="26">SUM(J34:J38)</f>
        <v>0</v>
      </c>
      <c r="K33" s="15">
        <f t="shared" si="6"/>
        <v>152200</v>
      </c>
      <c r="L33" s="130"/>
      <c r="M33" s="15"/>
      <c r="N33" s="15"/>
      <c r="O33" s="15">
        <f t="shared" si="8"/>
        <v>0</v>
      </c>
      <c r="Q33" s="15">
        <f t="shared" si="23"/>
        <v>152200</v>
      </c>
      <c r="R33" s="15">
        <f t="shared" si="3"/>
        <v>0</v>
      </c>
      <c r="S33" s="15">
        <f t="shared" si="4"/>
        <v>152200</v>
      </c>
    </row>
    <row r="34" spans="2:19" x14ac:dyDescent="0.25">
      <c r="B34" s="73">
        <f t="shared" si="13"/>
        <v>27</v>
      </c>
      <c r="C34" s="9"/>
      <c r="D34" s="9"/>
      <c r="E34" s="9"/>
      <c r="F34" s="43" t="s">
        <v>233</v>
      </c>
      <c r="G34" s="98">
        <v>631</v>
      </c>
      <c r="H34" s="9" t="s">
        <v>219</v>
      </c>
      <c r="I34" s="10">
        <v>500</v>
      </c>
      <c r="J34" s="10"/>
      <c r="K34" s="10">
        <f t="shared" si="6"/>
        <v>500</v>
      </c>
      <c r="L34" s="131"/>
      <c r="M34" s="10"/>
      <c r="N34" s="10"/>
      <c r="O34" s="10">
        <f t="shared" si="8"/>
        <v>0</v>
      </c>
      <c r="Q34" s="10">
        <f t="shared" si="23"/>
        <v>500</v>
      </c>
      <c r="R34" s="10">
        <f t="shared" si="3"/>
        <v>0</v>
      </c>
      <c r="S34" s="10">
        <f t="shared" si="4"/>
        <v>500</v>
      </c>
    </row>
    <row r="35" spans="2:19" x14ac:dyDescent="0.25">
      <c r="B35" s="73">
        <f t="shared" si="9"/>
        <v>28</v>
      </c>
      <c r="C35" s="9"/>
      <c r="D35" s="9"/>
      <c r="E35" s="9"/>
      <c r="F35" s="43" t="s">
        <v>233</v>
      </c>
      <c r="G35" s="98">
        <v>633</v>
      </c>
      <c r="H35" s="9" t="s">
        <v>220</v>
      </c>
      <c r="I35" s="10">
        <f>4500-1000</f>
        <v>3500</v>
      </c>
      <c r="J35" s="10"/>
      <c r="K35" s="10">
        <f t="shared" si="6"/>
        <v>3500</v>
      </c>
      <c r="L35" s="131"/>
      <c r="M35" s="10"/>
      <c r="N35" s="10"/>
      <c r="O35" s="10">
        <f t="shared" si="8"/>
        <v>0</v>
      </c>
      <c r="Q35" s="10">
        <f t="shared" si="23"/>
        <v>3500</v>
      </c>
      <c r="R35" s="10">
        <f t="shared" si="3"/>
        <v>0</v>
      </c>
      <c r="S35" s="10">
        <f t="shared" si="4"/>
        <v>3500</v>
      </c>
    </row>
    <row r="36" spans="2:19" x14ac:dyDescent="0.25">
      <c r="B36" s="73">
        <f t="shared" si="9"/>
        <v>29</v>
      </c>
      <c r="C36" s="9"/>
      <c r="D36" s="9"/>
      <c r="E36" s="9"/>
      <c r="F36" s="43" t="s">
        <v>233</v>
      </c>
      <c r="G36" s="98">
        <v>635</v>
      </c>
      <c r="H36" s="9" t="s">
        <v>234</v>
      </c>
      <c r="I36" s="10">
        <f>2000+1000</f>
        <v>3000</v>
      </c>
      <c r="J36" s="10"/>
      <c r="K36" s="10">
        <f t="shared" si="6"/>
        <v>3000</v>
      </c>
      <c r="L36" s="131"/>
      <c r="M36" s="10"/>
      <c r="N36" s="10"/>
      <c r="O36" s="10">
        <f t="shared" si="8"/>
        <v>0</v>
      </c>
      <c r="Q36" s="10">
        <f t="shared" si="23"/>
        <v>3000</v>
      </c>
      <c r="R36" s="10">
        <f t="shared" si="3"/>
        <v>0</v>
      </c>
      <c r="S36" s="10">
        <f t="shared" si="4"/>
        <v>3000</v>
      </c>
    </row>
    <row r="37" spans="2:19" x14ac:dyDescent="0.25">
      <c r="B37" s="73">
        <f t="shared" si="9"/>
        <v>30</v>
      </c>
      <c r="C37" s="9"/>
      <c r="D37" s="9"/>
      <c r="E37" s="9"/>
      <c r="F37" s="43" t="s">
        <v>233</v>
      </c>
      <c r="G37" s="98">
        <v>636</v>
      </c>
      <c r="H37" s="9" t="s">
        <v>222</v>
      </c>
      <c r="I37" s="10">
        <v>500</v>
      </c>
      <c r="J37" s="10"/>
      <c r="K37" s="10">
        <f t="shared" si="6"/>
        <v>500</v>
      </c>
      <c r="L37" s="131"/>
      <c r="M37" s="10"/>
      <c r="N37" s="10"/>
      <c r="O37" s="10">
        <f t="shared" si="8"/>
        <v>0</v>
      </c>
      <c r="Q37" s="10">
        <f t="shared" si="23"/>
        <v>500</v>
      </c>
      <c r="R37" s="10">
        <f t="shared" si="3"/>
        <v>0</v>
      </c>
      <c r="S37" s="10">
        <f t="shared" si="4"/>
        <v>500</v>
      </c>
    </row>
    <row r="38" spans="2:19" x14ac:dyDescent="0.25">
      <c r="B38" s="73">
        <f t="shared" si="9"/>
        <v>31</v>
      </c>
      <c r="C38" s="9"/>
      <c r="D38" s="9"/>
      <c r="E38" s="9"/>
      <c r="F38" s="43" t="s">
        <v>233</v>
      </c>
      <c r="G38" s="98">
        <v>637</v>
      </c>
      <c r="H38" s="9" t="s">
        <v>223</v>
      </c>
      <c r="I38" s="10">
        <f>132700+12000</f>
        <v>144700</v>
      </c>
      <c r="J38" s="10"/>
      <c r="K38" s="10">
        <f t="shared" si="6"/>
        <v>144700</v>
      </c>
      <c r="L38" s="131"/>
      <c r="M38" s="10"/>
      <c r="N38" s="10"/>
      <c r="O38" s="10">
        <f t="shared" si="8"/>
        <v>0</v>
      </c>
      <c r="Q38" s="10">
        <f t="shared" si="23"/>
        <v>144700</v>
      </c>
      <c r="R38" s="10">
        <f t="shared" si="3"/>
        <v>0</v>
      </c>
      <c r="S38" s="10">
        <f t="shared" si="4"/>
        <v>144700</v>
      </c>
    </row>
    <row r="39" spans="2:19" x14ac:dyDescent="0.25">
      <c r="B39" s="73">
        <f t="shared" si="9"/>
        <v>32</v>
      </c>
      <c r="C39" s="21"/>
      <c r="D39" s="21"/>
      <c r="E39" s="21"/>
      <c r="F39" s="42" t="s">
        <v>233</v>
      </c>
      <c r="G39" s="97">
        <v>710</v>
      </c>
      <c r="H39" s="21" t="s">
        <v>235</v>
      </c>
      <c r="I39" s="15"/>
      <c r="J39" s="15"/>
      <c r="K39" s="15">
        <f t="shared" si="6"/>
        <v>0</v>
      </c>
      <c r="L39" s="130"/>
      <c r="M39" s="15">
        <f>M40+M43</f>
        <v>125000</v>
      </c>
      <c r="N39" s="15">
        <f t="shared" ref="N39" si="27">N40+N43</f>
        <v>0</v>
      </c>
      <c r="O39" s="15">
        <f t="shared" si="8"/>
        <v>125000</v>
      </c>
      <c r="Q39" s="15">
        <f t="shared" si="23"/>
        <v>125000</v>
      </c>
      <c r="R39" s="15">
        <f t="shared" si="3"/>
        <v>0</v>
      </c>
      <c r="S39" s="15">
        <f t="shared" si="4"/>
        <v>125000</v>
      </c>
    </row>
    <row r="40" spans="2:19" x14ac:dyDescent="0.25">
      <c r="B40" s="73">
        <f t="shared" si="9"/>
        <v>33</v>
      </c>
      <c r="C40" s="9"/>
      <c r="D40" s="9"/>
      <c r="E40" s="9"/>
      <c r="F40" s="43" t="s">
        <v>233</v>
      </c>
      <c r="G40" s="98">
        <v>711</v>
      </c>
      <c r="H40" s="9" t="s">
        <v>236</v>
      </c>
      <c r="I40" s="10"/>
      <c r="J40" s="10"/>
      <c r="K40" s="10">
        <f t="shared" si="6"/>
        <v>0</v>
      </c>
      <c r="L40" s="131"/>
      <c r="M40" s="10">
        <f>M41+M42</f>
        <v>50000</v>
      </c>
      <c r="N40" s="10">
        <f t="shared" ref="N40" si="28">N41+N42</f>
        <v>0</v>
      </c>
      <c r="O40" s="10">
        <f t="shared" si="8"/>
        <v>50000</v>
      </c>
      <c r="Q40" s="10">
        <f t="shared" si="23"/>
        <v>50000</v>
      </c>
      <c r="R40" s="10">
        <f t="shared" si="3"/>
        <v>0</v>
      </c>
      <c r="S40" s="10">
        <f t="shared" si="4"/>
        <v>50000</v>
      </c>
    </row>
    <row r="41" spans="2:19" x14ac:dyDescent="0.25">
      <c r="B41" s="73">
        <f t="shared" si="9"/>
        <v>34</v>
      </c>
      <c r="C41" s="12"/>
      <c r="D41" s="12"/>
      <c r="E41" s="12"/>
      <c r="F41" s="12"/>
      <c r="G41" s="99" t="s">
        <v>49</v>
      </c>
      <c r="H41" s="12" t="s">
        <v>396</v>
      </c>
      <c r="I41" s="13"/>
      <c r="J41" s="13"/>
      <c r="K41" s="13">
        <f t="shared" si="6"/>
        <v>0</v>
      </c>
      <c r="L41" s="132"/>
      <c r="M41" s="13">
        <v>25000</v>
      </c>
      <c r="N41" s="13"/>
      <c r="O41" s="13">
        <f t="shared" si="8"/>
        <v>25000</v>
      </c>
      <c r="Q41" s="13">
        <f t="shared" si="23"/>
        <v>25000</v>
      </c>
      <c r="R41" s="13">
        <f t="shared" si="3"/>
        <v>0</v>
      </c>
      <c r="S41" s="13">
        <f t="shared" si="4"/>
        <v>25000</v>
      </c>
    </row>
    <row r="42" spans="2:19" x14ac:dyDescent="0.25">
      <c r="B42" s="73">
        <f t="shared" si="9"/>
        <v>35</v>
      </c>
      <c r="C42" s="12"/>
      <c r="D42" s="12"/>
      <c r="E42" s="12"/>
      <c r="F42" s="12"/>
      <c r="G42" s="99"/>
      <c r="H42" s="12" t="s">
        <v>466</v>
      </c>
      <c r="I42" s="13"/>
      <c r="J42" s="13"/>
      <c r="K42" s="13">
        <f t="shared" si="6"/>
        <v>0</v>
      </c>
      <c r="L42" s="132"/>
      <c r="M42" s="13">
        <v>25000</v>
      </c>
      <c r="N42" s="13"/>
      <c r="O42" s="13">
        <f t="shared" si="8"/>
        <v>25000</v>
      </c>
      <c r="Q42" s="13">
        <f t="shared" si="23"/>
        <v>25000</v>
      </c>
      <c r="R42" s="13">
        <f t="shared" si="3"/>
        <v>0</v>
      </c>
      <c r="S42" s="13">
        <f t="shared" si="4"/>
        <v>25000</v>
      </c>
    </row>
    <row r="43" spans="2:19" x14ac:dyDescent="0.25">
      <c r="B43" s="73">
        <f t="shared" si="9"/>
        <v>36</v>
      </c>
      <c r="C43" s="9"/>
      <c r="D43" s="9"/>
      <c r="E43" s="9"/>
      <c r="F43" s="43" t="s">
        <v>233</v>
      </c>
      <c r="G43" s="98">
        <v>716</v>
      </c>
      <c r="H43" s="9" t="s">
        <v>237</v>
      </c>
      <c r="I43" s="10"/>
      <c r="J43" s="10"/>
      <c r="K43" s="10">
        <f t="shared" si="6"/>
        <v>0</v>
      </c>
      <c r="L43" s="131"/>
      <c r="M43" s="10">
        <f>M44</f>
        <v>75000</v>
      </c>
      <c r="N43" s="10">
        <f t="shared" ref="N43" si="29">N44</f>
        <v>0</v>
      </c>
      <c r="O43" s="10">
        <f t="shared" si="8"/>
        <v>75000</v>
      </c>
      <c r="Q43" s="10">
        <f t="shared" si="23"/>
        <v>75000</v>
      </c>
      <c r="R43" s="10">
        <f t="shared" si="3"/>
        <v>0</v>
      </c>
      <c r="S43" s="10">
        <f t="shared" si="4"/>
        <v>75000</v>
      </c>
    </row>
    <row r="44" spans="2:19" x14ac:dyDescent="0.25">
      <c r="B44" s="73">
        <f t="shared" si="9"/>
        <v>37</v>
      </c>
      <c r="C44" s="12"/>
      <c r="D44" s="12"/>
      <c r="E44" s="12"/>
      <c r="F44" s="12"/>
      <c r="G44" s="99" t="s">
        <v>49</v>
      </c>
      <c r="H44" s="12" t="s">
        <v>238</v>
      </c>
      <c r="I44" s="13"/>
      <c r="J44" s="13"/>
      <c r="K44" s="13">
        <f t="shared" si="6"/>
        <v>0</v>
      </c>
      <c r="L44" s="132"/>
      <c r="M44" s="13">
        <v>75000</v>
      </c>
      <c r="N44" s="13"/>
      <c r="O44" s="13">
        <f t="shared" si="8"/>
        <v>75000</v>
      </c>
      <c r="Q44" s="13">
        <f t="shared" si="23"/>
        <v>75000</v>
      </c>
      <c r="R44" s="13">
        <f t="shared" si="3"/>
        <v>0</v>
      </c>
      <c r="S44" s="13">
        <f t="shared" si="4"/>
        <v>75000</v>
      </c>
    </row>
    <row r="45" spans="2:19" ht="15.75" x14ac:dyDescent="0.25">
      <c r="B45" s="73">
        <f t="shared" si="9"/>
        <v>38</v>
      </c>
      <c r="C45" s="34">
        <v>3</v>
      </c>
      <c r="D45" s="227" t="s">
        <v>239</v>
      </c>
      <c r="E45" s="228"/>
      <c r="F45" s="228"/>
      <c r="G45" s="228"/>
      <c r="H45" s="229"/>
      <c r="I45" s="35">
        <f>I46</f>
        <v>45000</v>
      </c>
      <c r="J45" s="35">
        <f t="shared" ref="J45" si="30">J46</f>
        <v>0</v>
      </c>
      <c r="K45" s="35">
        <f t="shared" si="6"/>
        <v>45000</v>
      </c>
      <c r="L45" s="135"/>
      <c r="M45" s="35">
        <f>M48</f>
        <v>262300</v>
      </c>
      <c r="N45" s="35">
        <f t="shared" ref="N45" si="31">N48</f>
        <v>0</v>
      </c>
      <c r="O45" s="35">
        <f t="shared" si="8"/>
        <v>262300</v>
      </c>
      <c r="Q45" s="35">
        <f t="shared" si="23"/>
        <v>307300</v>
      </c>
      <c r="R45" s="35">
        <f t="shared" si="3"/>
        <v>0</v>
      </c>
      <c r="S45" s="35">
        <f t="shared" si="4"/>
        <v>307300</v>
      </c>
    </row>
    <row r="46" spans="2:19" x14ac:dyDescent="0.25">
      <c r="B46" s="73">
        <f t="shared" si="9"/>
        <v>39</v>
      </c>
      <c r="C46" s="21"/>
      <c r="D46" s="21"/>
      <c r="E46" s="21"/>
      <c r="F46" s="42" t="s">
        <v>217</v>
      </c>
      <c r="G46" s="97">
        <v>630</v>
      </c>
      <c r="H46" s="21" t="s">
        <v>218</v>
      </c>
      <c r="I46" s="15">
        <f>SUM(I47:I47)</f>
        <v>45000</v>
      </c>
      <c r="J46" s="15">
        <f t="shared" ref="J46" si="32">SUM(J47:J47)</f>
        <v>0</v>
      </c>
      <c r="K46" s="15">
        <f t="shared" si="6"/>
        <v>45000</v>
      </c>
      <c r="L46" s="130"/>
      <c r="M46" s="15"/>
      <c r="N46" s="15"/>
      <c r="O46" s="15">
        <f t="shared" si="8"/>
        <v>0</v>
      </c>
      <c r="Q46" s="15">
        <f t="shared" si="23"/>
        <v>45000</v>
      </c>
      <c r="R46" s="15">
        <f t="shared" si="3"/>
        <v>0</v>
      </c>
      <c r="S46" s="15">
        <f t="shared" si="4"/>
        <v>45000</v>
      </c>
    </row>
    <row r="47" spans="2:19" x14ac:dyDescent="0.25">
      <c r="B47" s="73">
        <f t="shared" si="9"/>
        <v>40</v>
      </c>
      <c r="C47" s="9"/>
      <c r="D47" s="9"/>
      <c r="E47" s="9"/>
      <c r="F47" s="43" t="s">
        <v>217</v>
      </c>
      <c r="G47" s="98">
        <v>637</v>
      </c>
      <c r="H47" s="9" t="s">
        <v>223</v>
      </c>
      <c r="I47" s="10">
        <v>45000</v>
      </c>
      <c r="J47" s="10"/>
      <c r="K47" s="10">
        <f t="shared" si="6"/>
        <v>45000</v>
      </c>
      <c r="L47" s="131"/>
      <c r="M47" s="10"/>
      <c r="N47" s="10"/>
      <c r="O47" s="10">
        <f t="shared" si="8"/>
        <v>0</v>
      </c>
      <c r="Q47" s="10">
        <f t="shared" si="23"/>
        <v>45000</v>
      </c>
      <c r="R47" s="10">
        <f t="shared" si="3"/>
        <v>0</v>
      </c>
      <c r="S47" s="10">
        <f t="shared" si="4"/>
        <v>45000</v>
      </c>
    </row>
    <row r="48" spans="2:19" x14ac:dyDescent="0.25">
      <c r="B48" s="73">
        <f t="shared" si="9"/>
        <v>41</v>
      </c>
      <c r="C48" s="21"/>
      <c r="D48" s="21"/>
      <c r="E48" s="21"/>
      <c r="F48" s="42" t="s">
        <v>217</v>
      </c>
      <c r="G48" s="97">
        <v>710</v>
      </c>
      <c r="H48" s="21" t="s">
        <v>235</v>
      </c>
      <c r="I48" s="15"/>
      <c r="J48" s="15"/>
      <c r="K48" s="15">
        <f t="shared" si="6"/>
        <v>0</v>
      </c>
      <c r="L48" s="130"/>
      <c r="M48" s="15">
        <f>+M49+M51</f>
        <v>262300</v>
      </c>
      <c r="N48" s="15">
        <f t="shared" ref="N48" si="33">+N49+N51</f>
        <v>0</v>
      </c>
      <c r="O48" s="15">
        <f t="shared" si="8"/>
        <v>262300</v>
      </c>
      <c r="Q48" s="15">
        <f t="shared" si="23"/>
        <v>262300</v>
      </c>
      <c r="R48" s="15">
        <f t="shared" si="3"/>
        <v>0</v>
      </c>
      <c r="S48" s="15">
        <f t="shared" si="4"/>
        <v>262300</v>
      </c>
    </row>
    <row r="49" spans="2:19" x14ac:dyDescent="0.25">
      <c r="B49" s="73">
        <f t="shared" si="9"/>
        <v>42</v>
      </c>
      <c r="C49" s="9"/>
      <c r="D49" s="9"/>
      <c r="E49" s="9"/>
      <c r="F49" s="43" t="s">
        <v>217</v>
      </c>
      <c r="G49" s="98">
        <v>716</v>
      </c>
      <c r="H49" s="9" t="s">
        <v>237</v>
      </c>
      <c r="I49" s="10"/>
      <c r="J49" s="10"/>
      <c r="K49" s="10">
        <f t="shared" si="6"/>
        <v>0</v>
      </c>
      <c r="L49" s="131"/>
      <c r="M49" s="10">
        <f>M50</f>
        <v>70300</v>
      </c>
      <c r="N49" s="10">
        <f t="shared" ref="N49" si="34">N50</f>
        <v>0</v>
      </c>
      <c r="O49" s="10">
        <f t="shared" si="8"/>
        <v>70300</v>
      </c>
      <c r="Q49" s="10">
        <f t="shared" ref="Q49:Q68" si="35">I49+M49</f>
        <v>70300</v>
      </c>
      <c r="R49" s="10">
        <f t="shared" si="3"/>
        <v>0</v>
      </c>
      <c r="S49" s="10">
        <f t="shared" si="4"/>
        <v>70300</v>
      </c>
    </row>
    <row r="50" spans="2:19" x14ac:dyDescent="0.25">
      <c r="B50" s="73">
        <f t="shared" si="9"/>
        <v>43</v>
      </c>
      <c r="C50" s="12"/>
      <c r="D50" s="12"/>
      <c r="E50" s="12"/>
      <c r="F50" s="12"/>
      <c r="G50" s="99" t="s">
        <v>49</v>
      </c>
      <c r="H50" s="12" t="s">
        <v>400</v>
      </c>
      <c r="I50" s="13"/>
      <c r="J50" s="13"/>
      <c r="K50" s="13">
        <f t="shared" si="6"/>
        <v>0</v>
      </c>
      <c r="L50" s="132"/>
      <c r="M50" s="13">
        <f>100000-8600-1100-20000</f>
        <v>70300</v>
      </c>
      <c r="N50" s="13"/>
      <c r="O50" s="13">
        <f t="shared" si="8"/>
        <v>70300</v>
      </c>
      <c r="Q50" s="13">
        <f t="shared" si="35"/>
        <v>70300</v>
      </c>
      <c r="R50" s="13">
        <f t="shared" si="3"/>
        <v>0</v>
      </c>
      <c r="S50" s="13">
        <f t="shared" si="4"/>
        <v>70300</v>
      </c>
    </row>
    <row r="51" spans="2:19" x14ac:dyDescent="0.25">
      <c r="B51" s="73">
        <f t="shared" si="9"/>
        <v>44</v>
      </c>
      <c r="C51" s="9"/>
      <c r="D51" s="9"/>
      <c r="E51" s="9"/>
      <c r="F51" s="43" t="s">
        <v>217</v>
      </c>
      <c r="G51" s="98">
        <v>717</v>
      </c>
      <c r="H51" s="9" t="s">
        <v>240</v>
      </c>
      <c r="I51" s="10"/>
      <c r="J51" s="10"/>
      <c r="K51" s="10">
        <f t="shared" si="6"/>
        <v>0</v>
      </c>
      <c r="L51" s="131"/>
      <c r="M51" s="10">
        <f>SUM(M52:M52)</f>
        <v>192000</v>
      </c>
      <c r="N51" s="10">
        <f t="shared" ref="N51" si="36">SUM(N52:N52)</f>
        <v>0</v>
      </c>
      <c r="O51" s="10">
        <f t="shared" si="8"/>
        <v>192000</v>
      </c>
      <c r="Q51" s="10">
        <f t="shared" si="35"/>
        <v>192000</v>
      </c>
      <c r="R51" s="10">
        <f t="shared" si="3"/>
        <v>0</v>
      </c>
      <c r="S51" s="10">
        <f t="shared" si="4"/>
        <v>192000</v>
      </c>
    </row>
    <row r="52" spans="2:19" x14ac:dyDescent="0.25">
      <c r="B52" s="73">
        <f t="shared" si="9"/>
        <v>45</v>
      </c>
      <c r="C52" s="12"/>
      <c r="D52" s="12"/>
      <c r="E52" s="12"/>
      <c r="F52" s="12"/>
      <c r="G52" s="99"/>
      <c r="H52" s="12" t="s">
        <v>241</v>
      </c>
      <c r="I52" s="13"/>
      <c r="J52" s="13"/>
      <c r="K52" s="13">
        <f t="shared" si="6"/>
        <v>0</v>
      </c>
      <c r="L52" s="132"/>
      <c r="M52" s="13">
        <f>200000-8000</f>
        <v>192000</v>
      </c>
      <c r="N52" s="13"/>
      <c r="O52" s="13">
        <f t="shared" si="8"/>
        <v>192000</v>
      </c>
      <c r="Q52" s="13">
        <f t="shared" si="35"/>
        <v>192000</v>
      </c>
      <c r="R52" s="13">
        <f t="shared" si="3"/>
        <v>0</v>
      </c>
      <c r="S52" s="13">
        <f t="shared" si="4"/>
        <v>192000</v>
      </c>
    </row>
    <row r="53" spans="2:19" ht="15.75" x14ac:dyDescent="0.25">
      <c r="B53" s="73">
        <f t="shared" si="9"/>
        <v>46</v>
      </c>
      <c r="C53" s="34">
        <v>4</v>
      </c>
      <c r="D53" s="227" t="s">
        <v>550</v>
      </c>
      <c r="E53" s="228"/>
      <c r="F53" s="228"/>
      <c r="G53" s="228"/>
      <c r="H53" s="229"/>
      <c r="I53" s="35">
        <v>0</v>
      </c>
      <c r="J53" s="35">
        <v>0</v>
      </c>
      <c r="K53" s="35">
        <f t="shared" si="6"/>
        <v>0</v>
      </c>
      <c r="L53" s="135"/>
      <c r="M53" s="35">
        <v>0</v>
      </c>
      <c r="N53" s="35">
        <v>0</v>
      </c>
      <c r="O53" s="35">
        <f t="shared" si="8"/>
        <v>0</v>
      </c>
      <c r="Q53" s="35">
        <f t="shared" si="35"/>
        <v>0</v>
      </c>
      <c r="R53" s="35">
        <f t="shared" si="3"/>
        <v>0</v>
      </c>
      <c r="S53" s="35">
        <f t="shared" si="4"/>
        <v>0</v>
      </c>
    </row>
    <row r="54" spans="2:19" ht="15.75" x14ac:dyDescent="0.25">
      <c r="B54" s="73">
        <f t="shared" si="9"/>
        <v>47</v>
      </c>
      <c r="C54" s="34">
        <v>5</v>
      </c>
      <c r="D54" s="227" t="s">
        <v>551</v>
      </c>
      <c r="E54" s="228"/>
      <c r="F54" s="228"/>
      <c r="G54" s="228"/>
      <c r="H54" s="229"/>
      <c r="I54" s="35">
        <v>0</v>
      </c>
      <c r="J54" s="35">
        <v>0</v>
      </c>
      <c r="K54" s="35">
        <f t="shared" si="6"/>
        <v>0</v>
      </c>
      <c r="L54" s="135"/>
      <c r="M54" s="35">
        <v>0</v>
      </c>
      <c r="N54" s="35">
        <v>0</v>
      </c>
      <c r="O54" s="35">
        <f t="shared" si="8"/>
        <v>0</v>
      </c>
      <c r="Q54" s="35">
        <f t="shared" si="35"/>
        <v>0</v>
      </c>
      <c r="R54" s="35">
        <f t="shared" si="3"/>
        <v>0</v>
      </c>
      <c r="S54" s="35">
        <f t="shared" si="4"/>
        <v>0</v>
      </c>
    </row>
    <row r="55" spans="2:19" ht="15.75" x14ac:dyDescent="0.25">
      <c r="B55" s="73">
        <f t="shared" si="9"/>
        <v>48</v>
      </c>
      <c r="C55" s="34">
        <v>6</v>
      </c>
      <c r="D55" s="227" t="s">
        <v>552</v>
      </c>
      <c r="E55" s="228"/>
      <c r="F55" s="228"/>
      <c r="G55" s="228"/>
      <c r="H55" s="229"/>
      <c r="I55" s="35">
        <v>0</v>
      </c>
      <c r="J55" s="35">
        <v>0</v>
      </c>
      <c r="K55" s="35">
        <f t="shared" si="6"/>
        <v>0</v>
      </c>
      <c r="L55" s="135"/>
      <c r="M55" s="35">
        <v>0</v>
      </c>
      <c r="N55" s="35">
        <v>0</v>
      </c>
      <c r="O55" s="35">
        <f t="shared" si="8"/>
        <v>0</v>
      </c>
      <c r="Q55" s="35">
        <f t="shared" si="35"/>
        <v>0</v>
      </c>
      <c r="R55" s="35">
        <f t="shared" si="3"/>
        <v>0</v>
      </c>
      <c r="S55" s="35">
        <f t="shared" si="4"/>
        <v>0</v>
      </c>
    </row>
    <row r="56" spans="2:19" ht="15.75" x14ac:dyDescent="0.25">
      <c r="B56" s="73">
        <f t="shared" si="9"/>
        <v>49</v>
      </c>
      <c r="C56" s="34">
        <v>7</v>
      </c>
      <c r="D56" s="227" t="s">
        <v>409</v>
      </c>
      <c r="E56" s="228"/>
      <c r="F56" s="228"/>
      <c r="G56" s="228"/>
      <c r="H56" s="229"/>
      <c r="I56" s="35">
        <f>I57+I58+I62</f>
        <v>72200</v>
      </c>
      <c r="J56" s="35">
        <f t="shared" ref="J56" si="37">J57+J58+J62</f>
        <v>0</v>
      </c>
      <c r="K56" s="35">
        <f t="shared" si="6"/>
        <v>72200</v>
      </c>
      <c r="L56" s="135"/>
      <c r="M56" s="35">
        <v>0</v>
      </c>
      <c r="N56" s="35">
        <v>0</v>
      </c>
      <c r="O56" s="35">
        <f t="shared" si="8"/>
        <v>0</v>
      </c>
      <c r="Q56" s="35">
        <f t="shared" si="35"/>
        <v>72200</v>
      </c>
      <c r="R56" s="35">
        <f t="shared" si="3"/>
        <v>0</v>
      </c>
      <c r="S56" s="35">
        <f t="shared" si="4"/>
        <v>72200</v>
      </c>
    </row>
    <row r="57" spans="2:19" x14ac:dyDescent="0.25">
      <c r="B57" s="73">
        <f t="shared" si="9"/>
        <v>50</v>
      </c>
      <c r="C57" s="21"/>
      <c r="D57" s="21"/>
      <c r="E57" s="21"/>
      <c r="F57" s="42" t="s">
        <v>217</v>
      </c>
      <c r="G57" s="97">
        <v>620</v>
      </c>
      <c r="H57" s="21" t="s">
        <v>228</v>
      </c>
      <c r="I57" s="15">
        <v>7500</v>
      </c>
      <c r="J57" s="15"/>
      <c r="K57" s="15">
        <f t="shared" si="6"/>
        <v>7500</v>
      </c>
      <c r="L57" s="130"/>
      <c r="M57" s="15"/>
      <c r="N57" s="15"/>
      <c r="O57" s="15">
        <f t="shared" si="8"/>
        <v>0</v>
      </c>
      <c r="Q57" s="15">
        <f t="shared" si="35"/>
        <v>7500</v>
      </c>
      <c r="R57" s="15">
        <f t="shared" si="3"/>
        <v>0</v>
      </c>
      <c r="S57" s="15">
        <f t="shared" si="4"/>
        <v>7500</v>
      </c>
    </row>
    <row r="58" spans="2:19" x14ac:dyDescent="0.25">
      <c r="B58" s="73">
        <f t="shared" si="9"/>
        <v>51</v>
      </c>
      <c r="C58" s="21"/>
      <c r="D58" s="21"/>
      <c r="E58" s="21"/>
      <c r="F58" s="42" t="s">
        <v>217</v>
      </c>
      <c r="G58" s="97">
        <v>630</v>
      </c>
      <c r="H58" s="21" t="s">
        <v>218</v>
      </c>
      <c r="I58" s="15">
        <f>SUM(I59:I61)</f>
        <v>54860</v>
      </c>
      <c r="J58" s="15">
        <f t="shared" ref="J58" si="38">SUM(J59:J61)</f>
        <v>0</v>
      </c>
      <c r="K58" s="15">
        <f t="shared" si="6"/>
        <v>54860</v>
      </c>
      <c r="L58" s="130"/>
      <c r="M58" s="15"/>
      <c r="N58" s="15"/>
      <c r="O58" s="15">
        <f t="shared" si="8"/>
        <v>0</v>
      </c>
      <c r="Q58" s="15">
        <f t="shared" si="35"/>
        <v>54860</v>
      </c>
      <c r="R58" s="15">
        <f t="shared" si="3"/>
        <v>0</v>
      </c>
      <c r="S58" s="15">
        <f t="shared" si="4"/>
        <v>54860</v>
      </c>
    </row>
    <row r="59" spans="2:19" x14ac:dyDescent="0.25">
      <c r="B59" s="73">
        <f t="shared" si="9"/>
        <v>52</v>
      </c>
      <c r="C59" s="9"/>
      <c r="D59" s="9"/>
      <c r="E59" s="9"/>
      <c r="F59" s="43" t="s">
        <v>217</v>
      </c>
      <c r="G59" s="98">
        <v>632</v>
      </c>
      <c r="H59" s="9" t="s">
        <v>229</v>
      </c>
      <c r="I59" s="10">
        <v>20000</v>
      </c>
      <c r="J59" s="10"/>
      <c r="K59" s="10">
        <f t="shared" si="6"/>
        <v>20000</v>
      </c>
      <c r="L59" s="131"/>
      <c r="M59" s="15"/>
      <c r="N59" s="15"/>
      <c r="O59" s="15">
        <f t="shared" si="8"/>
        <v>0</v>
      </c>
      <c r="Q59" s="10">
        <f t="shared" si="35"/>
        <v>20000</v>
      </c>
      <c r="R59" s="10">
        <f t="shared" si="3"/>
        <v>0</v>
      </c>
      <c r="S59" s="10">
        <f t="shared" si="4"/>
        <v>20000</v>
      </c>
    </row>
    <row r="60" spans="2:19" x14ac:dyDescent="0.25">
      <c r="B60" s="73">
        <f t="shared" si="9"/>
        <v>53</v>
      </c>
      <c r="C60" s="9"/>
      <c r="D60" s="9"/>
      <c r="E60" s="9"/>
      <c r="F60" s="43" t="s">
        <v>217</v>
      </c>
      <c r="G60" s="98">
        <v>633</v>
      </c>
      <c r="H60" s="9" t="s">
        <v>220</v>
      </c>
      <c r="I60" s="10">
        <v>5500</v>
      </c>
      <c r="J60" s="10"/>
      <c r="K60" s="10">
        <f t="shared" si="6"/>
        <v>5500</v>
      </c>
      <c r="L60" s="131"/>
      <c r="M60" s="15"/>
      <c r="N60" s="15"/>
      <c r="O60" s="15">
        <f t="shared" si="8"/>
        <v>0</v>
      </c>
      <c r="Q60" s="10">
        <f t="shared" si="35"/>
        <v>5500</v>
      </c>
      <c r="R60" s="10">
        <f t="shared" si="3"/>
        <v>0</v>
      </c>
      <c r="S60" s="10">
        <f t="shared" si="4"/>
        <v>5500</v>
      </c>
    </row>
    <row r="61" spans="2:19" x14ac:dyDescent="0.25">
      <c r="B61" s="73">
        <f t="shared" si="9"/>
        <v>54</v>
      </c>
      <c r="C61" s="9"/>
      <c r="D61" s="9"/>
      <c r="E61" s="9"/>
      <c r="F61" s="43" t="s">
        <v>217</v>
      </c>
      <c r="G61" s="98">
        <v>637</v>
      </c>
      <c r="H61" s="9" t="s">
        <v>223</v>
      </c>
      <c r="I61" s="10">
        <v>29360</v>
      </c>
      <c r="J61" s="10"/>
      <c r="K61" s="10">
        <f t="shared" si="6"/>
        <v>29360</v>
      </c>
      <c r="L61" s="131"/>
      <c r="M61" s="15"/>
      <c r="N61" s="15"/>
      <c r="O61" s="15">
        <f t="shared" si="8"/>
        <v>0</v>
      </c>
      <c r="Q61" s="10">
        <f t="shared" si="35"/>
        <v>29360</v>
      </c>
      <c r="R61" s="10">
        <f t="shared" si="3"/>
        <v>0</v>
      </c>
      <c r="S61" s="10">
        <f t="shared" si="4"/>
        <v>29360</v>
      </c>
    </row>
    <row r="62" spans="2:19" x14ac:dyDescent="0.25">
      <c r="B62" s="73">
        <f t="shared" si="9"/>
        <v>55</v>
      </c>
      <c r="C62" s="21"/>
      <c r="D62" s="21"/>
      <c r="E62" s="21"/>
      <c r="F62" s="42" t="s">
        <v>242</v>
      </c>
      <c r="G62" s="97">
        <v>630</v>
      </c>
      <c r="H62" s="21" t="s">
        <v>218</v>
      </c>
      <c r="I62" s="15">
        <f>I63</f>
        <v>9840</v>
      </c>
      <c r="J62" s="15">
        <f t="shared" ref="J62" si="39">J63</f>
        <v>0</v>
      </c>
      <c r="K62" s="15">
        <f t="shared" si="6"/>
        <v>9840</v>
      </c>
      <c r="L62" s="130"/>
      <c r="M62" s="15"/>
      <c r="N62" s="15"/>
      <c r="O62" s="15">
        <f t="shared" si="8"/>
        <v>0</v>
      </c>
      <c r="Q62" s="15">
        <f t="shared" si="35"/>
        <v>9840</v>
      </c>
      <c r="R62" s="15">
        <f t="shared" si="3"/>
        <v>0</v>
      </c>
      <c r="S62" s="15">
        <f t="shared" si="4"/>
        <v>9840</v>
      </c>
    </row>
    <row r="63" spans="2:19" x14ac:dyDescent="0.25">
      <c r="B63" s="73">
        <f t="shared" si="9"/>
        <v>56</v>
      </c>
      <c r="C63" s="9"/>
      <c r="D63" s="9"/>
      <c r="E63" s="9"/>
      <c r="F63" s="43" t="s">
        <v>242</v>
      </c>
      <c r="G63" s="98">
        <v>637</v>
      </c>
      <c r="H63" s="9" t="s">
        <v>223</v>
      </c>
      <c r="I63" s="16">
        <v>9840</v>
      </c>
      <c r="J63" s="16"/>
      <c r="K63" s="16">
        <f t="shared" si="6"/>
        <v>9840</v>
      </c>
      <c r="L63" s="131"/>
      <c r="M63" s="15"/>
      <c r="N63" s="15"/>
      <c r="O63" s="15">
        <f t="shared" si="8"/>
        <v>0</v>
      </c>
      <c r="Q63" s="10">
        <f t="shared" si="35"/>
        <v>9840</v>
      </c>
      <c r="R63" s="10">
        <f t="shared" si="3"/>
        <v>0</v>
      </c>
      <c r="S63" s="10">
        <f t="shared" si="4"/>
        <v>9840</v>
      </c>
    </row>
    <row r="64" spans="2:19" ht="15.75" x14ac:dyDescent="0.25">
      <c r="B64" s="73">
        <f t="shared" si="9"/>
        <v>57</v>
      </c>
      <c r="C64" s="34">
        <v>8</v>
      </c>
      <c r="D64" s="227" t="s">
        <v>410</v>
      </c>
      <c r="E64" s="228"/>
      <c r="F64" s="228"/>
      <c r="G64" s="228"/>
      <c r="H64" s="229"/>
      <c r="I64" s="35">
        <f>I65</f>
        <v>16000</v>
      </c>
      <c r="J64" s="35">
        <f t="shared" ref="J64:J66" si="40">J65</f>
        <v>0</v>
      </c>
      <c r="K64" s="35">
        <f t="shared" si="6"/>
        <v>16000</v>
      </c>
      <c r="L64" s="135"/>
      <c r="M64" s="35">
        <v>0</v>
      </c>
      <c r="N64" s="35">
        <v>0</v>
      </c>
      <c r="O64" s="35">
        <f t="shared" si="8"/>
        <v>0</v>
      </c>
      <c r="Q64" s="35">
        <f t="shared" si="35"/>
        <v>16000</v>
      </c>
      <c r="R64" s="35">
        <f t="shared" si="3"/>
        <v>0</v>
      </c>
      <c r="S64" s="35">
        <f t="shared" si="4"/>
        <v>16000</v>
      </c>
    </row>
    <row r="65" spans="2:19" x14ac:dyDescent="0.25">
      <c r="B65" s="73">
        <f t="shared" si="9"/>
        <v>58</v>
      </c>
      <c r="C65" s="21"/>
      <c r="D65" s="21"/>
      <c r="E65" s="21"/>
      <c r="F65" s="42" t="s">
        <v>243</v>
      </c>
      <c r="G65" s="97">
        <v>640</v>
      </c>
      <c r="H65" s="21" t="s">
        <v>230</v>
      </c>
      <c r="I65" s="15">
        <f>I66</f>
        <v>16000</v>
      </c>
      <c r="J65" s="15">
        <f t="shared" si="40"/>
        <v>0</v>
      </c>
      <c r="K65" s="15">
        <f t="shared" si="6"/>
        <v>16000</v>
      </c>
      <c r="L65" s="130"/>
      <c r="M65" s="15"/>
      <c r="N65" s="15"/>
      <c r="O65" s="15">
        <f t="shared" si="8"/>
        <v>0</v>
      </c>
      <c r="Q65" s="15">
        <f t="shared" si="35"/>
        <v>16000</v>
      </c>
      <c r="R65" s="15">
        <f t="shared" si="3"/>
        <v>0</v>
      </c>
      <c r="S65" s="15">
        <f t="shared" si="4"/>
        <v>16000</v>
      </c>
    </row>
    <row r="66" spans="2:19" x14ac:dyDescent="0.25">
      <c r="B66" s="73">
        <f t="shared" si="9"/>
        <v>59</v>
      </c>
      <c r="C66" s="9"/>
      <c r="D66" s="9"/>
      <c r="E66" s="9"/>
      <c r="F66" s="43" t="s">
        <v>243</v>
      </c>
      <c r="G66" s="98">
        <v>642</v>
      </c>
      <c r="H66" s="9" t="s">
        <v>231</v>
      </c>
      <c r="I66" s="10">
        <f>I67</f>
        <v>16000</v>
      </c>
      <c r="J66" s="10">
        <f t="shared" si="40"/>
        <v>0</v>
      </c>
      <c r="K66" s="10">
        <f t="shared" si="6"/>
        <v>16000</v>
      </c>
      <c r="L66" s="131"/>
      <c r="M66" s="15"/>
      <c r="N66" s="15"/>
      <c r="O66" s="15">
        <f t="shared" si="8"/>
        <v>0</v>
      </c>
      <c r="Q66" s="10">
        <f t="shared" si="35"/>
        <v>16000</v>
      </c>
      <c r="R66" s="10">
        <f t="shared" si="3"/>
        <v>0</v>
      </c>
      <c r="S66" s="10">
        <f t="shared" si="4"/>
        <v>16000</v>
      </c>
    </row>
    <row r="67" spans="2:19" x14ac:dyDescent="0.25">
      <c r="B67" s="73">
        <f t="shared" si="9"/>
        <v>60</v>
      </c>
      <c r="C67" s="12"/>
      <c r="D67" s="12"/>
      <c r="E67" s="12"/>
      <c r="F67" s="12"/>
      <c r="G67" s="99" t="s">
        <v>49</v>
      </c>
      <c r="H67" s="12" t="s">
        <v>375</v>
      </c>
      <c r="I67" s="13">
        <v>16000</v>
      </c>
      <c r="J67" s="13"/>
      <c r="K67" s="13">
        <f t="shared" si="6"/>
        <v>16000</v>
      </c>
      <c r="L67" s="132"/>
      <c r="M67" s="15"/>
      <c r="N67" s="15"/>
      <c r="O67" s="15">
        <f t="shared" si="8"/>
        <v>0</v>
      </c>
      <c r="Q67" s="13">
        <f t="shared" si="35"/>
        <v>16000</v>
      </c>
      <c r="R67" s="13">
        <f t="shared" si="3"/>
        <v>0</v>
      </c>
      <c r="S67" s="13">
        <f t="shared" si="4"/>
        <v>16000</v>
      </c>
    </row>
    <row r="68" spans="2:19" ht="15.75" x14ac:dyDescent="0.25">
      <c r="B68" s="73">
        <f t="shared" si="9"/>
        <v>61</v>
      </c>
      <c r="C68" s="34">
        <v>9</v>
      </c>
      <c r="D68" s="227" t="s">
        <v>244</v>
      </c>
      <c r="E68" s="228"/>
      <c r="F68" s="228"/>
      <c r="G68" s="228"/>
      <c r="H68" s="229"/>
      <c r="I68" s="35">
        <v>0</v>
      </c>
      <c r="J68" s="35">
        <v>0</v>
      </c>
      <c r="K68" s="35">
        <f t="shared" si="6"/>
        <v>0</v>
      </c>
      <c r="L68" s="135"/>
      <c r="M68" s="35">
        <v>0</v>
      </c>
      <c r="N68" s="35">
        <v>0</v>
      </c>
      <c r="O68" s="35">
        <f t="shared" si="8"/>
        <v>0</v>
      </c>
      <c r="Q68" s="35">
        <f t="shared" si="35"/>
        <v>0</v>
      </c>
      <c r="R68" s="35">
        <f t="shared" si="3"/>
        <v>0</v>
      </c>
      <c r="S68" s="35">
        <f t="shared" si="4"/>
        <v>0</v>
      </c>
    </row>
    <row r="69" spans="2:19" ht="12.75" customHeight="1" x14ac:dyDescent="0.25"/>
    <row r="71" spans="2:19" ht="27" x14ac:dyDescent="0.35">
      <c r="B71" s="166" t="s">
        <v>246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</row>
    <row r="72" spans="2:19" x14ac:dyDescent="0.25">
      <c r="B72" s="233" t="s">
        <v>208</v>
      </c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5"/>
      <c r="N72" s="169"/>
      <c r="O72" s="170"/>
      <c r="Q72" s="236" t="s">
        <v>563</v>
      </c>
      <c r="R72" s="221" t="s">
        <v>635</v>
      </c>
      <c r="S72" s="221" t="s">
        <v>636</v>
      </c>
    </row>
    <row r="73" spans="2:19" ht="15" customHeight="1" x14ac:dyDescent="0.25">
      <c r="B73" s="237"/>
      <c r="C73" s="240" t="s">
        <v>209</v>
      </c>
      <c r="D73" s="240" t="s">
        <v>210</v>
      </c>
      <c r="E73" s="240" t="s">
        <v>211</v>
      </c>
      <c r="F73" s="240" t="s">
        <v>212</v>
      </c>
      <c r="G73" s="243" t="s">
        <v>213</v>
      </c>
      <c r="H73" s="245" t="s">
        <v>214</v>
      </c>
      <c r="I73" s="248" t="s">
        <v>561</v>
      </c>
      <c r="J73" s="222" t="s">
        <v>635</v>
      </c>
      <c r="K73" s="222" t="s">
        <v>637</v>
      </c>
      <c r="L73" s="129"/>
      <c r="M73" s="250" t="s">
        <v>562</v>
      </c>
      <c r="N73" s="222" t="s">
        <v>635</v>
      </c>
      <c r="O73" s="222" t="s">
        <v>638</v>
      </c>
      <c r="Q73" s="236"/>
      <c r="R73" s="222"/>
      <c r="S73" s="222"/>
    </row>
    <row r="74" spans="2:19" ht="46.5" customHeight="1" x14ac:dyDescent="0.25">
      <c r="B74" s="238"/>
      <c r="C74" s="241"/>
      <c r="D74" s="241"/>
      <c r="E74" s="241"/>
      <c r="F74" s="241"/>
      <c r="G74" s="243"/>
      <c r="H74" s="246"/>
      <c r="I74" s="248"/>
      <c r="J74" s="222"/>
      <c r="K74" s="222"/>
      <c r="L74" s="129"/>
      <c r="M74" s="250"/>
      <c r="N74" s="222"/>
      <c r="O74" s="222"/>
      <c r="Q74" s="236"/>
      <c r="R74" s="222"/>
      <c r="S74" s="222"/>
    </row>
    <row r="75" spans="2:19" ht="15" hidden="1" customHeight="1" x14ac:dyDescent="0.25">
      <c r="B75" s="238"/>
      <c r="C75" s="241"/>
      <c r="D75" s="241"/>
      <c r="E75" s="241"/>
      <c r="F75" s="241"/>
      <c r="G75" s="243"/>
      <c r="H75" s="246"/>
      <c r="I75" s="248"/>
      <c r="J75" s="222"/>
      <c r="K75" s="222"/>
      <c r="L75" s="129"/>
      <c r="M75" s="250"/>
      <c r="N75" s="222"/>
      <c r="O75" s="222"/>
      <c r="Q75" s="236"/>
      <c r="R75" s="222"/>
      <c r="S75" s="222"/>
    </row>
    <row r="76" spans="2:19" ht="19.5" customHeight="1" thickBot="1" x14ac:dyDescent="0.3">
      <c r="B76" s="239"/>
      <c r="C76" s="242"/>
      <c r="D76" s="242"/>
      <c r="E76" s="242"/>
      <c r="F76" s="242"/>
      <c r="G76" s="244"/>
      <c r="H76" s="247"/>
      <c r="I76" s="249"/>
      <c r="J76" s="223"/>
      <c r="K76" s="223"/>
      <c r="L76" s="129"/>
      <c r="M76" s="251"/>
      <c r="N76" s="223"/>
      <c r="O76" s="223"/>
      <c r="Q76" s="236"/>
      <c r="R76" s="223"/>
      <c r="S76" s="223"/>
    </row>
    <row r="77" spans="2:19" ht="20.25" customHeight="1" thickTop="1" x14ac:dyDescent="0.25">
      <c r="B77" s="74">
        <v>1</v>
      </c>
      <c r="C77" s="224" t="s">
        <v>374</v>
      </c>
      <c r="D77" s="225"/>
      <c r="E77" s="225"/>
      <c r="F77" s="225"/>
      <c r="G77" s="225"/>
      <c r="H77" s="226"/>
      <c r="I77" s="33">
        <f>I78+I83</f>
        <v>84020</v>
      </c>
      <c r="J77" s="33">
        <f t="shared" ref="J77:K77" si="41">J78+J83</f>
        <v>0</v>
      </c>
      <c r="K77" s="33">
        <f t="shared" si="41"/>
        <v>84028</v>
      </c>
      <c r="L77" s="134"/>
      <c r="M77" s="33">
        <f>M83+M78</f>
        <v>0</v>
      </c>
      <c r="N77" s="33">
        <f t="shared" ref="N77:O77" si="42">N83+N78</f>
        <v>0</v>
      </c>
      <c r="O77" s="33">
        <f t="shared" si="42"/>
        <v>0</v>
      </c>
      <c r="Q77" s="33">
        <f t="shared" ref="Q77:Q88" si="43">M77+I77</f>
        <v>84020</v>
      </c>
      <c r="R77" s="33">
        <f t="shared" ref="R77" si="44">N77+J77</f>
        <v>0</v>
      </c>
      <c r="S77" s="33">
        <f t="shared" ref="S77" si="45">O77+K77</f>
        <v>84028</v>
      </c>
    </row>
    <row r="78" spans="2:19" ht="15.75" x14ac:dyDescent="0.25">
      <c r="B78" s="73">
        <f>B77+1</f>
        <v>2</v>
      </c>
      <c r="C78" s="34">
        <v>1</v>
      </c>
      <c r="D78" s="227" t="s">
        <v>247</v>
      </c>
      <c r="E78" s="228"/>
      <c r="F78" s="228"/>
      <c r="G78" s="228"/>
      <c r="H78" s="229"/>
      <c r="I78" s="35">
        <f>I79+I81</f>
        <v>52500</v>
      </c>
      <c r="J78" s="35">
        <f t="shared" ref="J78:K78" si="46">J79+J81</f>
        <v>0</v>
      </c>
      <c r="K78" s="35">
        <f t="shared" si="46"/>
        <v>52504</v>
      </c>
      <c r="L78" s="135"/>
      <c r="M78" s="35">
        <v>0</v>
      </c>
      <c r="N78" s="35">
        <v>0</v>
      </c>
      <c r="O78" s="35">
        <v>0</v>
      </c>
      <c r="Q78" s="35">
        <f t="shared" si="43"/>
        <v>52500</v>
      </c>
      <c r="R78" s="35">
        <f t="shared" ref="R78:R88" si="47">N78+J78</f>
        <v>0</v>
      </c>
      <c r="S78" s="35">
        <f t="shared" ref="S78:S88" si="48">O78+K78</f>
        <v>52504</v>
      </c>
    </row>
    <row r="79" spans="2:19" x14ac:dyDescent="0.25">
      <c r="B79" s="73">
        <f>B78+1</f>
        <v>3</v>
      </c>
      <c r="C79" s="21"/>
      <c r="D79" s="21"/>
      <c r="E79" s="21"/>
      <c r="F79" s="42" t="s">
        <v>248</v>
      </c>
      <c r="G79" s="97">
        <v>630</v>
      </c>
      <c r="H79" s="21" t="s">
        <v>218</v>
      </c>
      <c r="I79" s="15">
        <f>SUM(I80:I80)</f>
        <v>30500</v>
      </c>
      <c r="J79" s="15">
        <f t="shared" ref="J79:K79" si="49">SUM(J80:J80)</f>
        <v>0</v>
      </c>
      <c r="K79" s="15">
        <f t="shared" si="49"/>
        <v>30502</v>
      </c>
      <c r="L79" s="130"/>
      <c r="M79" s="15"/>
      <c r="N79" s="15"/>
      <c r="O79" s="15"/>
      <c r="Q79" s="15">
        <f t="shared" si="43"/>
        <v>30500</v>
      </c>
      <c r="R79" s="15">
        <f t="shared" si="47"/>
        <v>0</v>
      </c>
      <c r="S79" s="15">
        <f t="shared" si="48"/>
        <v>30502</v>
      </c>
    </row>
    <row r="80" spans="2:19" x14ac:dyDescent="0.25">
      <c r="B80" s="73">
        <f>B79+1</f>
        <v>4</v>
      </c>
      <c r="C80" s="9"/>
      <c r="D80" s="9"/>
      <c r="E80" s="9"/>
      <c r="F80" s="43" t="s">
        <v>248</v>
      </c>
      <c r="G80" s="98">
        <v>637</v>
      </c>
      <c r="H80" s="9" t="s">
        <v>223</v>
      </c>
      <c r="I80" s="10">
        <v>30500</v>
      </c>
      <c r="J80" s="10"/>
      <c r="K80" s="10">
        <v>30502</v>
      </c>
      <c r="L80" s="131"/>
      <c r="M80" s="10"/>
      <c r="N80" s="10"/>
      <c r="O80" s="10"/>
      <c r="Q80" s="10">
        <f t="shared" si="43"/>
        <v>30500</v>
      </c>
      <c r="R80" s="10">
        <f t="shared" si="47"/>
        <v>0</v>
      </c>
      <c r="S80" s="10">
        <f t="shared" si="48"/>
        <v>30502</v>
      </c>
    </row>
    <row r="81" spans="2:19" x14ac:dyDescent="0.25">
      <c r="B81" s="73">
        <f t="shared" ref="B81:B88" si="50">B80+1</f>
        <v>5</v>
      </c>
      <c r="C81" s="21"/>
      <c r="D81" s="21"/>
      <c r="E81" s="21"/>
      <c r="F81" s="42" t="s">
        <v>250</v>
      </c>
      <c r="G81" s="97">
        <v>630</v>
      </c>
      <c r="H81" s="21" t="s">
        <v>218</v>
      </c>
      <c r="I81" s="15">
        <f>I82</f>
        <v>22000</v>
      </c>
      <c r="J81" s="15">
        <f t="shared" ref="J81:K81" si="51">J82</f>
        <v>0</v>
      </c>
      <c r="K81" s="15">
        <f t="shared" si="51"/>
        <v>22002</v>
      </c>
      <c r="L81" s="130"/>
      <c r="M81" s="15"/>
      <c r="N81" s="15"/>
      <c r="O81" s="15"/>
      <c r="Q81" s="15">
        <f t="shared" si="43"/>
        <v>22000</v>
      </c>
      <c r="R81" s="15">
        <f t="shared" si="47"/>
        <v>0</v>
      </c>
      <c r="S81" s="15">
        <f t="shared" si="48"/>
        <v>22002</v>
      </c>
    </row>
    <row r="82" spans="2:19" x14ac:dyDescent="0.25">
      <c r="B82" s="73">
        <f t="shared" si="50"/>
        <v>6</v>
      </c>
      <c r="C82" s="9"/>
      <c r="D82" s="9"/>
      <c r="E82" s="9"/>
      <c r="F82" s="43" t="s">
        <v>250</v>
      </c>
      <c r="G82" s="98">
        <v>637</v>
      </c>
      <c r="H82" s="9" t="s">
        <v>223</v>
      </c>
      <c r="I82" s="10">
        <v>22000</v>
      </c>
      <c r="J82" s="10"/>
      <c r="K82" s="10">
        <v>22002</v>
      </c>
      <c r="L82" s="131"/>
      <c r="M82" s="10"/>
      <c r="N82" s="10"/>
      <c r="O82" s="10"/>
      <c r="Q82" s="10">
        <f t="shared" si="43"/>
        <v>22000</v>
      </c>
      <c r="R82" s="10">
        <f t="shared" si="47"/>
        <v>0</v>
      </c>
      <c r="S82" s="10">
        <f t="shared" si="48"/>
        <v>22002</v>
      </c>
    </row>
    <row r="83" spans="2:19" ht="15.75" x14ac:dyDescent="0.25">
      <c r="B83" s="73">
        <f t="shared" si="50"/>
        <v>7</v>
      </c>
      <c r="C83" s="34">
        <v>2</v>
      </c>
      <c r="D83" s="227" t="s">
        <v>251</v>
      </c>
      <c r="E83" s="228"/>
      <c r="F83" s="228"/>
      <c r="G83" s="228"/>
      <c r="H83" s="229"/>
      <c r="I83" s="35">
        <f>I84+I86</f>
        <v>31520</v>
      </c>
      <c r="J83" s="35">
        <f t="shared" ref="J83:K83" si="52">J84+J86</f>
        <v>0</v>
      </c>
      <c r="K83" s="35">
        <f t="shared" si="52"/>
        <v>31524</v>
      </c>
      <c r="L83" s="135"/>
      <c r="M83" s="35">
        <v>0</v>
      </c>
      <c r="N83" s="35">
        <v>0</v>
      </c>
      <c r="O83" s="35">
        <v>0</v>
      </c>
      <c r="Q83" s="35">
        <f t="shared" si="43"/>
        <v>31520</v>
      </c>
      <c r="R83" s="35">
        <f t="shared" si="47"/>
        <v>0</v>
      </c>
      <c r="S83" s="35">
        <f t="shared" si="48"/>
        <v>31524</v>
      </c>
    </row>
    <row r="84" spans="2:19" ht="16.5" customHeight="1" x14ac:dyDescent="0.25">
      <c r="B84" s="73">
        <f t="shared" si="50"/>
        <v>8</v>
      </c>
      <c r="C84" s="21"/>
      <c r="D84" s="21"/>
      <c r="E84" s="21"/>
      <c r="F84" s="42" t="s">
        <v>248</v>
      </c>
      <c r="G84" s="97">
        <v>630</v>
      </c>
      <c r="H84" s="21" t="s">
        <v>218</v>
      </c>
      <c r="I84" s="15">
        <f>I85</f>
        <v>8000</v>
      </c>
      <c r="J84" s="15">
        <f t="shared" ref="J84:K84" si="53">J85</f>
        <v>0</v>
      </c>
      <c r="K84" s="15">
        <f t="shared" si="53"/>
        <v>8002</v>
      </c>
      <c r="L84" s="130"/>
      <c r="M84" s="15"/>
      <c r="N84" s="15"/>
      <c r="O84" s="15"/>
      <c r="Q84" s="15">
        <f t="shared" si="43"/>
        <v>8000</v>
      </c>
      <c r="R84" s="15">
        <f t="shared" si="47"/>
        <v>0</v>
      </c>
      <c r="S84" s="15">
        <f t="shared" si="48"/>
        <v>8002</v>
      </c>
    </row>
    <row r="85" spans="2:19" ht="17.25" customHeight="1" x14ac:dyDescent="0.25">
      <c r="B85" s="73">
        <f t="shared" si="50"/>
        <v>9</v>
      </c>
      <c r="C85" s="9"/>
      <c r="D85" s="9"/>
      <c r="E85" s="9"/>
      <c r="F85" s="43" t="s">
        <v>248</v>
      </c>
      <c r="G85" s="98">
        <v>637</v>
      </c>
      <c r="H85" s="9" t="s">
        <v>223</v>
      </c>
      <c r="I85" s="10">
        <v>8000</v>
      </c>
      <c r="J85" s="10"/>
      <c r="K85" s="10">
        <v>8002</v>
      </c>
      <c r="L85" s="131"/>
      <c r="M85" s="10"/>
      <c r="N85" s="10"/>
      <c r="O85" s="10"/>
      <c r="Q85" s="10">
        <f t="shared" si="43"/>
        <v>8000</v>
      </c>
      <c r="R85" s="10">
        <f t="shared" si="47"/>
        <v>0</v>
      </c>
      <c r="S85" s="10">
        <f t="shared" si="48"/>
        <v>8002</v>
      </c>
    </row>
    <row r="86" spans="2:19" ht="18" customHeight="1" x14ac:dyDescent="0.25">
      <c r="B86" s="73">
        <f t="shared" si="50"/>
        <v>10</v>
      </c>
      <c r="C86" s="21"/>
      <c r="D86" s="21"/>
      <c r="E86" s="21"/>
      <c r="F86" s="42" t="s">
        <v>248</v>
      </c>
      <c r="G86" s="97">
        <v>640</v>
      </c>
      <c r="H86" s="21" t="s">
        <v>230</v>
      </c>
      <c r="I86" s="15">
        <f>I87</f>
        <v>23520</v>
      </c>
      <c r="J86" s="15">
        <f t="shared" ref="J86:K87" si="54">J87</f>
        <v>0</v>
      </c>
      <c r="K86" s="15">
        <f t="shared" si="54"/>
        <v>23522</v>
      </c>
      <c r="L86" s="130"/>
      <c r="M86" s="15"/>
      <c r="N86" s="15"/>
      <c r="O86" s="15"/>
      <c r="Q86" s="15">
        <f t="shared" si="43"/>
        <v>23520</v>
      </c>
      <c r="R86" s="15">
        <f t="shared" si="47"/>
        <v>0</v>
      </c>
      <c r="S86" s="15">
        <f t="shared" si="48"/>
        <v>23522</v>
      </c>
    </row>
    <row r="87" spans="2:19" x14ac:dyDescent="0.25">
      <c r="B87" s="73">
        <f t="shared" si="50"/>
        <v>11</v>
      </c>
      <c r="C87" s="9"/>
      <c r="D87" s="9"/>
      <c r="E87" s="9"/>
      <c r="F87" s="43" t="s">
        <v>248</v>
      </c>
      <c r="G87" s="98">
        <v>642</v>
      </c>
      <c r="H87" s="9" t="s">
        <v>231</v>
      </c>
      <c r="I87" s="10">
        <f>I88</f>
        <v>23520</v>
      </c>
      <c r="J87" s="10">
        <f t="shared" si="54"/>
        <v>0</v>
      </c>
      <c r="K87" s="10">
        <f t="shared" si="54"/>
        <v>23522</v>
      </c>
      <c r="L87" s="131"/>
      <c r="M87" s="10"/>
      <c r="N87" s="10"/>
      <c r="O87" s="10"/>
      <c r="Q87" s="10">
        <f t="shared" si="43"/>
        <v>23520</v>
      </c>
      <c r="R87" s="10">
        <f t="shared" si="47"/>
        <v>0</v>
      </c>
      <c r="S87" s="10">
        <f t="shared" si="48"/>
        <v>23522</v>
      </c>
    </row>
    <row r="88" spans="2:19" x14ac:dyDescent="0.25">
      <c r="B88" s="73">
        <f t="shared" si="50"/>
        <v>12</v>
      </c>
      <c r="C88" s="12"/>
      <c r="D88" s="12"/>
      <c r="E88" s="12"/>
      <c r="F88" s="12"/>
      <c r="G88" s="99" t="s">
        <v>49</v>
      </c>
      <c r="H88" s="12" t="s">
        <v>376</v>
      </c>
      <c r="I88" s="13">
        <v>23520</v>
      </c>
      <c r="J88" s="13"/>
      <c r="K88" s="13">
        <v>23522</v>
      </c>
      <c r="L88" s="132"/>
      <c r="M88" s="13"/>
      <c r="N88" s="13"/>
      <c r="O88" s="13"/>
      <c r="Q88" s="13">
        <f t="shared" si="43"/>
        <v>23520</v>
      </c>
      <c r="R88" s="13">
        <f t="shared" si="47"/>
        <v>0</v>
      </c>
      <c r="S88" s="13">
        <f t="shared" si="48"/>
        <v>23522</v>
      </c>
    </row>
    <row r="94" spans="2:19" ht="27" x14ac:dyDescent="0.35">
      <c r="B94" s="231" t="s">
        <v>252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</row>
    <row r="95" spans="2:19" x14ac:dyDescent="0.25">
      <c r="B95" s="233" t="s">
        <v>208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5"/>
      <c r="N95" s="169"/>
      <c r="O95" s="170"/>
      <c r="Q95" s="236" t="s">
        <v>563</v>
      </c>
      <c r="R95" s="221" t="s">
        <v>635</v>
      </c>
      <c r="S95" s="221" t="s">
        <v>636</v>
      </c>
    </row>
    <row r="96" spans="2:19" x14ac:dyDescent="0.25">
      <c r="B96" s="237"/>
      <c r="C96" s="240" t="s">
        <v>209</v>
      </c>
      <c r="D96" s="240" t="s">
        <v>210</v>
      </c>
      <c r="E96" s="240" t="s">
        <v>211</v>
      </c>
      <c r="F96" s="240" t="s">
        <v>212</v>
      </c>
      <c r="G96" s="243" t="s">
        <v>213</v>
      </c>
      <c r="H96" s="245" t="s">
        <v>214</v>
      </c>
      <c r="I96" s="248" t="s">
        <v>561</v>
      </c>
      <c r="J96" s="222" t="s">
        <v>635</v>
      </c>
      <c r="K96" s="222" t="s">
        <v>637</v>
      </c>
      <c r="L96" s="129"/>
      <c r="M96" s="250" t="s">
        <v>562</v>
      </c>
      <c r="N96" s="222" t="s">
        <v>635</v>
      </c>
      <c r="O96" s="222" t="s">
        <v>638</v>
      </c>
      <c r="Q96" s="236"/>
      <c r="R96" s="222"/>
      <c r="S96" s="222"/>
    </row>
    <row r="97" spans="2:19" x14ac:dyDescent="0.25">
      <c r="B97" s="238"/>
      <c r="C97" s="241"/>
      <c r="D97" s="241"/>
      <c r="E97" s="241"/>
      <c r="F97" s="241"/>
      <c r="G97" s="243"/>
      <c r="H97" s="246"/>
      <c r="I97" s="248"/>
      <c r="J97" s="222"/>
      <c r="K97" s="222"/>
      <c r="L97" s="129"/>
      <c r="M97" s="250"/>
      <c r="N97" s="222"/>
      <c r="O97" s="222"/>
      <c r="Q97" s="236"/>
      <c r="R97" s="222"/>
      <c r="S97" s="222"/>
    </row>
    <row r="98" spans="2:19" x14ac:dyDescent="0.25">
      <c r="B98" s="238"/>
      <c r="C98" s="241"/>
      <c r="D98" s="241"/>
      <c r="E98" s="241"/>
      <c r="F98" s="241"/>
      <c r="G98" s="243"/>
      <c r="H98" s="246"/>
      <c r="I98" s="248"/>
      <c r="J98" s="222"/>
      <c r="K98" s="222"/>
      <c r="L98" s="129"/>
      <c r="M98" s="250"/>
      <c r="N98" s="222"/>
      <c r="O98" s="222"/>
      <c r="Q98" s="236"/>
      <c r="R98" s="222"/>
      <c r="S98" s="222"/>
    </row>
    <row r="99" spans="2:19" ht="15.75" thickBot="1" x14ac:dyDescent="0.3">
      <c r="B99" s="239"/>
      <c r="C99" s="242"/>
      <c r="D99" s="242"/>
      <c r="E99" s="242"/>
      <c r="F99" s="242"/>
      <c r="G99" s="244"/>
      <c r="H99" s="247"/>
      <c r="I99" s="249"/>
      <c r="J99" s="223"/>
      <c r="K99" s="223"/>
      <c r="L99" s="129"/>
      <c r="M99" s="251"/>
      <c r="N99" s="223"/>
      <c r="O99" s="223"/>
      <c r="Q99" s="236"/>
      <c r="R99" s="223"/>
      <c r="S99" s="223"/>
    </row>
    <row r="100" spans="2:19" ht="16.5" thickTop="1" x14ac:dyDescent="0.25">
      <c r="B100" s="74">
        <v>1</v>
      </c>
      <c r="C100" s="224" t="s">
        <v>252</v>
      </c>
      <c r="D100" s="225"/>
      <c r="E100" s="225"/>
      <c r="F100" s="225"/>
      <c r="G100" s="225"/>
      <c r="H100" s="226"/>
      <c r="I100" s="33">
        <f>I101+I104+I127+I131+I157+I174+I179+I192</f>
        <v>3952320</v>
      </c>
      <c r="J100" s="33">
        <f>J101+J104+J127+J131+J157+J174+J179+J192</f>
        <v>0</v>
      </c>
      <c r="K100" s="33">
        <f>I100+J100</f>
        <v>3952320</v>
      </c>
      <c r="L100" s="134"/>
      <c r="M100" s="33">
        <f>M101+M104+M127+M131+M157+M174+M179+M192</f>
        <v>973935</v>
      </c>
      <c r="N100" s="33">
        <f>N101+N104+N127+N131+N157+N174+N179+N192</f>
        <v>667600</v>
      </c>
      <c r="O100" s="33">
        <f>M100+N100</f>
        <v>1641535</v>
      </c>
      <c r="Q100" s="33">
        <f t="shared" ref="Q100:Q163" si="55">I100+M100</f>
        <v>4926255</v>
      </c>
      <c r="R100" s="33">
        <f t="shared" ref="R100:R163" si="56">J100+N100</f>
        <v>667600</v>
      </c>
      <c r="S100" s="33">
        <f t="shared" ref="S100:S163" si="57">K100+O100</f>
        <v>5593855</v>
      </c>
    </row>
    <row r="101" spans="2:19" ht="15.75" x14ac:dyDescent="0.25">
      <c r="B101" s="73">
        <f>B100+1</f>
        <v>2</v>
      </c>
      <c r="C101" s="34">
        <v>1</v>
      </c>
      <c r="D101" s="227" t="s">
        <v>253</v>
      </c>
      <c r="E101" s="228"/>
      <c r="F101" s="228"/>
      <c r="G101" s="228"/>
      <c r="H101" s="229"/>
      <c r="I101" s="35">
        <f>I102</f>
        <v>106000</v>
      </c>
      <c r="J101" s="35">
        <f t="shared" ref="J101:J102" si="58">J102</f>
        <v>0</v>
      </c>
      <c r="K101" s="35">
        <f t="shared" ref="K101:K164" si="59">I101+J101</f>
        <v>106000</v>
      </c>
      <c r="L101" s="135"/>
      <c r="M101" s="35">
        <v>0</v>
      </c>
      <c r="N101" s="35"/>
      <c r="O101" s="35">
        <f t="shared" ref="O101:O164" si="60">M101+N101</f>
        <v>0</v>
      </c>
      <c r="Q101" s="35">
        <f t="shared" si="55"/>
        <v>106000</v>
      </c>
      <c r="R101" s="35">
        <f t="shared" si="56"/>
        <v>0</v>
      </c>
      <c r="S101" s="35">
        <f t="shared" si="57"/>
        <v>106000</v>
      </c>
    </row>
    <row r="102" spans="2:19" x14ac:dyDescent="0.25">
      <c r="B102" s="73">
        <f>B101+1</f>
        <v>3</v>
      </c>
      <c r="C102" s="21"/>
      <c r="D102" s="21"/>
      <c r="E102" s="21"/>
      <c r="F102" s="42" t="s">
        <v>217</v>
      </c>
      <c r="G102" s="97">
        <v>630</v>
      </c>
      <c r="H102" s="21" t="s">
        <v>218</v>
      </c>
      <c r="I102" s="15">
        <f>I103</f>
        <v>106000</v>
      </c>
      <c r="J102" s="15">
        <f t="shared" si="58"/>
        <v>0</v>
      </c>
      <c r="K102" s="15">
        <f t="shared" si="59"/>
        <v>106000</v>
      </c>
      <c r="L102" s="130"/>
      <c r="M102" s="15"/>
      <c r="N102" s="15"/>
      <c r="O102" s="15">
        <f t="shared" si="60"/>
        <v>0</v>
      </c>
      <c r="Q102" s="15">
        <f t="shared" si="55"/>
        <v>106000</v>
      </c>
      <c r="R102" s="15">
        <f t="shared" si="56"/>
        <v>0</v>
      </c>
      <c r="S102" s="15">
        <f t="shared" si="57"/>
        <v>106000</v>
      </c>
    </row>
    <row r="103" spans="2:19" x14ac:dyDescent="0.25">
      <c r="B103" s="73">
        <f>B102+1</f>
        <v>4</v>
      </c>
      <c r="C103" s="9"/>
      <c r="D103" s="9"/>
      <c r="E103" s="9"/>
      <c r="F103" s="43" t="s">
        <v>217</v>
      </c>
      <c r="G103" s="98">
        <v>637</v>
      </c>
      <c r="H103" s="9" t="s">
        <v>223</v>
      </c>
      <c r="I103" s="10">
        <f>56000+50000</f>
        <v>106000</v>
      </c>
      <c r="J103" s="10"/>
      <c r="K103" s="10">
        <f t="shared" si="59"/>
        <v>106000</v>
      </c>
      <c r="L103" s="131"/>
      <c r="M103" s="10"/>
      <c r="N103" s="10"/>
      <c r="O103" s="10">
        <f t="shared" si="60"/>
        <v>0</v>
      </c>
      <c r="Q103" s="10">
        <f t="shared" si="55"/>
        <v>106000</v>
      </c>
      <c r="R103" s="10">
        <f t="shared" si="56"/>
        <v>0</v>
      </c>
      <c r="S103" s="10">
        <f t="shared" si="57"/>
        <v>106000</v>
      </c>
    </row>
    <row r="104" spans="2:19" ht="15.75" x14ac:dyDescent="0.25">
      <c r="B104" s="73">
        <f t="shared" ref="B104:B167" si="61">B103+1</f>
        <v>5</v>
      </c>
      <c r="C104" s="34">
        <v>2</v>
      </c>
      <c r="D104" s="227" t="s">
        <v>254</v>
      </c>
      <c r="E104" s="228"/>
      <c r="F104" s="228"/>
      <c r="G104" s="228"/>
      <c r="H104" s="229"/>
      <c r="I104" s="35">
        <f>I105+I108+I118</f>
        <v>93520</v>
      </c>
      <c r="J104" s="35">
        <f t="shared" ref="J104" si="62">J105+J108+J118</f>
        <v>0</v>
      </c>
      <c r="K104" s="35">
        <f t="shared" si="59"/>
        <v>93520</v>
      </c>
      <c r="L104" s="135"/>
      <c r="M104" s="35">
        <f>M105+M108+M118</f>
        <v>635605</v>
      </c>
      <c r="N104" s="35">
        <f t="shared" ref="N104" si="63">N105+N108+N118</f>
        <v>667600</v>
      </c>
      <c r="O104" s="35">
        <f t="shared" si="60"/>
        <v>1303205</v>
      </c>
      <c r="Q104" s="35">
        <f t="shared" si="55"/>
        <v>729125</v>
      </c>
      <c r="R104" s="35">
        <f t="shared" si="56"/>
        <v>667600</v>
      </c>
      <c r="S104" s="35">
        <f t="shared" si="57"/>
        <v>1396725</v>
      </c>
    </row>
    <row r="105" spans="2:19" ht="20.25" customHeight="1" x14ac:dyDescent="0.25">
      <c r="B105" s="73">
        <f t="shared" si="61"/>
        <v>6</v>
      </c>
      <c r="C105" s="171"/>
      <c r="D105" s="171">
        <v>1</v>
      </c>
      <c r="E105" s="230" t="s">
        <v>255</v>
      </c>
      <c r="F105" s="228"/>
      <c r="G105" s="228"/>
      <c r="H105" s="229"/>
      <c r="I105" s="37">
        <f>I106</f>
        <v>2300</v>
      </c>
      <c r="J105" s="37">
        <f t="shared" ref="J105:J106" si="64">J106</f>
        <v>0</v>
      </c>
      <c r="K105" s="37">
        <f t="shared" si="59"/>
        <v>2300</v>
      </c>
      <c r="L105" s="136"/>
      <c r="M105" s="37">
        <v>0</v>
      </c>
      <c r="N105" s="37"/>
      <c r="O105" s="37">
        <f t="shared" si="60"/>
        <v>0</v>
      </c>
      <c r="Q105" s="37">
        <f t="shared" si="55"/>
        <v>2300</v>
      </c>
      <c r="R105" s="37">
        <f t="shared" si="56"/>
        <v>0</v>
      </c>
      <c r="S105" s="37">
        <f t="shared" si="57"/>
        <v>2300</v>
      </c>
    </row>
    <row r="106" spans="2:19" x14ac:dyDescent="0.25">
      <c r="B106" s="73">
        <f t="shared" si="61"/>
        <v>7</v>
      </c>
      <c r="C106" s="21"/>
      <c r="D106" s="21"/>
      <c r="E106" s="21"/>
      <c r="F106" s="42" t="s">
        <v>217</v>
      </c>
      <c r="G106" s="97">
        <v>630</v>
      </c>
      <c r="H106" s="21" t="s">
        <v>218</v>
      </c>
      <c r="I106" s="15">
        <f>I107</f>
        <v>2300</v>
      </c>
      <c r="J106" s="15">
        <f t="shared" si="64"/>
        <v>0</v>
      </c>
      <c r="K106" s="15">
        <f t="shared" si="59"/>
        <v>2300</v>
      </c>
      <c r="L106" s="130"/>
      <c r="M106" s="15"/>
      <c r="N106" s="15"/>
      <c r="O106" s="15">
        <f t="shared" si="60"/>
        <v>0</v>
      </c>
      <c r="Q106" s="15">
        <f t="shared" si="55"/>
        <v>2300</v>
      </c>
      <c r="R106" s="15">
        <f t="shared" si="56"/>
        <v>0</v>
      </c>
      <c r="S106" s="15">
        <f t="shared" si="57"/>
        <v>2300</v>
      </c>
    </row>
    <row r="107" spans="2:19" x14ac:dyDescent="0.25">
      <c r="B107" s="73">
        <f t="shared" si="61"/>
        <v>8</v>
      </c>
      <c r="C107" s="9"/>
      <c r="D107" s="9"/>
      <c r="E107" s="9"/>
      <c r="F107" s="43" t="s">
        <v>217</v>
      </c>
      <c r="G107" s="98">
        <v>637</v>
      </c>
      <c r="H107" s="9" t="s">
        <v>223</v>
      </c>
      <c r="I107" s="10">
        <v>2300</v>
      </c>
      <c r="J107" s="10"/>
      <c r="K107" s="10">
        <f t="shared" si="59"/>
        <v>2300</v>
      </c>
      <c r="L107" s="131"/>
      <c r="M107" s="10"/>
      <c r="N107" s="10"/>
      <c r="O107" s="10">
        <f t="shared" si="60"/>
        <v>0</v>
      </c>
      <c r="Q107" s="10">
        <f t="shared" si="55"/>
        <v>2300</v>
      </c>
      <c r="R107" s="10">
        <f t="shared" si="56"/>
        <v>0</v>
      </c>
      <c r="S107" s="10">
        <f t="shared" si="57"/>
        <v>2300</v>
      </c>
    </row>
    <row r="108" spans="2:19" x14ac:dyDescent="0.25">
      <c r="B108" s="73">
        <f t="shared" si="61"/>
        <v>9</v>
      </c>
      <c r="C108" s="171"/>
      <c r="D108" s="171">
        <v>2</v>
      </c>
      <c r="E108" s="230" t="s">
        <v>256</v>
      </c>
      <c r="F108" s="228"/>
      <c r="G108" s="228"/>
      <c r="H108" s="229"/>
      <c r="I108" s="37">
        <f>I109</f>
        <v>20160</v>
      </c>
      <c r="J108" s="37">
        <f t="shared" ref="J108" si="65">J109</f>
        <v>0</v>
      </c>
      <c r="K108" s="37">
        <f t="shared" si="59"/>
        <v>20160</v>
      </c>
      <c r="L108" s="136"/>
      <c r="M108" s="37">
        <f>M112+M116</f>
        <v>194515</v>
      </c>
      <c r="N108" s="37">
        <f t="shared" ref="N108" si="66">N112+N116</f>
        <v>0</v>
      </c>
      <c r="O108" s="37">
        <f t="shared" si="60"/>
        <v>194515</v>
      </c>
      <c r="Q108" s="37">
        <f t="shared" si="55"/>
        <v>214675</v>
      </c>
      <c r="R108" s="37">
        <f t="shared" si="56"/>
        <v>0</v>
      </c>
      <c r="S108" s="37">
        <f t="shared" si="57"/>
        <v>214675</v>
      </c>
    </row>
    <row r="109" spans="2:19" x14ac:dyDescent="0.25">
      <c r="B109" s="73">
        <f t="shared" si="61"/>
        <v>10</v>
      </c>
      <c r="C109" s="21"/>
      <c r="D109" s="21"/>
      <c r="E109" s="21"/>
      <c r="F109" s="42" t="s">
        <v>217</v>
      </c>
      <c r="G109" s="97">
        <v>630</v>
      </c>
      <c r="H109" s="21" t="s">
        <v>218</v>
      </c>
      <c r="I109" s="15">
        <f>SUM(I110:I111)</f>
        <v>20160</v>
      </c>
      <c r="J109" s="15">
        <f t="shared" ref="J109" si="67">SUM(J110:J111)</f>
        <v>0</v>
      </c>
      <c r="K109" s="15">
        <f t="shared" si="59"/>
        <v>20160</v>
      </c>
      <c r="L109" s="130"/>
      <c r="M109" s="15"/>
      <c r="N109" s="15"/>
      <c r="O109" s="15">
        <f t="shared" si="60"/>
        <v>0</v>
      </c>
      <c r="Q109" s="15">
        <f t="shared" si="55"/>
        <v>20160</v>
      </c>
      <c r="R109" s="15">
        <f t="shared" si="56"/>
        <v>0</v>
      </c>
      <c r="S109" s="15">
        <f t="shared" si="57"/>
        <v>20160</v>
      </c>
    </row>
    <row r="110" spans="2:19" x14ac:dyDescent="0.25">
      <c r="B110" s="73">
        <f t="shared" si="61"/>
        <v>11</v>
      </c>
      <c r="C110" s="9"/>
      <c r="D110" s="9"/>
      <c r="E110" s="9"/>
      <c r="F110" s="43" t="s">
        <v>217</v>
      </c>
      <c r="G110" s="98">
        <v>636</v>
      </c>
      <c r="H110" s="9" t="s">
        <v>222</v>
      </c>
      <c r="I110" s="10">
        <v>9410</v>
      </c>
      <c r="J110" s="10"/>
      <c r="K110" s="10">
        <f t="shared" si="59"/>
        <v>9410</v>
      </c>
      <c r="L110" s="131"/>
      <c r="M110" s="10"/>
      <c r="N110" s="10"/>
      <c r="O110" s="10">
        <f t="shared" si="60"/>
        <v>0</v>
      </c>
      <c r="Q110" s="10">
        <f t="shared" si="55"/>
        <v>9410</v>
      </c>
      <c r="R110" s="10">
        <f t="shared" si="56"/>
        <v>0</v>
      </c>
      <c r="S110" s="10">
        <f t="shared" si="57"/>
        <v>9410</v>
      </c>
    </row>
    <row r="111" spans="2:19" ht="16.5" customHeight="1" x14ac:dyDescent="0.25">
      <c r="B111" s="73">
        <f t="shared" si="61"/>
        <v>12</v>
      </c>
      <c r="C111" s="9"/>
      <c r="D111" s="9"/>
      <c r="E111" s="9"/>
      <c r="F111" s="43" t="s">
        <v>217</v>
      </c>
      <c r="G111" s="98">
        <v>637</v>
      </c>
      <c r="H111" s="9" t="s">
        <v>223</v>
      </c>
      <c r="I111" s="10">
        <v>10750</v>
      </c>
      <c r="J111" s="10"/>
      <c r="K111" s="10">
        <f t="shared" si="59"/>
        <v>10750</v>
      </c>
      <c r="L111" s="131"/>
      <c r="M111" s="10"/>
      <c r="N111" s="10"/>
      <c r="O111" s="10">
        <f t="shared" si="60"/>
        <v>0</v>
      </c>
      <c r="Q111" s="10">
        <f t="shared" si="55"/>
        <v>10750</v>
      </c>
      <c r="R111" s="10">
        <f t="shared" si="56"/>
        <v>0</v>
      </c>
      <c r="S111" s="10">
        <f t="shared" si="57"/>
        <v>10750</v>
      </c>
    </row>
    <row r="112" spans="2:19" ht="15" customHeight="1" x14ac:dyDescent="0.25">
      <c r="B112" s="73">
        <f t="shared" si="61"/>
        <v>13</v>
      </c>
      <c r="C112" s="21"/>
      <c r="D112" s="21"/>
      <c r="E112" s="21"/>
      <c r="F112" s="42" t="s">
        <v>217</v>
      </c>
      <c r="G112" s="97">
        <v>710</v>
      </c>
      <c r="H112" s="21" t="s">
        <v>235</v>
      </c>
      <c r="I112" s="15"/>
      <c r="J112" s="15"/>
      <c r="K112" s="15">
        <f t="shared" si="59"/>
        <v>0</v>
      </c>
      <c r="L112" s="130"/>
      <c r="M112" s="15">
        <f>M113</f>
        <v>32800</v>
      </c>
      <c r="N112" s="15">
        <f t="shared" ref="N112" si="68">N113</f>
        <v>0</v>
      </c>
      <c r="O112" s="15">
        <f t="shared" si="60"/>
        <v>32800</v>
      </c>
      <c r="Q112" s="15">
        <f t="shared" si="55"/>
        <v>32800</v>
      </c>
      <c r="R112" s="15">
        <f t="shared" si="56"/>
        <v>0</v>
      </c>
      <c r="S112" s="15">
        <f t="shared" si="57"/>
        <v>32800</v>
      </c>
    </row>
    <row r="113" spans="2:19" ht="15.75" customHeight="1" x14ac:dyDescent="0.25">
      <c r="B113" s="73">
        <f t="shared" si="61"/>
        <v>14</v>
      </c>
      <c r="C113" s="9"/>
      <c r="D113" s="9"/>
      <c r="E113" s="9"/>
      <c r="F113" s="43" t="s">
        <v>217</v>
      </c>
      <c r="G113" s="98">
        <v>712</v>
      </c>
      <c r="H113" s="9" t="s">
        <v>257</v>
      </c>
      <c r="I113" s="10"/>
      <c r="J113" s="10"/>
      <c r="K113" s="10">
        <f t="shared" si="59"/>
        <v>0</v>
      </c>
      <c r="L113" s="131"/>
      <c r="M113" s="10">
        <f>M114+M115</f>
        <v>32800</v>
      </c>
      <c r="N113" s="10">
        <f t="shared" ref="N113" si="69">N114+N115</f>
        <v>0</v>
      </c>
      <c r="O113" s="10">
        <f t="shared" si="60"/>
        <v>32800</v>
      </c>
      <c r="Q113" s="10">
        <f t="shared" si="55"/>
        <v>32800</v>
      </c>
      <c r="R113" s="10">
        <f t="shared" si="56"/>
        <v>0</v>
      </c>
      <c r="S113" s="10">
        <f t="shared" si="57"/>
        <v>32800</v>
      </c>
    </row>
    <row r="114" spans="2:19" x14ac:dyDescent="0.25">
      <c r="B114" s="73">
        <f t="shared" si="61"/>
        <v>15</v>
      </c>
      <c r="C114" s="12"/>
      <c r="D114" s="12"/>
      <c r="E114" s="12"/>
      <c r="F114" s="12"/>
      <c r="G114" s="99"/>
      <c r="H114" s="12" t="s">
        <v>443</v>
      </c>
      <c r="I114" s="13"/>
      <c r="J114" s="13"/>
      <c r="K114" s="13">
        <f t="shared" si="59"/>
        <v>0</v>
      </c>
      <c r="L114" s="132"/>
      <c r="M114" s="13">
        <v>100</v>
      </c>
      <c r="N114" s="13"/>
      <c r="O114" s="13">
        <f t="shared" si="60"/>
        <v>100</v>
      </c>
      <c r="Q114" s="13">
        <f t="shared" si="55"/>
        <v>100</v>
      </c>
      <c r="R114" s="13">
        <f t="shared" si="56"/>
        <v>0</v>
      </c>
      <c r="S114" s="13">
        <f t="shared" si="57"/>
        <v>100</v>
      </c>
    </row>
    <row r="115" spans="2:19" x14ac:dyDescent="0.25">
      <c r="B115" s="73">
        <f t="shared" si="61"/>
        <v>16</v>
      </c>
      <c r="C115" s="12"/>
      <c r="D115" s="12"/>
      <c r="E115" s="46"/>
      <c r="F115" s="12"/>
      <c r="G115" s="99"/>
      <c r="H115" s="12" t="s">
        <v>447</v>
      </c>
      <c r="I115" s="110"/>
      <c r="J115" s="110"/>
      <c r="K115" s="110">
        <f t="shared" si="59"/>
        <v>0</v>
      </c>
      <c r="L115" s="139"/>
      <c r="M115" s="13">
        <v>32700</v>
      </c>
      <c r="N115" s="13"/>
      <c r="O115" s="13">
        <f t="shared" si="60"/>
        <v>32700</v>
      </c>
      <c r="Q115" s="13">
        <f t="shared" si="55"/>
        <v>32700</v>
      </c>
      <c r="R115" s="13">
        <f t="shared" si="56"/>
        <v>0</v>
      </c>
      <c r="S115" s="13">
        <f t="shared" si="57"/>
        <v>32700</v>
      </c>
    </row>
    <row r="116" spans="2:19" x14ac:dyDescent="0.25">
      <c r="B116" s="73">
        <f t="shared" si="61"/>
        <v>17</v>
      </c>
      <c r="C116" s="12"/>
      <c r="D116" s="12"/>
      <c r="E116" s="46"/>
      <c r="F116" s="43" t="s">
        <v>217</v>
      </c>
      <c r="G116" s="98">
        <v>719</v>
      </c>
      <c r="H116" s="9" t="s">
        <v>264</v>
      </c>
      <c r="I116" s="10"/>
      <c r="J116" s="10"/>
      <c r="K116" s="10">
        <f t="shared" si="59"/>
        <v>0</v>
      </c>
      <c r="L116" s="131"/>
      <c r="M116" s="10">
        <f>M117</f>
        <v>161715</v>
      </c>
      <c r="N116" s="10">
        <f t="shared" ref="N116" si="70">N117</f>
        <v>0</v>
      </c>
      <c r="O116" s="10">
        <f t="shared" si="60"/>
        <v>161715</v>
      </c>
      <c r="Q116" s="10">
        <f t="shared" si="55"/>
        <v>161715</v>
      </c>
      <c r="R116" s="10">
        <f t="shared" si="56"/>
        <v>0</v>
      </c>
      <c r="S116" s="10">
        <f t="shared" si="57"/>
        <v>161715</v>
      </c>
    </row>
    <row r="117" spans="2:19" ht="17.25" customHeight="1" x14ac:dyDescent="0.25">
      <c r="B117" s="73">
        <f t="shared" si="61"/>
        <v>18</v>
      </c>
      <c r="C117" s="12"/>
      <c r="D117" s="12"/>
      <c r="E117" s="46"/>
      <c r="F117" s="12"/>
      <c r="G117" s="99"/>
      <c r="H117" s="12" t="s">
        <v>468</v>
      </c>
      <c r="I117" s="110"/>
      <c r="J117" s="110"/>
      <c r="K117" s="110">
        <f t="shared" si="59"/>
        <v>0</v>
      </c>
      <c r="L117" s="139"/>
      <c r="M117" s="13">
        <f>149375+12340</f>
        <v>161715</v>
      </c>
      <c r="N117" s="13"/>
      <c r="O117" s="13">
        <f t="shared" si="60"/>
        <v>161715</v>
      </c>
      <c r="Q117" s="13">
        <f t="shared" si="55"/>
        <v>161715</v>
      </c>
      <c r="R117" s="13">
        <f t="shared" si="56"/>
        <v>0</v>
      </c>
      <c r="S117" s="13">
        <f t="shared" si="57"/>
        <v>161715</v>
      </c>
    </row>
    <row r="118" spans="2:19" ht="16.5" customHeight="1" x14ac:dyDescent="0.25">
      <c r="B118" s="73">
        <f t="shared" si="61"/>
        <v>19</v>
      </c>
      <c r="C118" s="171"/>
      <c r="D118" s="171">
        <v>3</v>
      </c>
      <c r="E118" s="230" t="s">
        <v>258</v>
      </c>
      <c r="F118" s="254"/>
      <c r="G118" s="254"/>
      <c r="H118" s="255"/>
      <c r="I118" s="37">
        <f>I119</f>
        <v>71060</v>
      </c>
      <c r="J118" s="37">
        <f t="shared" ref="J118" si="71">J119</f>
        <v>0</v>
      </c>
      <c r="K118" s="37">
        <f t="shared" si="59"/>
        <v>71060</v>
      </c>
      <c r="L118" s="136"/>
      <c r="M118" s="37">
        <f>M122</f>
        <v>441090</v>
      </c>
      <c r="N118" s="37">
        <f t="shared" ref="N118" si="72">N122</f>
        <v>667600</v>
      </c>
      <c r="O118" s="37">
        <f t="shared" si="60"/>
        <v>1108690</v>
      </c>
      <c r="Q118" s="37">
        <f t="shared" si="55"/>
        <v>512150</v>
      </c>
      <c r="R118" s="37">
        <f t="shared" si="56"/>
        <v>667600</v>
      </c>
      <c r="S118" s="37">
        <f t="shared" si="57"/>
        <v>1179750</v>
      </c>
    </row>
    <row r="119" spans="2:19" ht="15" customHeight="1" x14ac:dyDescent="0.25">
      <c r="B119" s="73">
        <f t="shared" si="61"/>
        <v>20</v>
      </c>
      <c r="C119" s="21"/>
      <c r="D119" s="21"/>
      <c r="E119" s="21"/>
      <c r="F119" s="42" t="s">
        <v>217</v>
      </c>
      <c r="G119" s="97">
        <v>630</v>
      </c>
      <c r="H119" s="21" t="s">
        <v>218</v>
      </c>
      <c r="I119" s="15">
        <f>SUM(I120:I121)</f>
        <v>71060</v>
      </c>
      <c r="J119" s="15">
        <f t="shared" ref="J119" si="73">SUM(J120:J121)</f>
        <v>0</v>
      </c>
      <c r="K119" s="15">
        <f t="shared" si="59"/>
        <v>71060</v>
      </c>
      <c r="L119" s="130"/>
      <c r="M119" s="15"/>
      <c r="N119" s="15"/>
      <c r="O119" s="15">
        <f t="shared" si="60"/>
        <v>0</v>
      </c>
      <c r="Q119" s="15">
        <f t="shared" si="55"/>
        <v>71060</v>
      </c>
      <c r="R119" s="15">
        <f t="shared" si="56"/>
        <v>0</v>
      </c>
      <c r="S119" s="15">
        <f t="shared" si="57"/>
        <v>71060</v>
      </c>
    </row>
    <row r="120" spans="2:19" x14ac:dyDescent="0.25">
      <c r="B120" s="73">
        <f t="shared" si="61"/>
        <v>21</v>
      </c>
      <c r="C120" s="9"/>
      <c r="D120" s="9"/>
      <c r="E120" s="9"/>
      <c r="F120" s="43" t="s">
        <v>217</v>
      </c>
      <c r="G120" s="98">
        <v>636</v>
      </c>
      <c r="H120" s="9" t="s">
        <v>222</v>
      </c>
      <c r="I120" s="10">
        <v>57200</v>
      </c>
      <c r="J120" s="10"/>
      <c r="K120" s="10">
        <f t="shared" si="59"/>
        <v>57200</v>
      </c>
      <c r="L120" s="131"/>
      <c r="M120" s="10"/>
      <c r="N120" s="10"/>
      <c r="O120" s="10">
        <f t="shared" si="60"/>
        <v>0</v>
      </c>
      <c r="Q120" s="10">
        <f t="shared" si="55"/>
        <v>57200</v>
      </c>
      <c r="R120" s="10">
        <f t="shared" si="56"/>
        <v>0</v>
      </c>
      <c r="S120" s="10">
        <f t="shared" si="57"/>
        <v>57200</v>
      </c>
    </row>
    <row r="121" spans="2:19" x14ac:dyDescent="0.25">
      <c r="B121" s="73">
        <f t="shared" si="61"/>
        <v>22</v>
      </c>
      <c r="C121" s="9"/>
      <c r="D121" s="9"/>
      <c r="E121" s="9"/>
      <c r="F121" s="43" t="s">
        <v>217</v>
      </c>
      <c r="G121" s="98">
        <v>637</v>
      </c>
      <c r="H121" s="9" t="s">
        <v>223</v>
      </c>
      <c r="I121" s="10">
        <v>13860</v>
      </c>
      <c r="J121" s="10"/>
      <c r="K121" s="10">
        <f t="shared" si="59"/>
        <v>13860</v>
      </c>
      <c r="L121" s="131"/>
      <c r="M121" s="10"/>
      <c r="N121" s="10"/>
      <c r="O121" s="10">
        <f t="shared" si="60"/>
        <v>0</v>
      </c>
      <c r="Q121" s="10">
        <f t="shared" si="55"/>
        <v>13860</v>
      </c>
      <c r="R121" s="10">
        <f t="shared" si="56"/>
        <v>0</v>
      </c>
      <c r="S121" s="10">
        <f t="shared" si="57"/>
        <v>13860</v>
      </c>
    </row>
    <row r="122" spans="2:19" x14ac:dyDescent="0.25">
      <c r="B122" s="73">
        <f t="shared" si="61"/>
        <v>23</v>
      </c>
      <c r="C122" s="21"/>
      <c r="D122" s="21"/>
      <c r="E122" s="21"/>
      <c r="F122" s="42" t="s">
        <v>217</v>
      </c>
      <c r="G122" s="97">
        <v>710</v>
      </c>
      <c r="H122" s="21" t="s">
        <v>235</v>
      </c>
      <c r="I122" s="15"/>
      <c r="J122" s="15"/>
      <c r="K122" s="15">
        <f t="shared" si="59"/>
        <v>0</v>
      </c>
      <c r="L122" s="130"/>
      <c r="M122" s="15">
        <f>M123+M125</f>
        <v>441090</v>
      </c>
      <c r="N122" s="15">
        <f t="shared" ref="N122" si="74">N123+N125</f>
        <v>667600</v>
      </c>
      <c r="O122" s="15">
        <f t="shared" si="60"/>
        <v>1108690</v>
      </c>
      <c r="Q122" s="15">
        <f t="shared" si="55"/>
        <v>441090</v>
      </c>
      <c r="R122" s="15">
        <f t="shared" si="56"/>
        <v>667600</v>
      </c>
      <c r="S122" s="15">
        <f t="shared" si="57"/>
        <v>1108690</v>
      </c>
    </row>
    <row r="123" spans="2:19" ht="15.75" customHeight="1" x14ac:dyDescent="0.25">
      <c r="B123" s="73">
        <f t="shared" si="61"/>
        <v>24</v>
      </c>
      <c r="C123" s="9"/>
      <c r="D123" s="9"/>
      <c r="E123" s="9"/>
      <c r="F123" s="43" t="s">
        <v>217</v>
      </c>
      <c r="G123" s="98">
        <v>711</v>
      </c>
      <c r="H123" s="9" t="s">
        <v>236</v>
      </c>
      <c r="I123" s="10"/>
      <c r="J123" s="10"/>
      <c r="K123" s="10">
        <f t="shared" si="59"/>
        <v>0</v>
      </c>
      <c r="L123" s="131"/>
      <c r="M123" s="10">
        <f>M124</f>
        <v>262090</v>
      </c>
      <c r="N123" s="10">
        <f t="shared" ref="N123" si="75">N124</f>
        <v>87000</v>
      </c>
      <c r="O123" s="10">
        <f t="shared" si="60"/>
        <v>349090</v>
      </c>
      <c r="Q123" s="10">
        <f t="shared" si="55"/>
        <v>262090</v>
      </c>
      <c r="R123" s="10">
        <f t="shared" si="56"/>
        <v>87000</v>
      </c>
      <c r="S123" s="10">
        <f t="shared" si="57"/>
        <v>349090</v>
      </c>
    </row>
    <row r="124" spans="2:19" ht="16.5" customHeight="1" x14ac:dyDescent="0.25">
      <c r="B124" s="73">
        <f t="shared" si="61"/>
        <v>25</v>
      </c>
      <c r="C124" s="12"/>
      <c r="D124" s="12"/>
      <c r="E124" s="12"/>
      <c r="F124" s="12"/>
      <c r="G124" s="99"/>
      <c r="H124" s="12" t="s">
        <v>397</v>
      </c>
      <c r="I124" s="13"/>
      <c r="J124" s="13"/>
      <c r="K124" s="13">
        <f t="shared" si="59"/>
        <v>0</v>
      </c>
      <c r="L124" s="132"/>
      <c r="M124" s="13">
        <f>525000-300000+72430-12340-6000-17000</f>
        <v>262090</v>
      </c>
      <c r="N124" s="13">
        <v>87000</v>
      </c>
      <c r="O124" s="13">
        <f t="shared" si="60"/>
        <v>349090</v>
      </c>
      <c r="Q124" s="13">
        <f t="shared" si="55"/>
        <v>262090</v>
      </c>
      <c r="R124" s="13">
        <f t="shared" si="56"/>
        <v>87000</v>
      </c>
      <c r="S124" s="13">
        <f t="shared" si="57"/>
        <v>349090</v>
      </c>
    </row>
    <row r="125" spans="2:19" x14ac:dyDescent="0.25">
      <c r="B125" s="73">
        <f t="shared" si="61"/>
        <v>26</v>
      </c>
      <c r="C125" s="12"/>
      <c r="D125" s="12"/>
      <c r="E125" s="12"/>
      <c r="F125" s="43" t="s">
        <v>217</v>
      </c>
      <c r="G125" s="98">
        <v>719</v>
      </c>
      <c r="H125" s="9" t="s">
        <v>264</v>
      </c>
      <c r="I125" s="10"/>
      <c r="J125" s="10"/>
      <c r="K125" s="10">
        <f t="shared" si="59"/>
        <v>0</v>
      </c>
      <c r="L125" s="131"/>
      <c r="M125" s="10">
        <f>M126</f>
        <v>179000</v>
      </c>
      <c r="N125" s="10">
        <f>N126</f>
        <v>580600</v>
      </c>
      <c r="O125" s="10">
        <f t="shared" si="60"/>
        <v>759600</v>
      </c>
      <c r="Q125" s="10">
        <f t="shared" si="55"/>
        <v>179000</v>
      </c>
      <c r="R125" s="10">
        <f t="shared" si="56"/>
        <v>580600</v>
      </c>
      <c r="S125" s="10">
        <f t="shared" si="57"/>
        <v>759600</v>
      </c>
    </row>
    <row r="126" spans="2:19" x14ac:dyDescent="0.25">
      <c r="B126" s="73">
        <f t="shared" si="61"/>
        <v>27</v>
      </c>
      <c r="C126" s="12"/>
      <c r="D126" s="12"/>
      <c r="E126" s="12"/>
      <c r="F126" s="12"/>
      <c r="G126" s="99"/>
      <c r="H126" s="12" t="s">
        <v>468</v>
      </c>
      <c r="I126" s="13"/>
      <c r="J126" s="13"/>
      <c r="K126" s="13">
        <f t="shared" si="59"/>
        <v>0</v>
      </c>
      <c r="L126" s="132"/>
      <c r="M126" s="13">
        <v>179000</v>
      </c>
      <c r="N126" s="14">
        <v>580600</v>
      </c>
      <c r="O126" s="13">
        <f t="shared" si="60"/>
        <v>759600</v>
      </c>
      <c r="Q126" s="13">
        <f t="shared" si="55"/>
        <v>179000</v>
      </c>
      <c r="R126" s="13">
        <f t="shared" si="56"/>
        <v>580600</v>
      </c>
      <c r="S126" s="13">
        <f t="shared" si="57"/>
        <v>759600</v>
      </c>
    </row>
    <row r="127" spans="2:19" ht="15.75" x14ac:dyDescent="0.25">
      <c r="B127" s="73">
        <f t="shared" si="61"/>
        <v>28</v>
      </c>
      <c r="C127" s="34">
        <v>3</v>
      </c>
      <c r="D127" s="227" t="s">
        <v>259</v>
      </c>
      <c r="E127" s="228"/>
      <c r="F127" s="228"/>
      <c r="G127" s="228"/>
      <c r="H127" s="229"/>
      <c r="I127" s="35">
        <f>I128</f>
        <v>16000</v>
      </c>
      <c r="J127" s="35">
        <f t="shared" ref="J127" si="76">J128</f>
        <v>0</v>
      </c>
      <c r="K127" s="35">
        <f t="shared" si="59"/>
        <v>16000</v>
      </c>
      <c r="L127" s="135"/>
      <c r="M127" s="35">
        <v>0</v>
      </c>
      <c r="N127" s="35">
        <v>0</v>
      </c>
      <c r="O127" s="35">
        <f t="shared" si="60"/>
        <v>0</v>
      </c>
      <c r="Q127" s="35">
        <f t="shared" si="55"/>
        <v>16000</v>
      </c>
      <c r="R127" s="35">
        <f t="shared" si="56"/>
        <v>0</v>
      </c>
      <c r="S127" s="35">
        <f t="shared" si="57"/>
        <v>16000</v>
      </c>
    </row>
    <row r="128" spans="2:19" x14ac:dyDescent="0.25">
      <c r="B128" s="73">
        <f t="shared" si="61"/>
        <v>29</v>
      </c>
      <c r="C128" s="21"/>
      <c r="D128" s="21"/>
      <c r="E128" s="21"/>
      <c r="F128" s="42" t="s">
        <v>217</v>
      </c>
      <c r="G128" s="97">
        <v>630</v>
      </c>
      <c r="H128" s="21" t="s">
        <v>218</v>
      </c>
      <c r="I128" s="15">
        <f>I129+I130</f>
        <v>16000</v>
      </c>
      <c r="J128" s="15">
        <f t="shared" ref="J128" si="77">J129+J130</f>
        <v>0</v>
      </c>
      <c r="K128" s="15">
        <f t="shared" si="59"/>
        <v>16000</v>
      </c>
      <c r="L128" s="130"/>
      <c r="M128" s="15"/>
      <c r="N128" s="15"/>
      <c r="O128" s="15">
        <f t="shared" si="60"/>
        <v>0</v>
      </c>
      <c r="Q128" s="15">
        <f t="shared" si="55"/>
        <v>16000</v>
      </c>
      <c r="R128" s="15">
        <f t="shared" si="56"/>
        <v>0</v>
      </c>
      <c r="S128" s="15">
        <f t="shared" si="57"/>
        <v>16000</v>
      </c>
    </row>
    <row r="129" spans="2:19" x14ac:dyDescent="0.25">
      <c r="B129" s="73">
        <f t="shared" si="61"/>
        <v>30</v>
      </c>
      <c r="C129" s="9"/>
      <c r="D129" s="9"/>
      <c r="E129" s="9"/>
      <c r="F129" s="43" t="s">
        <v>217</v>
      </c>
      <c r="G129" s="98">
        <v>633</v>
      </c>
      <c r="H129" s="9" t="s">
        <v>220</v>
      </c>
      <c r="I129" s="10">
        <v>1000</v>
      </c>
      <c r="J129" s="10"/>
      <c r="K129" s="10">
        <f t="shared" si="59"/>
        <v>1000</v>
      </c>
      <c r="L129" s="131"/>
      <c r="M129" s="10"/>
      <c r="N129" s="10"/>
      <c r="O129" s="10">
        <f t="shared" si="60"/>
        <v>0</v>
      </c>
      <c r="Q129" s="10">
        <f t="shared" si="55"/>
        <v>1000</v>
      </c>
      <c r="R129" s="10">
        <f t="shared" si="56"/>
        <v>0</v>
      </c>
      <c r="S129" s="10">
        <f t="shared" si="57"/>
        <v>1000</v>
      </c>
    </row>
    <row r="130" spans="2:19" x14ac:dyDescent="0.25">
      <c r="B130" s="73">
        <f t="shared" si="61"/>
        <v>31</v>
      </c>
      <c r="C130" s="9"/>
      <c r="D130" s="9"/>
      <c r="E130" s="9"/>
      <c r="F130" s="43" t="s">
        <v>217</v>
      </c>
      <c r="G130" s="98">
        <v>637</v>
      </c>
      <c r="H130" s="9" t="s">
        <v>223</v>
      </c>
      <c r="I130" s="10">
        <f>8000+7000</f>
        <v>15000</v>
      </c>
      <c r="J130" s="10"/>
      <c r="K130" s="10">
        <f t="shared" si="59"/>
        <v>15000</v>
      </c>
      <c r="L130" s="131"/>
      <c r="M130" s="10"/>
      <c r="N130" s="10"/>
      <c r="O130" s="10">
        <f t="shared" si="60"/>
        <v>0</v>
      </c>
      <c r="Q130" s="10">
        <f t="shared" si="55"/>
        <v>15000</v>
      </c>
      <c r="R130" s="10">
        <f t="shared" si="56"/>
        <v>0</v>
      </c>
      <c r="S130" s="10">
        <f t="shared" si="57"/>
        <v>15000</v>
      </c>
    </row>
    <row r="131" spans="2:19" ht="15.75" x14ac:dyDescent="0.25">
      <c r="B131" s="73">
        <f t="shared" si="61"/>
        <v>32</v>
      </c>
      <c r="C131" s="34">
        <v>4</v>
      </c>
      <c r="D131" s="227" t="s">
        <v>58</v>
      </c>
      <c r="E131" s="228"/>
      <c r="F131" s="228"/>
      <c r="G131" s="228"/>
      <c r="H131" s="229"/>
      <c r="I131" s="35">
        <f>I132+I144</f>
        <v>257765</v>
      </c>
      <c r="J131" s="35">
        <f t="shared" ref="J131" si="78">J132+J144</f>
        <v>0</v>
      </c>
      <c r="K131" s="35">
        <f t="shared" si="59"/>
        <v>257765</v>
      </c>
      <c r="L131" s="135"/>
      <c r="M131" s="35">
        <f>M135+M144</f>
        <v>267810</v>
      </c>
      <c r="N131" s="35">
        <f t="shared" ref="N131" si="79">N135+N144</f>
        <v>0</v>
      </c>
      <c r="O131" s="35">
        <f t="shared" si="60"/>
        <v>267810</v>
      </c>
      <c r="Q131" s="35">
        <f t="shared" si="55"/>
        <v>525575</v>
      </c>
      <c r="R131" s="35">
        <f t="shared" si="56"/>
        <v>0</v>
      </c>
      <c r="S131" s="35">
        <f t="shared" si="57"/>
        <v>525575</v>
      </c>
    </row>
    <row r="132" spans="2:19" x14ac:dyDescent="0.25">
      <c r="B132" s="73">
        <f t="shared" si="61"/>
        <v>33</v>
      </c>
      <c r="C132" s="21"/>
      <c r="D132" s="21"/>
      <c r="E132" s="21"/>
      <c r="F132" s="42" t="s">
        <v>217</v>
      </c>
      <c r="G132" s="97">
        <v>630</v>
      </c>
      <c r="H132" s="21" t="s">
        <v>218</v>
      </c>
      <c r="I132" s="15">
        <f>SUM(I133:I133)</f>
        <v>15000</v>
      </c>
      <c r="J132" s="15">
        <f>SUM(J133:J134)</f>
        <v>0</v>
      </c>
      <c r="K132" s="15">
        <f t="shared" si="59"/>
        <v>15000</v>
      </c>
      <c r="L132" s="130"/>
      <c r="M132" s="15"/>
      <c r="N132" s="15"/>
      <c r="O132" s="15">
        <f t="shared" si="60"/>
        <v>0</v>
      </c>
      <c r="Q132" s="15">
        <f t="shared" si="55"/>
        <v>15000</v>
      </c>
      <c r="R132" s="15">
        <f t="shared" si="56"/>
        <v>0</v>
      </c>
      <c r="S132" s="15">
        <f t="shared" si="57"/>
        <v>15000</v>
      </c>
    </row>
    <row r="133" spans="2:19" x14ac:dyDescent="0.25">
      <c r="B133" s="73">
        <f t="shared" si="61"/>
        <v>34</v>
      </c>
      <c r="C133" s="9"/>
      <c r="D133" s="9"/>
      <c r="E133" s="9"/>
      <c r="F133" s="43" t="s">
        <v>217</v>
      </c>
      <c r="G133" s="98">
        <v>635</v>
      </c>
      <c r="H133" s="119" t="s">
        <v>475</v>
      </c>
      <c r="I133" s="10">
        <v>15000</v>
      </c>
      <c r="J133" s="10">
        <v>-1200</v>
      </c>
      <c r="K133" s="10">
        <f t="shared" si="59"/>
        <v>13800</v>
      </c>
      <c r="L133" s="131"/>
      <c r="M133" s="10"/>
      <c r="N133" s="10"/>
      <c r="O133" s="10">
        <f t="shared" si="60"/>
        <v>0</v>
      </c>
      <c r="Q133" s="10">
        <f t="shared" si="55"/>
        <v>15000</v>
      </c>
      <c r="R133" s="10">
        <f t="shared" si="56"/>
        <v>-1200</v>
      </c>
      <c r="S133" s="10">
        <f t="shared" si="57"/>
        <v>13800</v>
      </c>
    </row>
    <row r="134" spans="2:19" x14ac:dyDescent="0.25">
      <c r="B134" s="73">
        <f t="shared" si="61"/>
        <v>35</v>
      </c>
      <c r="C134" s="9"/>
      <c r="D134" s="9"/>
      <c r="E134" s="9"/>
      <c r="F134" s="43" t="s">
        <v>217</v>
      </c>
      <c r="G134" s="98">
        <v>635</v>
      </c>
      <c r="H134" s="119" t="s">
        <v>665</v>
      </c>
      <c r="I134" s="10">
        <v>0</v>
      </c>
      <c r="J134" s="10">
        <v>1200</v>
      </c>
      <c r="K134" s="10">
        <f t="shared" ref="K134" si="80">I134+J134</f>
        <v>1200</v>
      </c>
      <c r="L134" s="131"/>
      <c r="M134" s="10"/>
      <c r="N134" s="10"/>
      <c r="O134" s="10">
        <f t="shared" ref="O134" si="81">M134+N134</f>
        <v>0</v>
      </c>
      <c r="Q134" s="10">
        <f t="shared" ref="Q134" si="82">I134+M134</f>
        <v>0</v>
      </c>
      <c r="R134" s="10">
        <f t="shared" ref="R134" si="83">J134+N134</f>
        <v>1200</v>
      </c>
      <c r="S134" s="10">
        <f t="shared" ref="S134" si="84">K134+O134</f>
        <v>1200</v>
      </c>
    </row>
    <row r="135" spans="2:19" x14ac:dyDescent="0.25">
      <c r="B135" s="73">
        <f t="shared" si="61"/>
        <v>36</v>
      </c>
      <c r="C135" s="21"/>
      <c r="D135" s="21"/>
      <c r="E135" s="21"/>
      <c r="F135" s="42" t="s">
        <v>217</v>
      </c>
      <c r="G135" s="97">
        <v>710</v>
      </c>
      <c r="H135" s="21" t="s">
        <v>235</v>
      </c>
      <c r="I135" s="15"/>
      <c r="J135" s="15"/>
      <c r="K135" s="15">
        <f t="shared" si="59"/>
        <v>0</v>
      </c>
      <c r="L135" s="130"/>
      <c r="M135" s="15">
        <f>M136+M139</f>
        <v>257810</v>
      </c>
      <c r="N135" s="15">
        <f t="shared" ref="N135" si="85">N136+N139</f>
        <v>0</v>
      </c>
      <c r="O135" s="15">
        <f t="shared" si="60"/>
        <v>257810</v>
      </c>
      <c r="Q135" s="15">
        <f t="shared" si="55"/>
        <v>257810</v>
      </c>
      <c r="R135" s="15">
        <f t="shared" si="56"/>
        <v>0</v>
      </c>
      <c r="S135" s="15">
        <f t="shared" si="57"/>
        <v>257810</v>
      </c>
    </row>
    <row r="136" spans="2:19" ht="15.75" customHeight="1" x14ac:dyDescent="0.25">
      <c r="B136" s="73">
        <f t="shared" si="61"/>
        <v>37</v>
      </c>
      <c r="C136" s="9"/>
      <c r="D136" s="9"/>
      <c r="E136" s="9"/>
      <c r="F136" s="43" t="s">
        <v>217</v>
      </c>
      <c r="G136" s="98">
        <v>716</v>
      </c>
      <c r="H136" s="9" t="s">
        <v>237</v>
      </c>
      <c r="I136" s="10"/>
      <c r="J136" s="10"/>
      <c r="K136" s="10">
        <f t="shared" si="59"/>
        <v>0</v>
      </c>
      <c r="L136" s="131"/>
      <c r="M136" s="10">
        <f>M138+M137</f>
        <v>20000</v>
      </c>
      <c r="N136" s="10">
        <f t="shared" ref="N136" si="86">N138+N137</f>
        <v>0</v>
      </c>
      <c r="O136" s="10">
        <f t="shared" si="60"/>
        <v>20000</v>
      </c>
      <c r="Q136" s="10">
        <f t="shared" si="55"/>
        <v>20000</v>
      </c>
      <c r="R136" s="10">
        <f t="shared" si="56"/>
        <v>0</v>
      </c>
      <c r="S136" s="10">
        <f t="shared" si="57"/>
        <v>20000</v>
      </c>
    </row>
    <row r="137" spans="2:19" ht="15.75" customHeight="1" x14ac:dyDescent="0.25">
      <c r="B137" s="73">
        <f t="shared" si="61"/>
        <v>38</v>
      </c>
      <c r="C137" s="12"/>
      <c r="D137" s="12"/>
      <c r="E137" s="12"/>
      <c r="F137" s="12"/>
      <c r="G137" s="99"/>
      <c r="H137" s="67" t="s">
        <v>501</v>
      </c>
      <c r="I137" s="13"/>
      <c r="J137" s="13"/>
      <c r="K137" s="13">
        <f t="shared" si="59"/>
        <v>0</v>
      </c>
      <c r="L137" s="132"/>
      <c r="M137" s="13">
        <v>10000</v>
      </c>
      <c r="N137" s="13"/>
      <c r="O137" s="13">
        <f t="shared" si="60"/>
        <v>10000</v>
      </c>
      <c r="Q137" s="13">
        <f t="shared" si="55"/>
        <v>10000</v>
      </c>
      <c r="R137" s="13">
        <f t="shared" si="56"/>
        <v>0</v>
      </c>
      <c r="S137" s="13">
        <f t="shared" si="57"/>
        <v>10000</v>
      </c>
    </row>
    <row r="138" spans="2:19" x14ac:dyDescent="0.25">
      <c r="B138" s="73">
        <f t="shared" si="61"/>
        <v>39</v>
      </c>
      <c r="C138" s="12"/>
      <c r="D138" s="12"/>
      <c r="E138" s="12"/>
      <c r="F138" s="12"/>
      <c r="G138" s="99"/>
      <c r="H138" s="67" t="s">
        <v>481</v>
      </c>
      <c r="I138" s="13"/>
      <c r="J138" s="13"/>
      <c r="K138" s="13">
        <f t="shared" si="59"/>
        <v>0</v>
      </c>
      <c r="L138" s="132"/>
      <c r="M138" s="13">
        <v>10000</v>
      </c>
      <c r="N138" s="13"/>
      <c r="O138" s="13">
        <f t="shared" si="60"/>
        <v>10000</v>
      </c>
      <c r="Q138" s="13">
        <f t="shared" si="55"/>
        <v>10000</v>
      </c>
      <c r="R138" s="13">
        <f t="shared" si="56"/>
        <v>0</v>
      </c>
      <c r="S138" s="13">
        <f t="shared" si="57"/>
        <v>10000</v>
      </c>
    </row>
    <row r="139" spans="2:19" x14ac:dyDescent="0.25">
      <c r="B139" s="73">
        <f t="shared" si="61"/>
        <v>40</v>
      </c>
      <c r="C139" s="9"/>
      <c r="D139" s="9"/>
      <c r="E139" s="9"/>
      <c r="F139" s="43" t="s">
        <v>217</v>
      </c>
      <c r="G139" s="98">
        <v>717</v>
      </c>
      <c r="H139" s="9" t="s">
        <v>240</v>
      </c>
      <c r="I139" s="10"/>
      <c r="J139" s="10"/>
      <c r="K139" s="10">
        <f t="shared" si="59"/>
        <v>0</v>
      </c>
      <c r="L139" s="131"/>
      <c r="M139" s="10">
        <f>SUM(M140:M143)</f>
        <v>237810</v>
      </c>
      <c r="N139" s="10">
        <f t="shared" ref="N139" si="87">SUM(N140:N143)</f>
        <v>0</v>
      </c>
      <c r="O139" s="10">
        <f t="shared" si="60"/>
        <v>237810</v>
      </c>
      <c r="Q139" s="10">
        <f t="shared" si="55"/>
        <v>237810</v>
      </c>
      <c r="R139" s="10">
        <f t="shared" si="56"/>
        <v>0</v>
      </c>
      <c r="S139" s="10">
        <f t="shared" si="57"/>
        <v>237810</v>
      </c>
    </row>
    <row r="140" spans="2:19" x14ac:dyDescent="0.25">
      <c r="B140" s="73">
        <f t="shared" si="61"/>
        <v>41</v>
      </c>
      <c r="C140" s="73"/>
      <c r="D140" s="12"/>
      <c r="E140" s="12"/>
      <c r="F140" s="12"/>
      <c r="G140" s="99" t="s">
        <v>49</v>
      </c>
      <c r="H140" s="12" t="s">
        <v>515</v>
      </c>
      <c r="I140" s="13"/>
      <c r="J140" s="13"/>
      <c r="K140" s="13">
        <f t="shared" si="59"/>
        <v>0</v>
      </c>
      <c r="L140" s="132"/>
      <c r="M140" s="13">
        <v>25000</v>
      </c>
      <c r="N140" s="13"/>
      <c r="O140" s="13">
        <f t="shared" si="60"/>
        <v>25000</v>
      </c>
      <c r="Q140" s="13">
        <f t="shared" si="55"/>
        <v>25000</v>
      </c>
      <c r="R140" s="13">
        <f t="shared" si="56"/>
        <v>0</v>
      </c>
      <c r="S140" s="13">
        <f t="shared" si="57"/>
        <v>25000</v>
      </c>
    </row>
    <row r="141" spans="2:19" x14ac:dyDescent="0.25">
      <c r="B141" s="73">
        <f t="shared" si="61"/>
        <v>42</v>
      </c>
      <c r="C141" s="12"/>
      <c r="D141" s="12"/>
      <c r="E141" s="12"/>
      <c r="F141" s="12"/>
      <c r="G141" s="99"/>
      <c r="H141" s="67" t="s">
        <v>579</v>
      </c>
      <c r="I141" s="13"/>
      <c r="J141" s="13"/>
      <c r="K141" s="13">
        <f t="shared" si="59"/>
        <v>0</v>
      </c>
      <c r="L141" s="132"/>
      <c r="M141" s="13">
        <v>112810</v>
      </c>
      <c r="N141" s="13"/>
      <c r="O141" s="13">
        <f t="shared" si="60"/>
        <v>112810</v>
      </c>
      <c r="Q141" s="13">
        <f t="shared" si="55"/>
        <v>112810</v>
      </c>
      <c r="R141" s="13">
        <f t="shared" si="56"/>
        <v>0</v>
      </c>
      <c r="S141" s="13">
        <f t="shared" si="57"/>
        <v>112810</v>
      </c>
    </row>
    <row r="142" spans="2:19" x14ac:dyDescent="0.25">
      <c r="B142" s="73">
        <f t="shared" si="61"/>
        <v>43</v>
      </c>
      <c r="C142" s="12"/>
      <c r="D142" s="12"/>
      <c r="E142" s="12"/>
      <c r="F142" s="12"/>
      <c r="G142" s="99"/>
      <c r="H142" s="67" t="s">
        <v>578</v>
      </c>
      <c r="I142" s="13"/>
      <c r="J142" s="13"/>
      <c r="K142" s="13">
        <f t="shared" si="59"/>
        <v>0</v>
      </c>
      <c r="L142" s="132"/>
      <c r="M142" s="13">
        <v>40000</v>
      </c>
      <c r="N142" s="13"/>
      <c r="O142" s="13">
        <f t="shared" si="60"/>
        <v>40000</v>
      </c>
      <c r="Q142" s="13">
        <f t="shared" si="55"/>
        <v>40000</v>
      </c>
      <c r="R142" s="13">
        <f t="shared" si="56"/>
        <v>0</v>
      </c>
      <c r="S142" s="13">
        <f t="shared" si="57"/>
        <v>40000</v>
      </c>
    </row>
    <row r="143" spans="2:19" x14ac:dyDescent="0.25">
      <c r="B143" s="73">
        <f t="shared" si="61"/>
        <v>44</v>
      </c>
      <c r="C143" s="12"/>
      <c r="D143" s="12"/>
      <c r="E143" s="12"/>
      <c r="F143" s="12"/>
      <c r="G143" s="99"/>
      <c r="H143" s="12" t="s">
        <v>407</v>
      </c>
      <c r="I143" s="13"/>
      <c r="J143" s="13"/>
      <c r="K143" s="13">
        <f t="shared" si="59"/>
        <v>0</v>
      </c>
      <c r="L143" s="132"/>
      <c r="M143" s="13">
        <v>60000</v>
      </c>
      <c r="N143" s="13"/>
      <c r="O143" s="13">
        <f t="shared" si="60"/>
        <v>60000</v>
      </c>
      <c r="Q143" s="13">
        <f t="shared" si="55"/>
        <v>60000</v>
      </c>
      <c r="R143" s="13">
        <f t="shared" si="56"/>
        <v>0</v>
      </c>
      <c r="S143" s="13">
        <f t="shared" si="57"/>
        <v>60000</v>
      </c>
    </row>
    <row r="144" spans="2:19" x14ac:dyDescent="0.25">
      <c r="B144" s="73">
        <f t="shared" si="61"/>
        <v>45</v>
      </c>
      <c r="C144" s="38"/>
      <c r="D144" s="38"/>
      <c r="E144" s="38">
        <v>2</v>
      </c>
      <c r="F144" s="38"/>
      <c r="G144" s="95"/>
      <c r="H144" s="38" t="s">
        <v>48</v>
      </c>
      <c r="I144" s="39">
        <f>I145+I146+I147+I154</f>
        <v>242765</v>
      </c>
      <c r="J144" s="39">
        <f t="shared" ref="J144" si="88">J145+J146+J147+J154</f>
        <v>0</v>
      </c>
      <c r="K144" s="39">
        <f t="shared" si="59"/>
        <v>242765</v>
      </c>
      <c r="L144" s="138"/>
      <c r="M144" s="39">
        <f>M155</f>
        <v>10000</v>
      </c>
      <c r="N144" s="39">
        <f t="shared" ref="N144" si="89">N155</f>
        <v>0</v>
      </c>
      <c r="O144" s="39">
        <f t="shared" si="60"/>
        <v>10000</v>
      </c>
      <c r="Q144" s="39">
        <f t="shared" si="55"/>
        <v>252765</v>
      </c>
      <c r="R144" s="39">
        <f t="shared" si="56"/>
        <v>0</v>
      </c>
      <c r="S144" s="39">
        <f t="shared" si="57"/>
        <v>252765</v>
      </c>
    </row>
    <row r="145" spans="2:19" x14ac:dyDescent="0.25">
      <c r="B145" s="73">
        <f t="shared" si="61"/>
        <v>46</v>
      </c>
      <c r="C145" s="21"/>
      <c r="D145" s="21"/>
      <c r="E145" s="21"/>
      <c r="F145" s="42" t="s">
        <v>260</v>
      </c>
      <c r="G145" s="97">
        <v>610</v>
      </c>
      <c r="H145" s="21" t="s">
        <v>245</v>
      </c>
      <c r="I145" s="15">
        <v>61350</v>
      </c>
      <c r="J145" s="15"/>
      <c r="K145" s="15">
        <f t="shared" si="59"/>
        <v>61350</v>
      </c>
      <c r="L145" s="130"/>
      <c r="M145" s="15"/>
      <c r="N145" s="15"/>
      <c r="O145" s="15">
        <f t="shared" si="60"/>
        <v>0</v>
      </c>
      <c r="Q145" s="15">
        <f t="shared" si="55"/>
        <v>61350</v>
      </c>
      <c r="R145" s="15">
        <f t="shared" si="56"/>
        <v>0</v>
      </c>
      <c r="S145" s="15">
        <f t="shared" si="57"/>
        <v>61350</v>
      </c>
    </row>
    <row r="146" spans="2:19" ht="15.75" customHeight="1" x14ac:dyDescent="0.25">
      <c r="B146" s="73">
        <f t="shared" si="61"/>
        <v>47</v>
      </c>
      <c r="C146" s="21"/>
      <c r="D146" s="21"/>
      <c r="E146" s="21"/>
      <c r="F146" s="42" t="s">
        <v>260</v>
      </c>
      <c r="G146" s="97">
        <v>620</v>
      </c>
      <c r="H146" s="21" t="s">
        <v>228</v>
      </c>
      <c r="I146" s="15">
        <v>22765</v>
      </c>
      <c r="J146" s="15"/>
      <c r="K146" s="15">
        <f t="shared" si="59"/>
        <v>22765</v>
      </c>
      <c r="L146" s="130"/>
      <c r="M146" s="15"/>
      <c r="N146" s="15"/>
      <c r="O146" s="15">
        <f t="shared" si="60"/>
        <v>0</v>
      </c>
      <c r="Q146" s="15">
        <f t="shared" si="55"/>
        <v>22765</v>
      </c>
      <c r="R146" s="15">
        <f t="shared" si="56"/>
        <v>0</v>
      </c>
      <c r="S146" s="15">
        <f t="shared" si="57"/>
        <v>22765</v>
      </c>
    </row>
    <row r="147" spans="2:19" ht="15.75" customHeight="1" x14ac:dyDescent="0.25">
      <c r="B147" s="73">
        <f t="shared" si="61"/>
        <v>48</v>
      </c>
      <c r="C147" s="21"/>
      <c r="D147" s="21"/>
      <c r="E147" s="21"/>
      <c r="F147" s="42" t="s">
        <v>260</v>
      </c>
      <c r="G147" s="97">
        <v>630</v>
      </c>
      <c r="H147" s="21" t="s">
        <v>218</v>
      </c>
      <c r="I147" s="15">
        <f>SUM(I148:I153)</f>
        <v>157200</v>
      </c>
      <c r="J147" s="15">
        <f t="shared" ref="J147" si="90">SUM(J148:J153)</f>
        <v>0</v>
      </c>
      <c r="K147" s="15">
        <f t="shared" si="59"/>
        <v>157200</v>
      </c>
      <c r="L147" s="130"/>
      <c r="M147" s="15"/>
      <c r="N147" s="15"/>
      <c r="O147" s="15">
        <f t="shared" si="60"/>
        <v>0</v>
      </c>
      <c r="Q147" s="15">
        <f t="shared" si="55"/>
        <v>157200</v>
      </c>
      <c r="R147" s="15">
        <f t="shared" si="56"/>
        <v>0</v>
      </c>
      <c r="S147" s="15">
        <f t="shared" si="57"/>
        <v>157200</v>
      </c>
    </row>
    <row r="148" spans="2:19" ht="14.25" customHeight="1" x14ac:dyDescent="0.25">
      <c r="B148" s="73">
        <f t="shared" si="61"/>
        <v>49</v>
      </c>
      <c r="C148" s="9"/>
      <c r="D148" s="9"/>
      <c r="E148" s="9"/>
      <c r="F148" s="43" t="s">
        <v>260</v>
      </c>
      <c r="G148" s="98">
        <v>632</v>
      </c>
      <c r="H148" s="9" t="s">
        <v>229</v>
      </c>
      <c r="I148" s="10">
        <v>93500</v>
      </c>
      <c r="J148" s="10"/>
      <c r="K148" s="10">
        <f t="shared" si="59"/>
        <v>93500</v>
      </c>
      <c r="L148" s="131"/>
      <c r="M148" s="10"/>
      <c r="N148" s="10"/>
      <c r="O148" s="10">
        <f t="shared" si="60"/>
        <v>0</v>
      </c>
      <c r="Q148" s="10">
        <f t="shared" si="55"/>
        <v>93500</v>
      </c>
      <c r="R148" s="10">
        <f t="shared" si="56"/>
        <v>0</v>
      </c>
      <c r="S148" s="10">
        <f t="shared" si="57"/>
        <v>93500</v>
      </c>
    </row>
    <row r="149" spans="2:19" x14ac:dyDescent="0.25">
      <c r="B149" s="73">
        <f t="shared" si="61"/>
        <v>50</v>
      </c>
      <c r="C149" s="9"/>
      <c r="D149" s="9"/>
      <c r="E149" s="9"/>
      <c r="F149" s="43" t="s">
        <v>260</v>
      </c>
      <c r="G149" s="98">
        <v>633</v>
      </c>
      <c r="H149" s="9" t="s">
        <v>220</v>
      </c>
      <c r="I149" s="10">
        <v>6250</v>
      </c>
      <c r="J149" s="10"/>
      <c r="K149" s="10">
        <f t="shared" si="59"/>
        <v>6250</v>
      </c>
      <c r="L149" s="131"/>
      <c r="M149" s="10"/>
      <c r="N149" s="10"/>
      <c r="O149" s="10">
        <f t="shared" si="60"/>
        <v>0</v>
      </c>
      <c r="Q149" s="10">
        <f t="shared" si="55"/>
        <v>6250</v>
      </c>
      <c r="R149" s="10">
        <f t="shared" si="56"/>
        <v>0</v>
      </c>
      <c r="S149" s="10">
        <f t="shared" si="57"/>
        <v>6250</v>
      </c>
    </row>
    <row r="150" spans="2:19" x14ac:dyDescent="0.25">
      <c r="B150" s="73">
        <f t="shared" si="61"/>
        <v>51</v>
      </c>
      <c r="C150" s="9"/>
      <c r="D150" s="9"/>
      <c r="E150" s="9"/>
      <c r="F150" s="43" t="s">
        <v>260</v>
      </c>
      <c r="G150" s="98">
        <v>634</v>
      </c>
      <c r="H150" s="9" t="s">
        <v>221</v>
      </c>
      <c r="I150" s="10">
        <v>4400</v>
      </c>
      <c r="J150" s="10"/>
      <c r="K150" s="10">
        <f t="shared" si="59"/>
        <v>4400</v>
      </c>
      <c r="L150" s="131"/>
      <c r="M150" s="10"/>
      <c r="N150" s="10"/>
      <c r="O150" s="10">
        <f t="shared" si="60"/>
        <v>0</v>
      </c>
      <c r="Q150" s="10">
        <f t="shared" si="55"/>
        <v>4400</v>
      </c>
      <c r="R150" s="10">
        <f t="shared" si="56"/>
        <v>0</v>
      </c>
      <c r="S150" s="10">
        <f t="shared" si="57"/>
        <v>4400</v>
      </c>
    </row>
    <row r="151" spans="2:19" x14ac:dyDescent="0.25">
      <c r="B151" s="73">
        <f t="shared" si="61"/>
        <v>52</v>
      </c>
      <c r="C151" s="9"/>
      <c r="D151" s="9"/>
      <c r="E151" s="9"/>
      <c r="F151" s="43" t="s">
        <v>260</v>
      </c>
      <c r="G151" s="98">
        <v>635</v>
      </c>
      <c r="H151" s="9" t="s">
        <v>234</v>
      </c>
      <c r="I151" s="10">
        <v>37500</v>
      </c>
      <c r="J151" s="10"/>
      <c r="K151" s="10">
        <f t="shared" si="59"/>
        <v>37500</v>
      </c>
      <c r="L151" s="131"/>
      <c r="M151" s="10"/>
      <c r="N151" s="10"/>
      <c r="O151" s="10">
        <f t="shared" si="60"/>
        <v>0</v>
      </c>
      <c r="Q151" s="10">
        <f t="shared" si="55"/>
        <v>37500</v>
      </c>
      <c r="R151" s="10">
        <f t="shared" si="56"/>
        <v>0</v>
      </c>
      <c r="S151" s="10">
        <f t="shared" si="57"/>
        <v>37500</v>
      </c>
    </row>
    <row r="152" spans="2:19" ht="15.75" customHeight="1" x14ac:dyDescent="0.25">
      <c r="B152" s="73">
        <f t="shared" si="61"/>
        <v>53</v>
      </c>
      <c r="C152" s="9"/>
      <c r="D152" s="9"/>
      <c r="E152" s="9"/>
      <c r="F152" s="43" t="s">
        <v>260</v>
      </c>
      <c r="G152" s="98">
        <v>636</v>
      </c>
      <c r="H152" s="9" t="s">
        <v>222</v>
      </c>
      <c r="I152" s="10">
        <v>50</v>
      </c>
      <c r="J152" s="10"/>
      <c r="K152" s="10">
        <f t="shared" si="59"/>
        <v>50</v>
      </c>
      <c r="L152" s="131"/>
      <c r="M152" s="10"/>
      <c r="N152" s="10"/>
      <c r="O152" s="10">
        <f t="shared" si="60"/>
        <v>0</v>
      </c>
      <c r="Q152" s="10">
        <f t="shared" si="55"/>
        <v>50</v>
      </c>
      <c r="R152" s="10">
        <f t="shared" si="56"/>
        <v>0</v>
      </c>
      <c r="S152" s="10">
        <f t="shared" si="57"/>
        <v>50</v>
      </c>
    </row>
    <row r="153" spans="2:19" ht="18" customHeight="1" x14ac:dyDescent="0.25">
      <c r="B153" s="73">
        <f t="shared" si="61"/>
        <v>54</v>
      </c>
      <c r="C153" s="9"/>
      <c r="D153" s="9"/>
      <c r="E153" s="9"/>
      <c r="F153" s="43" t="s">
        <v>260</v>
      </c>
      <c r="G153" s="98">
        <v>637</v>
      </c>
      <c r="H153" s="9" t="s">
        <v>223</v>
      </c>
      <c r="I153" s="10">
        <v>15500</v>
      </c>
      <c r="J153" s="10"/>
      <c r="K153" s="10">
        <f t="shared" si="59"/>
        <v>15500</v>
      </c>
      <c r="L153" s="131"/>
      <c r="M153" s="10"/>
      <c r="N153" s="10"/>
      <c r="O153" s="10">
        <f t="shared" si="60"/>
        <v>0</v>
      </c>
      <c r="Q153" s="10">
        <f t="shared" si="55"/>
        <v>15500</v>
      </c>
      <c r="R153" s="10">
        <f t="shared" si="56"/>
        <v>0</v>
      </c>
      <c r="S153" s="10">
        <f t="shared" si="57"/>
        <v>15500</v>
      </c>
    </row>
    <row r="154" spans="2:19" ht="17.25" customHeight="1" x14ac:dyDescent="0.25">
      <c r="B154" s="73">
        <f t="shared" si="61"/>
        <v>55</v>
      </c>
      <c r="C154" s="21"/>
      <c r="D154" s="21"/>
      <c r="E154" s="21"/>
      <c r="F154" s="42" t="s">
        <v>260</v>
      </c>
      <c r="G154" s="97">
        <v>640</v>
      </c>
      <c r="H154" s="21" t="s">
        <v>230</v>
      </c>
      <c r="I154" s="15">
        <v>1450</v>
      </c>
      <c r="J154" s="15"/>
      <c r="K154" s="15">
        <f t="shared" si="59"/>
        <v>1450</v>
      </c>
      <c r="L154" s="130"/>
      <c r="M154" s="15"/>
      <c r="N154" s="15"/>
      <c r="O154" s="15">
        <f t="shared" si="60"/>
        <v>0</v>
      </c>
      <c r="Q154" s="15">
        <f t="shared" si="55"/>
        <v>1450</v>
      </c>
      <c r="R154" s="15">
        <f t="shared" si="56"/>
        <v>0</v>
      </c>
      <c r="S154" s="15">
        <f t="shared" si="57"/>
        <v>1450</v>
      </c>
    </row>
    <row r="155" spans="2:19" ht="17.25" customHeight="1" x14ac:dyDescent="0.25">
      <c r="B155" s="73">
        <f t="shared" si="61"/>
        <v>56</v>
      </c>
      <c r="C155" s="21"/>
      <c r="D155" s="21"/>
      <c r="E155" s="21"/>
      <c r="F155" s="42" t="s">
        <v>260</v>
      </c>
      <c r="G155" s="97">
        <v>710</v>
      </c>
      <c r="H155" s="21" t="s">
        <v>235</v>
      </c>
      <c r="I155" s="15"/>
      <c r="J155" s="15"/>
      <c r="K155" s="15">
        <f t="shared" si="59"/>
        <v>0</v>
      </c>
      <c r="L155" s="130"/>
      <c r="M155" s="15">
        <f>M156</f>
        <v>10000</v>
      </c>
      <c r="N155" s="15">
        <f t="shared" ref="N155" si="91">N156</f>
        <v>0</v>
      </c>
      <c r="O155" s="15">
        <f t="shared" si="60"/>
        <v>10000</v>
      </c>
      <c r="Q155" s="15">
        <f t="shared" si="55"/>
        <v>10000</v>
      </c>
      <c r="R155" s="15">
        <f t="shared" si="56"/>
        <v>0</v>
      </c>
      <c r="S155" s="15">
        <f t="shared" si="57"/>
        <v>10000</v>
      </c>
    </row>
    <row r="156" spans="2:19" x14ac:dyDescent="0.25">
      <c r="B156" s="73">
        <f t="shared" si="61"/>
        <v>57</v>
      </c>
      <c r="C156" s="9"/>
      <c r="D156" s="9"/>
      <c r="E156" s="9"/>
      <c r="F156" s="43" t="s">
        <v>260</v>
      </c>
      <c r="G156" s="98">
        <v>717</v>
      </c>
      <c r="H156" s="9" t="s">
        <v>398</v>
      </c>
      <c r="I156" s="10"/>
      <c r="J156" s="10"/>
      <c r="K156" s="10">
        <f t="shared" si="59"/>
        <v>0</v>
      </c>
      <c r="L156" s="131"/>
      <c r="M156" s="10">
        <v>10000</v>
      </c>
      <c r="N156" s="10"/>
      <c r="O156" s="10">
        <f t="shared" si="60"/>
        <v>10000</v>
      </c>
      <c r="Q156" s="10">
        <f t="shared" si="55"/>
        <v>10000</v>
      </c>
      <c r="R156" s="10">
        <f t="shared" si="56"/>
        <v>0</v>
      </c>
      <c r="S156" s="10">
        <f t="shared" si="57"/>
        <v>10000</v>
      </c>
    </row>
    <row r="157" spans="2:19" ht="15.75" x14ac:dyDescent="0.25">
      <c r="B157" s="73">
        <f t="shared" si="61"/>
        <v>58</v>
      </c>
      <c r="C157" s="34">
        <v>5</v>
      </c>
      <c r="D157" s="227" t="s">
        <v>261</v>
      </c>
      <c r="E157" s="228"/>
      <c r="F157" s="228"/>
      <c r="G157" s="228"/>
      <c r="H157" s="229"/>
      <c r="I157" s="35">
        <f>I158+I159+I160+I165+I167+I168</f>
        <v>3250475</v>
      </c>
      <c r="J157" s="35">
        <f>J158+J159+J160+J165+J167+J168</f>
        <v>0</v>
      </c>
      <c r="K157" s="35">
        <f t="shared" si="59"/>
        <v>3250475</v>
      </c>
      <c r="L157" s="135"/>
      <c r="M157" s="35">
        <f>M171</f>
        <v>8000</v>
      </c>
      <c r="N157" s="35">
        <f>N171</f>
        <v>0</v>
      </c>
      <c r="O157" s="35">
        <f t="shared" si="60"/>
        <v>8000</v>
      </c>
      <c r="Q157" s="35">
        <f t="shared" si="55"/>
        <v>3258475</v>
      </c>
      <c r="R157" s="35">
        <f t="shared" si="56"/>
        <v>0</v>
      </c>
      <c r="S157" s="35">
        <f t="shared" si="57"/>
        <v>3258475</v>
      </c>
    </row>
    <row r="158" spans="2:19" x14ac:dyDescent="0.25">
      <c r="B158" s="73">
        <f t="shared" si="61"/>
        <v>59</v>
      </c>
      <c r="C158" s="21"/>
      <c r="D158" s="21"/>
      <c r="E158" s="21"/>
      <c r="F158" s="42" t="s">
        <v>217</v>
      </c>
      <c r="G158" s="97">
        <v>610</v>
      </c>
      <c r="H158" s="21" t="s">
        <v>245</v>
      </c>
      <c r="I158" s="15">
        <f>1800000+45000</f>
        <v>1845000</v>
      </c>
      <c r="J158" s="15"/>
      <c r="K158" s="15">
        <f t="shared" si="59"/>
        <v>1845000</v>
      </c>
      <c r="L158" s="130"/>
      <c r="M158" s="15"/>
      <c r="N158" s="15"/>
      <c r="O158" s="15">
        <f t="shared" si="60"/>
        <v>0</v>
      </c>
      <c r="Q158" s="15">
        <f t="shared" si="55"/>
        <v>1845000</v>
      </c>
      <c r="R158" s="15">
        <f t="shared" si="56"/>
        <v>0</v>
      </c>
      <c r="S158" s="15">
        <f t="shared" si="57"/>
        <v>1845000</v>
      </c>
    </row>
    <row r="159" spans="2:19" x14ac:dyDescent="0.25">
      <c r="B159" s="73">
        <f t="shared" si="61"/>
        <v>60</v>
      </c>
      <c r="C159" s="21"/>
      <c r="D159" s="21"/>
      <c r="E159" s="21"/>
      <c r="F159" s="42" t="s">
        <v>217</v>
      </c>
      <c r="G159" s="97">
        <v>620</v>
      </c>
      <c r="H159" s="21" t="s">
        <v>228</v>
      </c>
      <c r="I159" s="15">
        <f>675000+15000</f>
        <v>690000</v>
      </c>
      <c r="J159" s="15"/>
      <c r="K159" s="15">
        <f t="shared" si="59"/>
        <v>690000</v>
      </c>
      <c r="L159" s="130"/>
      <c r="M159" s="15"/>
      <c r="N159" s="15"/>
      <c r="O159" s="15">
        <f t="shared" si="60"/>
        <v>0</v>
      </c>
      <c r="Q159" s="15">
        <f t="shared" si="55"/>
        <v>690000</v>
      </c>
      <c r="R159" s="15">
        <f t="shared" si="56"/>
        <v>0</v>
      </c>
      <c r="S159" s="15">
        <f t="shared" si="57"/>
        <v>690000</v>
      </c>
    </row>
    <row r="160" spans="2:19" x14ac:dyDescent="0.25">
      <c r="B160" s="73">
        <f t="shared" si="61"/>
        <v>61</v>
      </c>
      <c r="C160" s="21"/>
      <c r="D160" s="21"/>
      <c r="E160" s="21"/>
      <c r="F160" s="42" t="s">
        <v>217</v>
      </c>
      <c r="G160" s="97">
        <v>630</v>
      </c>
      <c r="H160" s="21" t="s">
        <v>218</v>
      </c>
      <c r="I160" s="15">
        <f>SUM(I161:I164)</f>
        <v>450880</v>
      </c>
      <c r="J160" s="15">
        <f t="shared" ref="J160" si="92">SUM(J161:J164)</f>
        <v>0</v>
      </c>
      <c r="K160" s="15">
        <f t="shared" si="59"/>
        <v>450880</v>
      </c>
      <c r="L160" s="130"/>
      <c r="M160" s="15"/>
      <c r="N160" s="15"/>
      <c r="O160" s="15">
        <f t="shared" si="60"/>
        <v>0</v>
      </c>
      <c r="Q160" s="15">
        <f t="shared" si="55"/>
        <v>450880</v>
      </c>
      <c r="R160" s="15">
        <f t="shared" si="56"/>
        <v>0</v>
      </c>
      <c r="S160" s="15">
        <f t="shared" si="57"/>
        <v>450880</v>
      </c>
    </row>
    <row r="161" spans="2:19" x14ac:dyDescent="0.25">
      <c r="B161" s="73">
        <f t="shared" si="61"/>
        <v>62</v>
      </c>
      <c r="C161" s="9"/>
      <c r="D161" s="9"/>
      <c r="E161" s="9"/>
      <c r="F161" s="43" t="s">
        <v>217</v>
      </c>
      <c r="G161" s="98">
        <v>632</v>
      </c>
      <c r="H161" s="9" t="s">
        <v>229</v>
      </c>
      <c r="I161" s="10">
        <f>160000-7120</f>
        <v>152880</v>
      </c>
      <c r="J161" s="10"/>
      <c r="K161" s="10">
        <f t="shared" si="59"/>
        <v>152880</v>
      </c>
      <c r="L161" s="131"/>
      <c r="M161" s="10"/>
      <c r="N161" s="10"/>
      <c r="O161" s="10">
        <f t="shared" si="60"/>
        <v>0</v>
      </c>
      <c r="Q161" s="10">
        <f t="shared" si="55"/>
        <v>152880</v>
      </c>
      <c r="R161" s="10">
        <f t="shared" si="56"/>
        <v>0</v>
      </c>
      <c r="S161" s="10">
        <f t="shared" si="57"/>
        <v>152880</v>
      </c>
    </row>
    <row r="162" spans="2:19" x14ac:dyDescent="0.25">
      <c r="B162" s="73">
        <f t="shared" si="61"/>
        <v>63</v>
      </c>
      <c r="C162" s="9"/>
      <c r="D162" s="9"/>
      <c r="E162" s="9"/>
      <c r="F162" s="43" t="s">
        <v>217</v>
      </c>
      <c r="G162" s="98">
        <v>633</v>
      </c>
      <c r="H162" s="9" t="s">
        <v>220</v>
      </c>
      <c r="I162" s="10">
        <f>42000-20000-4000</f>
        <v>18000</v>
      </c>
      <c r="J162" s="10"/>
      <c r="K162" s="10">
        <f t="shared" si="59"/>
        <v>18000</v>
      </c>
      <c r="L162" s="131"/>
      <c r="M162" s="10"/>
      <c r="N162" s="10"/>
      <c r="O162" s="10">
        <f t="shared" si="60"/>
        <v>0</v>
      </c>
      <c r="Q162" s="10">
        <f t="shared" si="55"/>
        <v>18000</v>
      </c>
      <c r="R162" s="10">
        <f t="shared" si="56"/>
        <v>0</v>
      </c>
      <c r="S162" s="10">
        <f t="shared" si="57"/>
        <v>18000</v>
      </c>
    </row>
    <row r="163" spans="2:19" x14ac:dyDescent="0.25">
      <c r="B163" s="73">
        <f t="shared" si="61"/>
        <v>64</v>
      </c>
      <c r="C163" s="9"/>
      <c r="D163" s="9"/>
      <c r="E163" s="9"/>
      <c r="F163" s="43" t="s">
        <v>217</v>
      </c>
      <c r="G163" s="98">
        <v>635</v>
      </c>
      <c r="H163" s="9" t="s">
        <v>234</v>
      </c>
      <c r="I163" s="10">
        <f>50000-5000</f>
        <v>45000</v>
      </c>
      <c r="J163" s="10"/>
      <c r="K163" s="10">
        <f t="shared" si="59"/>
        <v>45000</v>
      </c>
      <c r="L163" s="131"/>
      <c r="M163" s="10"/>
      <c r="N163" s="10"/>
      <c r="O163" s="10">
        <f t="shared" si="60"/>
        <v>0</v>
      </c>
      <c r="Q163" s="10">
        <f t="shared" si="55"/>
        <v>45000</v>
      </c>
      <c r="R163" s="10">
        <f t="shared" si="56"/>
        <v>0</v>
      </c>
      <c r="S163" s="10">
        <f t="shared" si="57"/>
        <v>45000</v>
      </c>
    </row>
    <row r="164" spans="2:19" x14ac:dyDescent="0.25">
      <c r="B164" s="73">
        <f t="shared" si="61"/>
        <v>65</v>
      </c>
      <c r="C164" s="9"/>
      <c r="D164" s="9"/>
      <c r="E164" s="9"/>
      <c r="F164" s="43" t="s">
        <v>217</v>
      </c>
      <c r="G164" s="98">
        <v>637</v>
      </c>
      <c r="H164" s="9" t="s">
        <v>223</v>
      </c>
      <c r="I164" s="10">
        <v>235000</v>
      </c>
      <c r="J164" s="10"/>
      <c r="K164" s="10">
        <f t="shared" si="59"/>
        <v>235000</v>
      </c>
      <c r="L164" s="131"/>
      <c r="M164" s="10"/>
      <c r="N164" s="10"/>
      <c r="O164" s="10">
        <f t="shared" si="60"/>
        <v>0</v>
      </c>
      <c r="Q164" s="10">
        <f t="shared" ref="Q164:Q198" si="93">I164+M164</f>
        <v>235000</v>
      </c>
      <c r="R164" s="10">
        <f t="shared" ref="R164:R171" si="94">J164+N164</f>
        <v>0</v>
      </c>
      <c r="S164" s="10">
        <f t="shared" ref="S164:S171" si="95">K164+O164</f>
        <v>235000</v>
      </c>
    </row>
    <row r="165" spans="2:19" x14ac:dyDescent="0.25">
      <c r="B165" s="73">
        <f t="shared" si="61"/>
        <v>66</v>
      </c>
      <c r="C165" s="21"/>
      <c r="D165" s="21"/>
      <c r="E165" s="21"/>
      <c r="F165" s="42" t="s">
        <v>242</v>
      </c>
      <c r="G165" s="97">
        <v>630</v>
      </c>
      <c r="H165" s="21" t="s">
        <v>218</v>
      </c>
      <c r="I165" s="15">
        <f>I166</f>
        <v>12865</v>
      </c>
      <c r="J165" s="15">
        <f t="shared" ref="J165" si="96">J166</f>
        <v>0</v>
      </c>
      <c r="K165" s="15">
        <f t="shared" ref="K165:K198" si="97">I165+J165</f>
        <v>12865</v>
      </c>
      <c r="L165" s="130"/>
      <c r="M165" s="15"/>
      <c r="N165" s="15"/>
      <c r="O165" s="15">
        <f t="shared" ref="O165:O198" si="98">M165+N165</f>
        <v>0</v>
      </c>
      <c r="Q165" s="15">
        <f t="shared" si="93"/>
        <v>12865</v>
      </c>
      <c r="R165" s="15">
        <f t="shared" si="94"/>
        <v>0</v>
      </c>
      <c r="S165" s="15">
        <f t="shared" si="95"/>
        <v>12865</v>
      </c>
    </row>
    <row r="166" spans="2:19" x14ac:dyDescent="0.25">
      <c r="B166" s="73">
        <f t="shared" si="61"/>
        <v>67</v>
      </c>
      <c r="C166" s="9"/>
      <c r="D166" s="9"/>
      <c r="E166" s="9"/>
      <c r="F166" s="43" t="s">
        <v>242</v>
      </c>
      <c r="G166" s="98">
        <v>637</v>
      </c>
      <c r="H166" s="9" t="s">
        <v>223</v>
      </c>
      <c r="I166" s="10">
        <v>12865</v>
      </c>
      <c r="J166" s="10"/>
      <c r="K166" s="10">
        <f t="shared" si="97"/>
        <v>12865</v>
      </c>
      <c r="L166" s="131"/>
      <c r="M166" s="10"/>
      <c r="N166" s="10"/>
      <c r="O166" s="10">
        <f t="shared" si="98"/>
        <v>0</v>
      </c>
      <c r="Q166" s="10">
        <f t="shared" si="93"/>
        <v>12865</v>
      </c>
      <c r="R166" s="10">
        <f t="shared" si="94"/>
        <v>0</v>
      </c>
      <c r="S166" s="10">
        <f t="shared" si="95"/>
        <v>12865</v>
      </c>
    </row>
    <row r="167" spans="2:19" ht="33.75" x14ac:dyDescent="0.25">
      <c r="B167" s="73">
        <f t="shared" si="61"/>
        <v>68</v>
      </c>
      <c r="C167" s="105"/>
      <c r="D167" s="105"/>
      <c r="E167" s="105"/>
      <c r="F167" s="115" t="s">
        <v>262</v>
      </c>
      <c r="G167" s="116">
        <v>650</v>
      </c>
      <c r="H167" s="117" t="s">
        <v>500</v>
      </c>
      <c r="I167" s="108">
        <f>270000-5100-5000-22570-10000-600</f>
        <v>226730</v>
      </c>
      <c r="J167" s="108"/>
      <c r="K167" s="108">
        <f t="shared" si="97"/>
        <v>226730</v>
      </c>
      <c r="L167" s="140"/>
      <c r="M167" s="108"/>
      <c r="N167" s="108"/>
      <c r="O167" s="108">
        <f t="shared" si="98"/>
        <v>0</v>
      </c>
      <c r="P167" s="80"/>
      <c r="Q167" s="108">
        <f t="shared" si="93"/>
        <v>226730</v>
      </c>
      <c r="R167" s="108">
        <f t="shared" si="94"/>
        <v>0</v>
      </c>
      <c r="S167" s="108">
        <f t="shared" si="95"/>
        <v>226730</v>
      </c>
    </row>
    <row r="168" spans="2:19" x14ac:dyDescent="0.25">
      <c r="B168" s="73">
        <f t="shared" ref="B168:B198" si="99">B167+1</f>
        <v>69</v>
      </c>
      <c r="C168" s="21"/>
      <c r="D168" s="21"/>
      <c r="E168" s="21"/>
      <c r="F168" s="42" t="s">
        <v>217</v>
      </c>
      <c r="G168" s="97">
        <v>640</v>
      </c>
      <c r="H168" s="21" t="s">
        <v>230</v>
      </c>
      <c r="I168" s="15">
        <f>I169</f>
        <v>25000</v>
      </c>
      <c r="J168" s="15">
        <f t="shared" ref="J168:J169" si="100">J169</f>
        <v>0</v>
      </c>
      <c r="K168" s="15">
        <f t="shared" si="97"/>
        <v>25000</v>
      </c>
      <c r="L168" s="130"/>
      <c r="M168" s="15"/>
      <c r="N168" s="15"/>
      <c r="O168" s="15">
        <f t="shared" si="98"/>
        <v>0</v>
      </c>
      <c r="Q168" s="15">
        <f t="shared" si="93"/>
        <v>25000</v>
      </c>
      <c r="R168" s="15">
        <f t="shared" si="94"/>
        <v>0</v>
      </c>
      <c r="S168" s="15">
        <f t="shared" si="95"/>
        <v>25000</v>
      </c>
    </row>
    <row r="169" spans="2:19" x14ac:dyDescent="0.25">
      <c r="B169" s="73">
        <f t="shared" si="99"/>
        <v>70</v>
      </c>
      <c r="C169" s="9"/>
      <c r="D169" s="9"/>
      <c r="E169" s="9"/>
      <c r="F169" s="43" t="s">
        <v>217</v>
      </c>
      <c r="G169" s="98">
        <v>642</v>
      </c>
      <c r="H169" s="9" t="s">
        <v>231</v>
      </c>
      <c r="I169" s="10">
        <f>I170</f>
        <v>25000</v>
      </c>
      <c r="J169" s="10">
        <f t="shared" si="100"/>
        <v>0</v>
      </c>
      <c r="K169" s="10">
        <f t="shared" si="97"/>
        <v>25000</v>
      </c>
      <c r="L169" s="131"/>
      <c r="M169" s="10"/>
      <c r="N169" s="10"/>
      <c r="O169" s="10">
        <f t="shared" si="98"/>
        <v>0</v>
      </c>
      <c r="Q169" s="10">
        <f t="shared" si="93"/>
        <v>25000</v>
      </c>
      <c r="R169" s="10">
        <f t="shared" si="94"/>
        <v>0</v>
      </c>
      <c r="S169" s="10">
        <f t="shared" si="95"/>
        <v>25000</v>
      </c>
    </row>
    <row r="170" spans="2:19" x14ac:dyDescent="0.25">
      <c r="B170" s="73">
        <f t="shared" si="99"/>
        <v>71</v>
      </c>
      <c r="C170" s="12"/>
      <c r="D170" s="12"/>
      <c r="E170" s="12"/>
      <c r="F170" s="12"/>
      <c r="G170" s="99"/>
      <c r="H170" s="12" t="s">
        <v>444</v>
      </c>
      <c r="I170" s="13">
        <v>25000</v>
      </c>
      <c r="J170" s="13"/>
      <c r="K170" s="13">
        <f t="shared" si="97"/>
        <v>25000</v>
      </c>
      <c r="L170" s="132"/>
      <c r="M170" s="13"/>
      <c r="N170" s="13"/>
      <c r="O170" s="13">
        <f t="shared" si="98"/>
        <v>0</v>
      </c>
      <c r="Q170" s="13">
        <f t="shared" si="93"/>
        <v>25000</v>
      </c>
      <c r="R170" s="13">
        <f t="shared" si="94"/>
        <v>0</v>
      </c>
      <c r="S170" s="13">
        <f t="shared" si="95"/>
        <v>25000</v>
      </c>
    </row>
    <row r="171" spans="2:19" x14ac:dyDescent="0.25">
      <c r="B171" s="73">
        <f t="shared" si="99"/>
        <v>72</v>
      </c>
      <c r="C171" s="12"/>
      <c r="D171" s="21"/>
      <c r="E171" s="21"/>
      <c r="F171" s="42" t="s">
        <v>217</v>
      </c>
      <c r="G171" s="97">
        <v>710</v>
      </c>
      <c r="H171" s="21" t="s">
        <v>235</v>
      </c>
      <c r="I171" s="15"/>
      <c r="J171" s="15"/>
      <c r="K171" s="15">
        <f t="shared" si="97"/>
        <v>0</v>
      </c>
      <c r="L171" s="130"/>
      <c r="M171" s="15">
        <f>M173+M172</f>
        <v>8000</v>
      </c>
      <c r="N171" s="15">
        <f t="shared" ref="N171" si="101">N173+N172</f>
        <v>0</v>
      </c>
      <c r="O171" s="15">
        <f t="shared" si="98"/>
        <v>8000</v>
      </c>
      <c r="Q171" s="15">
        <f t="shared" si="93"/>
        <v>8000</v>
      </c>
      <c r="R171" s="15">
        <f t="shared" si="94"/>
        <v>0</v>
      </c>
      <c r="S171" s="15">
        <f t="shared" si="95"/>
        <v>8000</v>
      </c>
    </row>
    <row r="172" spans="2:19" x14ac:dyDescent="0.25">
      <c r="B172" s="73">
        <f t="shared" si="99"/>
        <v>73</v>
      </c>
      <c r="C172" s="12"/>
      <c r="D172" s="21"/>
      <c r="E172" s="21"/>
      <c r="F172" s="44" t="s">
        <v>217</v>
      </c>
      <c r="G172" s="100">
        <v>713</v>
      </c>
      <c r="H172" s="45" t="s">
        <v>623</v>
      </c>
      <c r="I172" s="15"/>
      <c r="J172" s="15"/>
      <c r="K172" s="15">
        <f t="shared" si="97"/>
        <v>0</v>
      </c>
      <c r="L172" s="130"/>
      <c r="M172" s="16">
        <v>2000</v>
      </c>
      <c r="N172" s="16"/>
      <c r="O172" s="16">
        <f t="shared" si="98"/>
        <v>2000</v>
      </c>
      <c r="Q172" s="16">
        <f>M172</f>
        <v>2000</v>
      </c>
      <c r="R172" s="16">
        <f t="shared" ref="R172:S172" si="102">N172</f>
        <v>0</v>
      </c>
      <c r="S172" s="16">
        <f t="shared" si="102"/>
        <v>2000</v>
      </c>
    </row>
    <row r="173" spans="2:19" x14ac:dyDescent="0.25">
      <c r="B173" s="73">
        <f t="shared" si="99"/>
        <v>74</v>
      </c>
      <c r="C173" s="12"/>
      <c r="D173" s="9"/>
      <c r="E173" s="9"/>
      <c r="F173" s="43" t="s">
        <v>217</v>
      </c>
      <c r="G173" s="98">
        <v>717</v>
      </c>
      <c r="H173" s="9" t="s">
        <v>629</v>
      </c>
      <c r="I173" s="10"/>
      <c r="J173" s="10"/>
      <c r="K173" s="10">
        <f t="shared" si="97"/>
        <v>0</v>
      </c>
      <c r="L173" s="131"/>
      <c r="M173" s="10">
        <v>6000</v>
      </c>
      <c r="N173" s="10"/>
      <c r="O173" s="10">
        <f t="shared" si="98"/>
        <v>6000</v>
      </c>
      <c r="Q173" s="10">
        <f t="shared" si="93"/>
        <v>6000</v>
      </c>
      <c r="R173" s="10">
        <f t="shared" ref="R173:R198" si="103">J173+N173</f>
        <v>0</v>
      </c>
      <c r="S173" s="10">
        <f t="shared" ref="S173:S198" si="104">K173+O173</f>
        <v>6000</v>
      </c>
    </row>
    <row r="174" spans="2:19" ht="15.75" x14ac:dyDescent="0.25">
      <c r="B174" s="73">
        <f t="shared" si="99"/>
        <v>75</v>
      </c>
      <c r="C174" s="34">
        <v>6</v>
      </c>
      <c r="D174" s="227" t="s">
        <v>265</v>
      </c>
      <c r="E174" s="228"/>
      <c r="F174" s="228"/>
      <c r="G174" s="228"/>
      <c r="H174" s="229"/>
      <c r="I174" s="35">
        <f>I175+I177</f>
        <v>8000</v>
      </c>
      <c r="J174" s="35">
        <f t="shared" ref="J174" si="105">J175+J177</f>
        <v>0</v>
      </c>
      <c r="K174" s="35">
        <f t="shared" si="97"/>
        <v>8000</v>
      </c>
      <c r="L174" s="135"/>
      <c r="M174" s="35">
        <v>0</v>
      </c>
      <c r="N174" s="35">
        <v>0</v>
      </c>
      <c r="O174" s="35">
        <f t="shared" si="98"/>
        <v>0</v>
      </c>
      <c r="Q174" s="35">
        <f t="shared" si="93"/>
        <v>8000</v>
      </c>
      <c r="R174" s="35">
        <f t="shared" si="103"/>
        <v>0</v>
      </c>
      <c r="S174" s="35">
        <f t="shared" si="104"/>
        <v>8000</v>
      </c>
    </row>
    <row r="175" spans="2:19" hidden="1" x14ac:dyDescent="0.25">
      <c r="B175" s="73">
        <f t="shared" si="99"/>
        <v>76</v>
      </c>
      <c r="C175" s="21"/>
      <c r="D175" s="21"/>
      <c r="E175" s="21"/>
      <c r="F175" s="42" t="s">
        <v>217</v>
      </c>
      <c r="G175" s="97">
        <v>630</v>
      </c>
      <c r="H175" s="21" t="s">
        <v>218</v>
      </c>
      <c r="I175" s="15">
        <f>I176</f>
        <v>3000</v>
      </c>
      <c r="J175" s="15">
        <f t="shared" ref="J175" si="106">J176</f>
        <v>0</v>
      </c>
      <c r="K175" s="15">
        <f t="shared" si="97"/>
        <v>3000</v>
      </c>
      <c r="L175" s="130"/>
      <c r="M175" s="15"/>
      <c r="N175" s="15"/>
      <c r="O175" s="15">
        <f t="shared" si="98"/>
        <v>0</v>
      </c>
      <c r="Q175" s="15">
        <f t="shared" si="93"/>
        <v>3000</v>
      </c>
      <c r="R175" s="15">
        <f t="shared" si="103"/>
        <v>0</v>
      </c>
      <c r="S175" s="15">
        <f t="shared" si="104"/>
        <v>3000</v>
      </c>
    </row>
    <row r="176" spans="2:19" x14ac:dyDescent="0.25">
      <c r="B176" s="73">
        <f t="shared" si="99"/>
        <v>77</v>
      </c>
      <c r="C176" s="9"/>
      <c r="D176" s="9"/>
      <c r="E176" s="9"/>
      <c r="F176" s="43" t="s">
        <v>217</v>
      </c>
      <c r="G176" s="98">
        <v>631</v>
      </c>
      <c r="H176" s="9" t="s">
        <v>219</v>
      </c>
      <c r="I176" s="10">
        <v>3000</v>
      </c>
      <c r="J176" s="10"/>
      <c r="K176" s="10">
        <f t="shared" si="97"/>
        <v>3000</v>
      </c>
      <c r="L176" s="131"/>
      <c r="M176" s="10"/>
      <c r="N176" s="10"/>
      <c r="O176" s="10">
        <f t="shared" si="98"/>
        <v>0</v>
      </c>
      <c r="Q176" s="10">
        <f t="shared" si="93"/>
        <v>3000</v>
      </c>
      <c r="R176" s="10">
        <f t="shared" si="103"/>
        <v>0</v>
      </c>
      <c r="S176" s="10">
        <f t="shared" si="104"/>
        <v>3000</v>
      </c>
    </row>
    <row r="177" spans="2:19" x14ac:dyDescent="0.25">
      <c r="B177" s="73">
        <f t="shared" si="99"/>
        <v>78</v>
      </c>
      <c r="C177" s="21"/>
      <c r="D177" s="21"/>
      <c r="E177" s="21"/>
      <c r="F177" s="42" t="s">
        <v>266</v>
      </c>
      <c r="G177" s="97">
        <v>630</v>
      </c>
      <c r="H177" s="21" t="s">
        <v>218</v>
      </c>
      <c r="I177" s="15">
        <f>I178</f>
        <v>5000</v>
      </c>
      <c r="J177" s="15">
        <f t="shared" ref="J177" si="107">J178</f>
        <v>0</v>
      </c>
      <c r="K177" s="15">
        <f t="shared" si="97"/>
        <v>5000</v>
      </c>
      <c r="L177" s="130"/>
      <c r="M177" s="15"/>
      <c r="N177" s="15"/>
      <c r="O177" s="15">
        <f t="shared" si="98"/>
        <v>0</v>
      </c>
      <c r="Q177" s="15">
        <f t="shared" si="93"/>
        <v>5000</v>
      </c>
      <c r="R177" s="15">
        <f t="shared" si="103"/>
        <v>0</v>
      </c>
      <c r="S177" s="15">
        <f t="shared" si="104"/>
        <v>5000</v>
      </c>
    </row>
    <row r="178" spans="2:19" x14ac:dyDescent="0.25">
      <c r="B178" s="73">
        <f t="shared" si="99"/>
        <v>79</v>
      </c>
      <c r="C178" s="9"/>
      <c r="D178" s="9"/>
      <c r="E178" s="9"/>
      <c r="F178" s="43" t="s">
        <v>266</v>
      </c>
      <c r="G178" s="98">
        <v>637</v>
      </c>
      <c r="H178" s="9" t="s">
        <v>223</v>
      </c>
      <c r="I178" s="10">
        <v>5000</v>
      </c>
      <c r="J178" s="10"/>
      <c r="K178" s="10">
        <f t="shared" si="97"/>
        <v>5000</v>
      </c>
      <c r="L178" s="131"/>
      <c r="M178" s="10"/>
      <c r="N178" s="10"/>
      <c r="O178" s="10">
        <f t="shared" si="98"/>
        <v>0</v>
      </c>
      <c r="Q178" s="10">
        <f t="shared" si="93"/>
        <v>5000</v>
      </c>
      <c r="R178" s="10">
        <f t="shared" si="103"/>
        <v>0</v>
      </c>
      <c r="S178" s="10">
        <f t="shared" si="104"/>
        <v>5000</v>
      </c>
    </row>
    <row r="179" spans="2:19" ht="15.75" x14ac:dyDescent="0.25">
      <c r="B179" s="73">
        <f t="shared" si="99"/>
        <v>80</v>
      </c>
      <c r="C179" s="34">
        <v>7</v>
      </c>
      <c r="D179" s="227" t="s">
        <v>267</v>
      </c>
      <c r="E179" s="228"/>
      <c r="F179" s="228"/>
      <c r="G179" s="228"/>
      <c r="H179" s="229"/>
      <c r="I179" s="35">
        <f>I180</f>
        <v>190560</v>
      </c>
      <c r="J179" s="35">
        <f t="shared" ref="J179" si="108">J180</f>
        <v>0</v>
      </c>
      <c r="K179" s="35">
        <f t="shared" si="97"/>
        <v>190560</v>
      </c>
      <c r="L179" s="135"/>
      <c r="M179" s="35">
        <f>M186</f>
        <v>49520</v>
      </c>
      <c r="N179" s="35">
        <f t="shared" ref="N179" si="109">N186</f>
        <v>0</v>
      </c>
      <c r="O179" s="35">
        <f t="shared" si="98"/>
        <v>49520</v>
      </c>
      <c r="Q179" s="35">
        <f t="shared" si="93"/>
        <v>240080</v>
      </c>
      <c r="R179" s="35">
        <f t="shared" si="103"/>
        <v>0</v>
      </c>
      <c r="S179" s="35">
        <f t="shared" si="104"/>
        <v>240080</v>
      </c>
    </row>
    <row r="180" spans="2:19" x14ac:dyDescent="0.25">
      <c r="B180" s="73">
        <f t="shared" si="99"/>
        <v>81</v>
      </c>
      <c r="C180" s="21"/>
      <c r="D180" s="21"/>
      <c r="E180" s="21"/>
      <c r="F180" s="42" t="s">
        <v>217</v>
      </c>
      <c r="G180" s="97">
        <v>630</v>
      </c>
      <c r="H180" s="21" t="s">
        <v>218</v>
      </c>
      <c r="I180" s="15">
        <f>SUM(I181:I185)</f>
        <v>190560</v>
      </c>
      <c r="J180" s="15">
        <f t="shared" ref="J180" si="110">SUM(J181:J185)</f>
        <v>0</v>
      </c>
      <c r="K180" s="15">
        <f t="shared" si="97"/>
        <v>190560</v>
      </c>
      <c r="L180" s="130"/>
      <c r="M180" s="15"/>
      <c r="N180" s="15"/>
      <c r="O180" s="15">
        <f t="shared" si="98"/>
        <v>0</v>
      </c>
      <c r="Q180" s="15">
        <f t="shared" si="93"/>
        <v>190560</v>
      </c>
      <c r="R180" s="15">
        <f t="shared" si="103"/>
        <v>0</v>
      </c>
      <c r="S180" s="15">
        <f t="shared" si="104"/>
        <v>190560</v>
      </c>
    </row>
    <row r="181" spans="2:19" x14ac:dyDescent="0.25">
      <c r="B181" s="73">
        <f t="shared" si="99"/>
        <v>82</v>
      </c>
      <c r="C181" s="9"/>
      <c r="D181" s="9"/>
      <c r="E181" s="9"/>
      <c r="F181" s="43" t="s">
        <v>217</v>
      </c>
      <c r="G181" s="98">
        <v>632</v>
      </c>
      <c r="H181" s="9" t="s">
        <v>229</v>
      </c>
      <c r="I181" s="10">
        <v>3700</v>
      </c>
      <c r="J181" s="10"/>
      <c r="K181" s="10">
        <f t="shared" si="97"/>
        <v>3700</v>
      </c>
      <c r="L181" s="131"/>
      <c r="M181" s="10"/>
      <c r="N181" s="10"/>
      <c r="O181" s="10">
        <f t="shared" si="98"/>
        <v>0</v>
      </c>
      <c r="Q181" s="10">
        <f t="shared" si="93"/>
        <v>3700</v>
      </c>
      <c r="R181" s="10">
        <f t="shared" si="103"/>
        <v>0</v>
      </c>
      <c r="S181" s="10">
        <f t="shared" si="104"/>
        <v>3700</v>
      </c>
    </row>
    <row r="182" spans="2:19" x14ac:dyDescent="0.25">
      <c r="B182" s="73">
        <f t="shared" si="99"/>
        <v>83</v>
      </c>
      <c r="C182" s="9"/>
      <c r="D182" s="9"/>
      <c r="E182" s="9"/>
      <c r="F182" s="43" t="s">
        <v>217</v>
      </c>
      <c r="G182" s="98">
        <v>633</v>
      </c>
      <c r="H182" s="9" t="s">
        <v>220</v>
      </c>
      <c r="I182" s="10">
        <f>19000-1000</f>
        <v>18000</v>
      </c>
      <c r="J182" s="10"/>
      <c r="K182" s="10">
        <f t="shared" si="97"/>
        <v>18000</v>
      </c>
      <c r="L182" s="131"/>
      <c r="M182" s="10"/>
      <c r="N182" s="10"/>
      <c r="O182" s="10">
        <f t="shared" si="98"/>
        <v>0</v>
      </c>
      <c r="Q182" s="10">
        <f t="shared" si="93"/>
        <v>18000</v>
      </c>
      <c r="R182" s="10">
        <f t="shared" si="103"/>
        <v>0</v>
      </c>
      <c r="S182" s="10">
        <f t="shared" si="104"/>
        <v>18000</v>
      </c>
    </row>
    <row r="183" spans="2:19" x14ac:dyDescent="0.25">
      <c r="B183" s="73">
        <f t="shared" si="99"/>
        <v>84</v>
      </c>
      <c r="C183" s="9"/>
      <c r="D183" s="9"/>
      <c r="E183" s="9"/>
      <c r="F183" s="43" t="s">
        <v>217</v>
      </c>
      <c r="G183" s="98">
        <v>635</v>
      </c>
      <c r="H183" s="9" t="s">
        <v>234</v>
      </c>
      <c r="I183" s="10">
        <f>126820-2000</f>
        <v>124820</v>
      </c>
      <c r="J183" s="10"/>
      <c r="K183" s="10">
        <f t="shared" si="97"/>
        <v>124820</v>
      </c>
      <c r="L183" s="131"/>
      <c r="M183" s="10"/>
      <c r="N183" s="10"/>
      <c r="O183" s="10">
        <f t="shared" si="98"/>
        <v>0</v>
      </c>
      <c r="Q183" s="10">
        <f t="shared" si="93"/>
        <v>124820</v>
      </c>
      <c r="R183" s="10">
        <f t="shared" si="103"/>
        <v>0</v>
      </c>
      <c r="S183" s="10">
        <f t="shared" si="104"/>
        <v>124820</v>
      </c>
    </row>
    <row r="184" spans="2:19" x14ac:dyDescent="0.25">
      <c r="B184" s="73">
        <f t="shared" si="99"/>
        <v>85</v>
      </c>
      <c r="C184" s="9"/>
      <c r="D184" s="9"/>
      <c r="E184" s="9"/>
      <c r="F184" s="43" t="s">
        <v>217</v>
      </c>
      <c r="G184" s="98">
        <v>635</v>
      </c>
      <c r="H184" s="9" t="s">
        <v>592</v>
      </c>
      <c r="I184" s="10">
        <v>8040</v>
      </c>
      <c r="J184" s="10"/>
      <c r="K184" s="10">
        <f t="shared" si="97"/>
        <v>8040</v>
      </c>
      <c r="L184" s="131"/>
      <c r="M184" s="10"/>
      <c r="N184" s="10"/>
      <c r="O184" s="10">
        <f t="shared" si="98"/>
        <v>0</v>
      </c>
      <c r="Q184" s="10">
        <f t="shared" si="93"/>
        <v>8040</v>
      </c>
      <c r="R184" s="10">
        <f t="shared" si="103"/>
        <v>0</v>
      </c>
      <c r="S184" s="10">
        <f t="shared" si="104"/>
        <v>8040</v>
      </c>
    </row>
    <row r="185" spans="2:19" x14ac:dyDescent="0.25">
      <c r="B185" s="73">
        <f t="shared" si="99"/>
        <v>86</v>
      </c>
      <c r="C185" s="9"/>
      <c r="D185" s="9"/>
      <c r="E185" s="9"/>
      <c r="F185" s="43" t="s">
        <v>217</v>
      </c>
      <c r="G185" s="98">
        <v>636</v>
      </c>
      <c r="H185" s="9" t="s">
        <v>297</v>
      </c>
      <c r="I185" s="10">
        <f>37000-1000</f>
        <v>36000</v>
      </c>
      <c r="J185" s="10"/>
      <c r="K185" s="10">
        <f t="shared" si="97"/>
        <v>36000</v>
      </c>
      <c r="L185" s="131"/>
      <c r="M185" s="10"/>
      <c r="N185" s="10"/>
      <c r="O185" s="10">
        <f t="shared" si="98"/>
        <v>0</v>
      </c>
      <c r="Q185" s="10">
        <f t="shared" si="93"/>
        <v>36000</v>
      </c>
      <c r="R185" s="10">
        <f t="shared" si="103"/>
        <v>0</v>
      </c>
      <c r="S185" s="10">
        <f t="shared" si="104"/>
        <v>36000</v>
      </c>
    </row>
    <row r="186" spans="2:19" x14ac:dyDescent="0.25">
      <c r="B186" s="73">
        <f t="shared" si="99"/>
        <v>87</v>
      </c>
      <c r="C186" s="21"/>
      <c r="D186" s="21"/>
      <c r="E186" s="21"/>
      <c r="F186" s="42" t="s">
        <v>217</v>
      </c>
      <c r="G186" s="97">
        <v>710</v>
      </c>
      <c r="H186" s="21" t="s">
        <v>235</v>
      </c>
      <c r="I186" s="15"/>
      <c r="J186" s="15"/>
      <c r="K186" s="15">
        <f t="shared" si="97"/>
        <v>0</v>
      </c>
      <c r="L186" s="130"/>
      <c r="M186" s="15">
        <f>M187+M190</f>
        <v>49520</v>
      </c>
      <c r="N186" s="15">
        <f t="shared" ref="N186" si="111">N187+N190</f>
        <v>0</v>
      </c>
      <c r="O186" s="15">
        <f t="shared" si="98"/>
        <v>49520</v>
      </c>
      <c r="Q186" s="15">
        <f t="shared" si="93"/>
        <v>49520</v>
      </c>
      <c r="R186" s="15">
        <f t="shared" si="103"/>
        <v>0</v>
      </c>
      <c r="S186" s="15">
        <f t="shared" si="104"/>
        <v>49520</v>
      </c>
    </row>
    <row r="187" spans="2:19" x14ac:dyDescent="0.25">
      <c r="B187" s="73">
        <f t="shared" si="99"/>
        <v>88</v>
      </c>
      <c r="C187" s="9"/>
      <c r="D187" s="9"/>
      <c r="E187" s="9"/>
      <c r="F187" s="43" t="s">
        <v>217</v>
      </c>
      <c r="G187" s="98">
        <v>711</v>
      </c>
      <c r="H187" s="9" t="s">
        <v>236</v>
      </c>
      <c r="I187" s="10"/>
      <c r="J187" s="10"/>
      <c r="K187" s="10">
        <f t="shared" si="97"/>
        <v>0</v>
      </c>
      <c r="L187" s="131"/>
      <c r="M187" s="10">
        <f>M188+M189</f>
        <v>39520</v>
      </c>
      <c r="N187" s="10"/>
      <c r="O187" s="10">
        <f t="shared" si="98"/>
        <v>39520</v>
      </c>
      <c r="Q187" s="10">
        <f t="shared" si="93"/>
        <v>39520</v>
      </c>
      <c r="R187" s="10">
        <f t="shared" si="103"/>
        <v>0</v>
      </c>
      <c r="S187" s="10">
        <f t="shared" si="104"/>
        <v>39520</v>
      </c>
    </row>
    <row r="188" spans="2:19" x14ac:dyDescent="0.25">
      <c r="B188" s="73">
        <f t="shared" si="99"/>
        <v>89</v>
      </c>
      <c r="C188" s="12"/>
      <c r="D188" s="12"/>
      <c r="E188" s="12"/>
      <c r="F188" s="12"/>
      <c r="G188" s="99"/>
      <c r="H188" s="12" t="s">
        <v>268</v>
      </c>
      <c r="I188" s="13"/>
      <c r="J188" s="13"/>
      <c r="K188" s="13">
        <f t="shared" si="97"/>
        <v>0</v>
      </c>
      <c r="L188" s="132"/>
      <c r="M188" s="13">
        <f>20000+11000</f>
        <v>31000</v>
      </c>
      <c r="N188" s="13"/>
      <c r="O188" s="13">
        <f t="shared" si="98"/>
        <v>31000</v>
      </c>
      <c r="Q188" s="13">
        <f t="shared" si="93"/>
        <v>31000</v>
      </c>
      <c r="R188" s="13">
        <f t="shared" si="103"/>
        <v>0</v>
      </c>
      <c r="S188" s="13">
        <f t="shared" si="104"/>
        <v>31000</v>
      </c>
    </row>
    <row r="189" spans="2:19" ht="13.5" customHeight="1" x14ac:dyDescent="0.25">
      <c r="B189" s="73">
        <f t="shared" si="99"/>
        <v>90</v>
      </c>
      <c r="C189" s="12"/>
      <c r="D189" s="12"/>
      <c r="E189" s="12"/>
      <c r="F189" s="12"/>
      <c r="G189" s="99"/>
      <c r="H189" s="12" t="s">
        <v>593</v>
      </c>
      <c r="I189" s="13"/>
      <c r="J189" s="13"/>
      <c r="K189" s="13">
        <f t="shared" si="97"/>
        <v>0</v>
      </c>
      <c r="L189" s="132"/>
      <c r="M189" s="13">
        <v>8520</v>
      </c>
      <c r="N189" s="13"/>
      <c r="O189" s="13">
        <f t="shared" si="98"/>
        <v>8520</v>
      </c>
      <c r="Q189" s="13">
        <f t="shared" si="93"/>
        <v>8520</v>
      </c>
      <c r="R189" s="13">
        <f t="shared" si="103"/>
        <v>0</v>
      </c>
      <c r="S189" s="13">
        <f t="shared" si="104"/>
        <v>8520</v>
      </c>
    </row>
    <row r="190" spans="2:19" ht="12.75" customHeight="1" x14ac:dyDescent="0.25">
      <c r="B190" s="73">
        <f t="shared" si="99"/>
        <v>91</v>
      </c>
      <c r="C190" s="9"/>
      <c r="D190" s="9"/>
      <c r="E190" s="9"/>
      <c r="F190" s="43" t="s">
        <v>217</v>
      </c>
      <c r="G190" s="98">
        <v>713</v>
      </c>
      <c r="H190" s="9" t="s">
        <v>263</v>
      </c>
      <c r="I190" s="10"/>
      <c r="J190" s="10"/>
      <c r="K190" s="10">
        <f t="shared" si="97"/>
        <v>0</v>
      </c>
      <c r="L190" s="131"/>
      <c r="M190" s="10">
        <f>M191</f>
        <v>10000</v>
      </c>
      <c r="N190" s="10">
        <f t="shared" ref="N190" si="112">N191</f>
        <v>0</v>
      </c>
      <c r="O190" s="10">
        <f t="shared" si="98"/>
        <v>10000</v>
      </c>
      <c r="Q190" s="13">
        <f t="shared" si="93"/>
        <v>10000</v>
      </c>
      <c r="R190" s="13">
        <f t="shared" si="103"/>
        <v>0</v>
      </c>
      <c r="S190" s="13">
        <f t="shared" si="104"/>
        <v>10000</v>
      </c>
    </row>
    <row r="191" spans="2:19" ht="15" customHeight="1" x14ac:dyDescent="0.25">
      <c r="B191" s="73">
        <f t="shared" si="99"/>
        <v>92</v>
      </c>
      <c r="C191" s="12"/>
      <c r="D191" s="12"/>
      <c r="E191" s="12"/>
      <c r="F191" s="12"/>
      <c r="G191" s="99"/>
      <c r="H191" s="12" t="s">
        <v>269</v>
      </c>
      <c r="I191" s="13"/>
      <c r="J191" s="13"/>
      <c r="K191" s="13">
        <f t="shared" si="97"/>
        <v>0</v>
      </c>
      <c r="L191" s="132"/>
      <c r="M191" s="13">
        <v>10000</v>
      </c>
      <c r="N191" s="13"/>
      <c r="O191" s="13">
        <f t="shared" si="98"/>
        <v>10000</v>
      </c>
      <c r="Q191" s="13">
        <f t="shared" si="93"/>
        <v>10000</v>
      </c>
      <c r="R191" s="13">
        <f t="shared" si="103"/>
        <v>0</v>
      </c>
      <c r="S191" s="13">
        <f t="shared" si="104"/>
        <v>10000</v>
      </c>
    </row>
    <row r="192" spans="2:19" ht="15.75" x14ac:dyDescent="0.25">
      <c r="B192" s="73">
        <f t="shared" si="99"/>
        <v>93</v>
      </c>
      <c r="C192" s="34">
        <v>8</v>
      </c>
      <c r="D192" s="227" t="s">
        <v>270</v>
      </c>
      <c r="E192" s="228"/>
      <c r="F192" s="228"/>
      <c r="G192" s="228"/>
      <c r="H192" s="229"/>
      <c r="I192" s="35">
        <f>I193</f>
        <v>30000</v>
      </c>
      <c r="J192" s="35">
        <f t="shared" ref="J192" si="113">J193</f>
        <v>0</v>
      </c>
      <c r="K192" s="35">
        <f t="shared" si="97"/>
        <v>30000</v>
      </c>
      <c r="L192" s="135"/>
      <c r="M192" s="35">
        <f>M196</f>
        <v>13000</v>
      </c>
      <c r="N192" s="35">
        <f t="shared" ref="N192" si="114">N196</f>
        <v>0</v>
      </c>
      <c r="O192" s="35">
        <f t="shared" si="98"/>
        <v>13000</v>
      </c>
      <c r="Q192" s="35">
        <f t="shared" si="93"/>
        <v>43000</v>
      </c>
      <c r="R192" s="35">
        <f t="shared" si="103"/>
        <v>0</v>
      </c>
      <c r="S192" s="35">
        <f t="shared" si="104"/>
        <v>43000</v>
      </c>
    </row>
    <row r="193" spans="2:19" x14ac:dyDescent="0.25">
      <c r="B193" s="73">
        <f t="shared" si="99"/>
        <v>94</v>
      </c>
      <c r="C193" s="21"/>
      <c r="D193" s="21"/>
      <c r="E193" s="21"/>
      <c r="F193" s="42" t="s">
        <v>217</v>
      </c>
      <c r="G193" s="97">
        <v>630</v>
      </c>
      <c r="H193" s="21" t="s">
        <v>218</v>
      </c>
      <c r="I193" s="15">
        <f>SUM(I194:I195)</f>
        <v>30000</v>
      </c>
      <c r="J193" s="15">
        <f t="shared" ref="J193" si="115">SUM(J194:J195)</f>
        <v>0</v>
      </c>
      <c r="K193" s="15">
        <f t="shared" si="97"/>
        <v>30000</v>
      </c>
      <c r="L193" s="130"/>
      <c r="M193" s="15"/>
      <c r="N193" s="15"/>
      <c r="O193" s="15">
        <f t="shared" si="98"/>
        <v>0</v>
      </c>
      <c r="Q193" s="15">
        <f t="shared" si="93"/>
        <v>30000</v>
      </c>
      <c r="R193" s="15">
        <f t="shared" si="103"/>
        <v>0</v>
      </c>
      <c r="S193" s="15">
        <f t="shared" si="104"/>
        <v>30000</v>
      </c>
    </row>
    <row r="194" spans="2:19" x14ac:dyDescent="0.25">
      <c r="B194" s="73">
        <f t="shared" si="99"/>
        <v>95</v>
      </c>
      <c r="C194" s="9"/>
      <c r="D194" s="9"/>
      <c r="E194" s="9"/>
      <c r="F194" s="43" t="s">
        <v>217</v>
      </c>
      <c r="G194" s="98">
        <v>634</v>
      </c>
      <c r="H194" s="9" t="s">
        <v>221</v>
      </c>
      <c r="I194" s="10">
        <v>29390</v>
      </c>
      <c r="J194" s="10"/>
      <c r="K194" s="10">
        <f t="shared" si="97"/>
        <v>29390</v>
      </c>
      <c r="L194" s="131"/>
      <c r="M194" s="10"/>
      <c r="N194" s="10"/>
      <c r="O194" s="10">
        <f t="shared" si="98"/>
        <v>0</v>
      </c>
      <c r="Q194" s="10">
        <f t="shared" si="93"/>
        <v>29390</v>
      </c>
      <c r="R194" s="10">
        <f t="shared" si="103"/>
        <v>0</v>
      </c>
      <c r="S194" s="10">
        <f t="shared" si="104"/>
        <v>29390</v>
      </c>
    </row>
    <row r="195" spans="2:19" x14ac:dyDescent="0.25">
      <c r="B195" s="73">
        <f t="shared" si="99"/>
        <v>96</v>
      </c>
      <c r="C195" s="9"/>
      <c r="D195" s="9"/>
      <c r="E195" s="9"/>
      <c r="F195" s="43" t="s">
        <v>217</v>
      </c>
      <c r="G195" s="98">
        <v>637</v>
      </c>
      <c r="H195" s="9" t="s">
        <v>223</v>
      </c>
      <c r="I195" s="10">
        <v>610</v>
      </c>
      <c r="J195" s="10"/>
      <c r="K195" s="10">
        <f t="shared" si="97"/>
        <v>610</v>
      </c>
      <c r="L195" s="131"/>
      <c r="M195" s="10"/>
      <c r="N195" s="10"/>
      <c r="O195" s="10">
        <f t="shared" si="98"/>
        <v>0</v>
      </c>
      <c r="Q195" s="10">
        <f t="shared" si="93"/>
        <v>610</v>
      </c>
      <c r="R195" s="10">
        <f t="shared" si="103"/>
        <v>0</v>
      </c>
      <c r="S195" s="10">
        <f t="shared" si="104"/>
        <v>610</v>
      </c>
    </row>
    <row r="196" spans="2:19" x14ac:dyDescent="0.25">
      <c r="B196" s="73">
        <f t="shared" si="99"/>
        <v>97</v>
      </c>
      <c r="C196" s="21"/>
      <c r="D196" s="21"/>
      <c r="E196" s="21"/>
      <c r="F196" s="42" t="s">
        <v>217</v>
      </c>
      <c r="G196" s="97">
        <v>710</v>
      </c>
      <c r="H196" s="21" t="s">
        <v>235</v>
      </c>
      <c r="I196" s="15"/>
      <c r="J196" s="15"/>
      <c r="K196" s="15">
        <f t="shared" si="97"/>
        <v>0</v>
      </c>
      <c r="L196" s="130"/>
      <c r="M196" s="15">
        <f>M197</f>
        <v>13000</v>
      </c>
      <c r="N196" s="15">
        <f t="shared" ref="N196:N197" si="116">N197</f>
        <v>0</v>
      </c>
      <c r="O196" s="15">
        <f t="shared" si="98"/>
        <v>13000</v>
      </c>
      <c r="Q196" s="15">
        <f t="shared" si="93"/>
        <v>13000</v>
      </c>
      <c r="R196" s="15">
        <f t="shared" si="103"/>
        <v>0</v>
      </c>
      <c r="S196" s="15">
        <f t="shared" si="104"/>
        <v>13000</v>
      </c>
    </row>
    <row r="197" spans="2:19" x14ac:dyDescent="0.25">
      <c r="B197" s="73">
        <f t="shared" si="99"/>
        <v>98</v>
      </c>
      <c r="C197" s="9"/>
      <c r="D197" s="9"/>
      <c r="E197" s="9"/>
      <c r="F197" s="43" t="s">
        <v>217</v>
      </c>
      <c r="G197" s="98">
        <v>714</v>
      </c>
      <c r="H197" s="9" t="s">
        <v>271</v>
      </c>
      <c r="I197" s="10"/>
      <c r="J197" s="10"/>
      <c r="K197" s="10">
        <f t="shared" si="97"/>
        <v>0</v>
      </c>
      <c r="L197" s="131"/>
      <c r="M197" s="10">
        <f>M198</f>
        <v>13000</v>
      </c>
      <c r="N197" s="10">
        <f t="shared" si="116"/>
        <v>0</v>
      </c>
      <c r="O197" s="10">
        <f t="shared" si="98"/>
        <v>13000</v>
      </c>
      <c r="Q197" s="10">
        <f t="shared" si="93"/>
        <v>13000</v>
      </c>
      <c r="R197" s="10">
        <f t="shared" si="103"/>
        <v>0</v>
      </c>
      <c r="S197" s="10">
        <f t="shared" si="104"/>
        <v>13000</v>
      </c>
    </row>
    <row r="198" spans="2:19" x14ac:dyDescent="0.25">
      <c r="B198" s="73">
        <f t="shared" si="99"/>
        <v>99</v>
      </c>
      <c r="C198" s="12"/>
      <c r="D198" s="12"/>
      <c r="E198" s="12"/>
      <c r="F198" s="12"/>
      <c r="G198" s="99"/>
      <c r="H198" s="12" t="s">
        <v>272</v>
      </c>
      <c r="I198" s="13"/>
      <c r="J198" s="13"/>
      <c r="K198" s="13">
        <f t="shared" si="97"/>
        <v>0</v>
      </c>
      <c r="L198" s="132"/>
      <c r="M198" s="13">
        <v>13000</v>
      </c>
      <c r="N198" s="13"/>
      <c r="O198" s="13">
        <f t="shared" si="98"/>
        <v>13000</v>
      </c>
      <c r="Q198" s="13">
        <f t="shared" si="93"/>
        <v>13000</v>
      </c>
      <c r="R198" s="13">
        <f t="shared" si="103"/>
        <v>0</v>
      </c>
      <c r="S198" s="13">
        <f t="shared" si="104"/>
        <v>13000</v>
      </c>
    </row>
    <row r="234" spans="2:19" s="80" customFormat="1" ht="27" x14ac:dyDescent="0.35">
      <c r="B234" s="231" t="s">
        <v>273</v>
      </c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/>
      <c r="O234"/>
      <c r="P234"/>
      <c r="Q234"/>
    </row>
    <row r="235" spans="2:19" x14ac:dyDescent="0.25">
      <c r="B235" s="233" t="s">
        <v>208</v>
      </c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5"/>
      <c r="N235" s="169"/>
      <c r="O235" s="170"/>
      <c r="Q235" s="236" t="s">
        <v>563</v>
      </c>
      <c r="R235" s="221" t="s">
        <v>635</v>
      </c>
      <c r="S235" s="221" t="s">
        <v>636</v>
      </c>
    </row>
    <row r="236" spans="2:19" x14ac:dyDescent="0.25">
      <c r="B236" s="237"/>
      <c r="C236" s="240" t="s">
        <v>209</v>
      </c>
      <c r="D236" s="240" t="s">
        <v>210</v>
      </c>
      <c r="E236" s="240" t="s">
        <v>211</v>
      </c>
      <c r="F236" s="240" t="s">
        <v>212</v>
      </c>
      <c r="G236" s="243" t="s">
        <v>213</v>
      </c>
      <c r="H236" s="245" t="s">
        <v>214</v>
      </c>
      <c r="I236" s="248" t="s">
        <v>561</v>
      </c>
      <c r="J236" s="222" t="s">
        <v>635</v>
      </c>
      <c r="K236" s="222" t="s">
        <v>637</v>
      </c>
      <c r="L236" s="129"/>
      <c r="M236" s="250" t="s">
        <v>562</v>
      </c>
      <c r="N236" s="222" t="s">
        <v>635</v>
      </c>
      <c r="O236" s="222" t="s">
        <v>638</v>
      </c>
      <c r="Q236" s="236"/>
      <c r="R236" s="222"/>
      <c r="S236" s="222"/>
    </row>
    <row r="237" spans="2:19" x14ac:dyDescent="0.25">
      <c r="B237" s="238"/>
      <c r="C237" s="241"/>
      <c r="D237" s="241"/>
      <c r="E237" s="241"/>
      <c r="F237" s="241"/>
      <c r="G237" s="243"/>
      <c r="H237" s="246"/>
      <c r="I237" s="248"/>
      <c r="J237" s="222"/>
      <c r="K237" s="222"/>
      <c r="L237" s="129"/>
      <c r="M237" s="250"/>
      <c r="N237" s="222"/>
      <c r="O237" s="222"/>
      <c r="Q237" s="236"/>
      <c r="R237" s="222"/>
      <c r="S237" s="222"/>
    </row>
    <row r="238" spans="2:19" x14ac:dyDescent="0.25">
      <c r="B238" s="238"/>
      <c r="C238" s="241"/>
      <c r="D238" s="241"/>
      <c r="E238" s="241"/>
      <c r="F238" s="241"/>
      <c r="G238" s="243"/>
      <c r="H238" s="246"/>
      <c r="I238" s="248"/>
      <c r="J238" s="222"/>
      <c r="K238" s="222"/>
      <c r="L238" s="129"/>
      <c r="M238" s="250"/>
      <c r="N238" s="222"/>
      <c r="O238" s="222"/>
      <c r="Q238" s="236"/>
      <c r="R238" s="222"/>
      <c r="S238" s="222"/>
    </row>
    <row r="239" spans="2:19" ht="15.75" thickBot="1" x14ac:dyDescent="0.3">
      <c r="B239" s="239"/>
      <c r="C239" s="242"/>
      <c r="D239" s="242"/>
      <c r="E239" s="242"/>
      <c r="F239" s="242"/>
      <c r="G239" s="244"/>
      <c r="H239" s="247"/>
      <c r="I239" s="249"/>
      <c r="J239" s="223"/>
      <c r="K239" s="223"/>
      <c r="L239" s="129"/>
      <c r="M239" s="251"/>
      <c r="N239" s="223"/>
      <c r="O239" s="223"/>
      <c r="Q239" s="236"/>
      <c r="R239" s="223"/>
      <c r="S239" s="223"/>
    </row>
    <row r="240" spans="2:19" ht="16.5" thickTop="1" x14ac:dyDescent="0.25">
      <c r="B240" s="74">
        <v>1</v>
      </c>
      <c r="C240" s="224" t="s">
        <v>273</v>
      </c>
      <c r="D240" s="225"/>
      <c r="E240" s="225"/>
      <c r="F240" s="225"/>
      <c r="G240" s="225"/>
      <c r="H240" s="226"/>
      <c r="I240" s="33">
        <f>I241+I246+I258+I269+I279+I290+I301</f>
        <v>548238</v>
      </c>
      <c r="J240" s="33">
        <f t="shared" ref="J240" si="117">J241+J246+J258+J269+J279+J290+J301</f>
        <v>4025</v>
      </c>
      <c r="K240" s="33">
        <f>I240+J240</f>
        <v>552263</v>
      </c>
      <c r="L240" s="134"/>
      <c r="M240" s="33">
        <f>M241+M246+M258+M269+M279+M290+M301</f>
        <v>20962</v>
      </c>
      <c r="N240" s="33">
        <f t="shared" ref="N240" si="118">N241+N246+N258+N269+N279+N290+N301</f>
        <v>0</v>
      </c>
      <c r="O240" s="33">
        <f>M240+N240</f>
        <v>20962</v>
      </c>
      <c r="Q240" s="33">
        <f t="shared" ref="Q240:Q305" si="119">M240+I240</f>
        <v>569200</v>
      </c>
      <c r="R240" s="33">
        <f t="shared" ref="R240:R305" si="120">N240+J240</f>
        <v>4025</v>
      </c>
      <c r="S240" s="33">
        <f t="shared" ref="S240:S305" si="121">O240+K240</f>
        <v>573225</v>
      </c>
    </row>
    <row r="241" spans="2:22" ht="15.75" x14ac:dyDescent="0.25">
      <c r="B241" s="73">
        <f>B240+1</f>
        <v>2</v>
      </c>
      <c r="C241" s="34">
        <v>1</v>
      </c>
      <c r="D241" s="227" t="s">
        <v>274</v>
      </c>
      <c r="E241" s="228"/>
      <c r="F241" s="228"/>
      <c r="G241" s="228"/>
      <c r="H241" s="229"/>
      <c r="I241" s="35">
        <f>I242+I243</f>
        <v>27500</v>
      </c>
      <c r="J241" s="35">
        <f t="shared" ref="J241" si="122">J242+J243</f>
        <v>0</v>
      </c>
      <c r="K241" s="35">
        <f t="shared" ref="K241:K306" si="123">I241+J241</f>
        <v>27500</v>
      </c>
      <c r="L241" s="135"/>
      <c r="M241" s="35">
        <v>0</v>
      </c>
      <c r="N241" s="35">
        <v>0</v>
      </c>
      <c r="O241" s="35">
        <f t="shared" ref="O241:O306" si="124">M241+N241</f>
        <v>0</v>
      </c>
      <c r="Q241" s="35">
        <f t="shared" si="119"/>
        <v>27500</v>
      </c>
      <c r="R241" s="35">
        <f t="shared" si="120"/>
        <v>0</v>
      </c>
      <c r="S241" s="35">
        <f t="shared" si="121"/>
        <v>27500</v>
      </c>
    </row>
    <row r="242" spans="2:22" ht="14.25" customHeight="1" x14ac:dyDescent="0.25">
      <c r="B242" s="73">
        <f>B241+1</f>
        <v>3</v>
      </c>
      <c r="C242" s="21"/>
      <c r="D242" s="21"/>
      <c r="E242" s="21"/>
      <c r="F242" s="42" t="s">
        <v>249</v>
      </c>
      <c r="G242" s="97">
        <v>620</v>
      </c>
      <c r="H242" s="21" t="s">
        <v>228</v>
      </c>
      <c r="I242" s="15">
        <v>3900</v>
      </c>
      <c r="J242" s="15"/>
      <c r="K242" s="15">
        <f t="shared" si="123"/>
        <v>3900</v>
      </c>
      <c r="L242" s="130"/>
      <c r="M242" s="15"/>
      <c r="N242" s="15"/>
      <c r="O242" s="15">
        <f t="shared" si="124"/>
        <v>0</v>
      </c>
      <c r="Q242" s="15">
        <f t="shared" si="119"/>
        <v>3900</v>
      </c>
      <c r="R242" s="15">
        <f t="shared" si="120"/>
        <v>0</v>
      </c>
      <c r="S242" s="15">
        <f t="shared" si="121"/>
        <v>3900</v>
      </c>
    </row>
    <row r="243" spans="2:22" ht="15" customHeight="1" x14ac:dyDescent="0.25">
      <c r="B243" s="73">
        <f>B242+1</f>
        <v>4</v>
      </c>
      <c r="C243" s="21"/>
      <c r="D243" s="21"/>
      <c r="E243" s="21"/>
      <c r="F243" s="42" t="s">
        <v>249</v>
      </c>
      <c r="G243" s="97">
        <v>630</v>
      </c>
      <c r="H243" s="21" t="s">
        <v>218</v>
      </c>
      <c r="I243" s="15">
        <f>SUM(I244:I245)</f>
        <v>23600</v>
      </c>
      <c r="J243" s="15">
        <f t="shared" ref="J243" si="125">SUM(J244:J245)</f>
        <v>0</v>
      </c>
      <c r="K243" s="15">
        <f t="shared" si="123"/>
        <v>23600</v>
      </c>
      <c r="L243" s="130"/>
      <c r="M243" s="15"/>
      <c r="N243" s="15"/>
      <c r="O243" s="15">
        <f t="shared" si="124"/>
        <v>0</v>
      </c>
      <c r="Q243" s="15">
        <f t="shared" si="119"/>
        <v>23600</v>
      </c>
      <c r="R243" s="15">
        <f t="shared" si="120"/>
        <v>0</v>
      </c>
      <c r="S243" s="15">
        <f t="shared" si="121"/>
        <v>23600</v>
      </c>
    </row>
    <row r="244" spans="2:22" ht="14.25" customHeight="1" x14ac:dyDescent="0.25">
      <c r="B244" s="73">
        <f t="shared" ref="B244:B307" si="126">B243+1</f>
        <v>5</v>
      </c>
      <c r="C244" s="9"/>
      <c r="D244" s="9"/>
      <c r="E244" s="9"/>
      <c r="F244" s="43" t="s">
        <v>249</v>
      </c>
      <c r="G244" s="98">
        <v>633</v>
      </c>
      <c r="H244" s="9" t="s">
        <v>220</v>
      </c>
      <c r="I244" s="10">
        <v>3100</v>
      </c>
      <c r="J244" s="10"/>
      <c r="K244" s="10">
        <f t="shared" si="123"/>
        <v>3100</v>
      </c>
      <c r="L244" s="131"/>
      <c r="M244" s="10"/>
      <c r="N244" s="10"/>
      <c r="O244" s="10">
        <f t="shared" si="124"/>
        <v>0</v>
      </c>
      <c r="Q244" s="10">
        <f t="shared" si="119"/>
        <v>3100</v>
      </c>
      <c r="R244" s="10">
        <f t="shared" si="120"/>
        <v>0</v>
      </c>
      <c r="S244" s="10">
        <f t="shared" si="121"/>
        <v>3100</v>
      </c>
    </row>
    <row r="245" spans="2:22" x14ac:dyDescent="0.25">
      <c r="B245" s="73">
        <f t="shared" si="126"/>
        <v>6</v>
      </c>
      <c r="C245" s="9"/>
      <c r="D245" s="9"/>
      <c r="E245" s="9"/>
      <c r="F245" s="43" t="s">
        <v>249</v>
      </c>
      <c r="G245" s="98">
        <v>637</v>
      </c>
      <c r="H245" s="9" t="s">
        <v>223</v>
      </c>
      <c r="I245" s="10">
        <v>20500</v>
      </c>
      <c r="J245" s="10"/>
      <c r="K245" s="10">
        <f t="shared" si="123"/>
        <v>20500</v>
      </c>
      <c r="L245" s="131"/>
      <c r="M245" s="10"/>
      <c r="N245" s="10"/>
      <c r="O245" s="10">
        <f t="shared" si="124"/>
        <v>0</v>
      </c>
      <c r="Q245" s="10">
        <f t="shared" si="119"/>
        <v>20500</v>
      </c>
      <c r="R245" s="10">
        <f t="shared" si="120"/>
        <v>0</v>
      </c>
      <c r="S245" s="10">
        <f t="shared" si="121"/>
        <v>20500</v>
      </c>
    </row>
    <row r="246" spans="2:22" ht="15.75" x14ac:dyDescent="0.25">
      <c r="B246" s="73">
        <f t="shared" si="126"/>
        <v>7</v>
      </c>
      <c r="C246" s="34">
        <v>2</v>
      </c>
      <c r="D246" s="227" t="s">
        <v>275</v>
      </c>
      <c r="E246" s="228"/>
      <c r="F246" s="228"/>
      <c r="G246" s="228"/>
      <c r="H246" s="229"/>
      <c r="I246" s="35">
        <f>I247+I248+I249+I256</f>
        <v>99400</v>
      </c>
      <c r="J246" s="35">
        <f t="shared" ref="J246" si="127">J247+J248+J249+J256</f>
        <v>2368</v>
      </c>
      <c r="K246" s="35">
        <f t="shared" si="123"/>
        <v>101768</v>
      </c>
      <c r="L246" s="135"/>
      <c r="M246" s="35">
        <v>0</v>
      </c>
      <c r="N246" s="35">
        <v>0</v>
      </c>
      <c r="O246" s="35">
        <f t="shared" si="124"/>
        <v>0</v>
      </c>
      <c r="Q246" s="35">
        <f t="shared" si="119"/>
        <v>99400</v>
      </c>
      <c r="R246" s="35">
        <f t="shared" si="120"/>
        <v>2368</v>
      </c>
      <c r="S246" s="35">
        <f t="shared" si="121"/>
        <v>101768</v>
      </c>
    </row>
    <row r="247" spans="2:22" x14ac:dyDescent="0.25">
      <c r="B247" s="73">
        <f t="shared" si="126"/>
        <v>8</v>
      </c>
      <c r="C247" s="21"/>
      <c r="D247" s="21"/>
      <c r="E247" s="21"/>
      <c r="F247" s="42" t="s">
        <v>276</v>
      </c>
      <c r="G247" s="97">
        <v>610</v>
      </c>
      <c r="H247" s="21" t="s">
        <v>245</v>
      </c>
      <c r="I247" s="15">
        <v>61700</v>
      </c>
      <c r="J247" s="15"/>
      <c r="K247" s="15">
        <f t="shared" si="123"/>
        <v>61700</v>
      </c>
      <c r="L247" s="130"/>
      <c r="M247" s="15"/>
      <c r="N247" s="15"/>
      <c r="O247" s="15">
        <f t="shared" si="124"/>
        <v>0</v>
      </c>
      <c r="Q247" s="15">
        <f t="shared" si="119"/>
        <v>61700</v>
      </c>
      <c r="R247" s="15">
        <f t="shared" si="120"/>
        <v>0</v>
      </c>
      <c r="S247" s="15">
        <f t="shared" si="121"/>
        <v>61700</v>
      </c>
    </row>
    <row r="248" spans="2:22" x14ac:dyDescent="0.25">
      <c r="B248" s="73">
        <f t="shared" si="126"/>
        <v>9</v>
      </c>
      <c r="C248" s="21"/>
      <c r="D248" s="21"/>
      <c r="E248" s="21"/>
      <c r="F248" s="42" t="s">
        <v>276</v>
      </c>
      <c r="G248" s="97">
        <v>620</v>
      </c>
      <c r="H248" s="21" t="s">
        <v>228</v>
      </c>
      <c r="I248" s="15">
        <v>23800</v>
      </c>
      <c r="J248" s="15"/>
      <c r="K248" s="15">
        <f t="shared" si="123"/>
        <v>23800</v>
      </c>
      <c r="L248" s="130"/>
      <c r="M248" s="15"/>
      <c r="N248" s="15"/>
      <c r="O248" s="15">
        <f t="shared" si="124"/>
        <v>0</v>
      </c>
      <c r="Q248" s="15">
        <f t="shared" si="119"/>
        <v>23800</v>
      </c>
      <c r="R248" s="15">
        <f t="shared" si="120"/>
        <v>0</v>
      </c>
      <c r="S248" s="15">
        <f t="shared" si="121"/>
        <v>23800</v>
      </c>
    </row>
    <row r="249" spans="2:22" x14ac:dyDescent="0.25">
      <c r="B249" s="73">
        <f t="shared" si="126"/>
        <v>10</v>
      </c>
      <c r="C249" s="21"/>
      <c r="D249" s="21"/>
      <c r="E249" s="21"/>
      <c r="F249" s="42" t="s">
        <v>276</v>
      </c>
      <c r="G249" s="97">
        <v>630</v>
      </c>
      <c r="H249" s="21" t="s">
        <v>218</v>
      </c>
      <c r="I249" s="15">
        <f>SUM(I250:I254)</f>
        <v>13600</v>
      </c>
      <c r="J249" s="15">
        <f>SUM(J250:J255)</f>
        <v>2368</v>
      </c>
      <c r="K249" s="15">
        <f t="shared" si="123"/>
        <v>15968</v>
      </c>
      <c r="L249" s="130"/>
      <c r="M249" s="15"/>
      <c r="N249" s="15"/>
      <c r="O249" s="15">
        <f t="shared" si="124"/>
        <v>0</v>
      </c>
      <c r="Q249" s="15">
        <f t="shared" si="119"/>
        <v>13600</v>
      </c>
      <c r="R249" s="15">
        <f t="shared" si="120"/>
        <v>2368</v>
      </c>
      <c r="S249" s="15">
        <f t="shared" si="121"/>
        <v>15968</v>
      </c>
    </row>
    <row r="250" spans="2:22" ht="17.25" customHeight="1" x14ac:dyDescent="0.25">
      <c r="B250" s="73">
        <f t="shared" si="126"/>
        <v>11</v>
      </c>
      <c r="C250" s="9"/>
      <c r="D250" s="9"/>
      <c r="E250" s="9"/>
      <c r="F250" s="43" t="s">
        <v>276</v>
      </c>
      <c r="G250" s="98">
        <v>631</v>
      </c>
      <c r="H250" s="9" t="s">
        <v>219</v>
      </c>
      <c r="I250" s="10">
        <v>500</v>
      </c>
      <c r="J250" s="10"/>
      <c r="K250" s="10">
        <f t="shared" si="123"/>
        <v>500</v>
      </c>
      <c r="L250" s="131"/>
      <c r="M250" s="10"/>
      <c r="N250" s="10"/>
      <c r="O250" s="10">
        <f t="shared" si="124"/>
        <v>0</v>
      </c>
      <c r="Q250" s="10">
        <f t="shared" si="119"/>
        <v>500</v>
      </c>
      <c r="R250" s="10">
        <f t="shared" si="120"/>
        <v>0</v>
      </c>
      <c r="S250" s="10">
        <f t="shared" si="121"/>
        <v>500</v>
      </c>
    </row>
    <row r="251" spans="2:22" ht="21" customHeight="1" x14ac:dyDescent="0.25">
      <c r="B251" s="73">
        <f t="shared" si="126"/>
        <v>12</v>
      </c>
      <c r="C251" s="9"/>
      <c r="D251" s="9"/>
      <c r="E251" s="9"/>
      <c r="F251" s="43" t="s">
        <v>276</v>
      </c>
      <c r="G251" s="98">
        <v>632</v>
      </c>
      <c r="H251" s="9" t="s">
        <v>229</v>
      </c>
      <c r="I251" s="10">
        <v>1800</v>
      </c>
      <c r="J251" s="10"/>
      <c r="K251" s="10">
        <f t="shared" si="123"/>
        <v>1800</v>
      </c>
      <c r="L251" s="131"/>
      <c r="M251" s="10"/>
      <c r="N251" s="10"/>
      <c r="O251" s="10">
        <f t="shared" si="124"/>
        <v>0</v>
      </c>
      <c r="Q251" s="10">
        <f t="shared" si="119"/>
        <v>1800</v>
      </c>
      <c r="R251" s="10">
        <f t="shared" si="120"/>
        <v>0</v>
      </c>
      <c r="S251" s="10">
        <f t="shared" si="121"/>
        <v>1800</v>
      </c>
    </row>
    <row r="252" spans="2:22" ht="16.5" customHeight="1" x14ac:dyDescent="0.25">
      <c r="B252" s="73">
        <f t="shared" si="126"/>
        <v>13</v>
      </c>
      <c r="C252" s="9"/>
      <c r="D252" s="9"/>
      <c r="E252" s="9"/>
      <c r="F252" s="43" t="s">
        <v>276</v>
      </c>
      <c r="G252" s="98">
        <v>633</v>
      </c>
      <c r="H252" s="9" t="s">
        <v>220</v>
      </c>
      <c r="I252" s="10">
        <f>4300-140</f>
        <v>4160</v>
      </c>
      <c r="J252" s="10"/>
      <c r="K252" s="10">
        <f t="shared" si="123"/>
        <v>4160</v>
      </c>
      <c r="L252" s="131"/>
      <c r="M252" s="10"/>
      <c r="N252" s="10"/>
      <c r="O252" s="10">
        <f t="shared" si="124"/>
        <v>0</v>
      </c>
      <c r="Q252" s="10">
        <f t="shared" si="119"/>
        <v>4160</v>
      </c>
      <c r="R252" s="10">
        <f t="shared" si="120"/>
        <v>0</v>
      </c>
      <c r="S252" s="10">
        <f t="shared" si="121"/>
        <v>4160</v>
      </c>
    </row>
    <row r="253" spans="2:22" x14ac:dyDescent="0.25">
      <c r="B253" s="73">
        <f t="shared" si="126"/>
        <v>14</v>
      </c>
      <c r="C253" s="9"/>
      <c r="D253" s="9"/>
      <c r="E253" s="9"/>
      <c r="F253" s="43" t="s">
        <v>276</v>
      </c>
      <c r="G253" s="98">
        <v>635</v>
      </c>
      <c r="H253" s="9" t="s">
        <v>234</v>
      </c>
      <c r="I253" s="10">
        <f>100+140</f>
        <v>240</v>
      </c>
      <c r="J253" s="10"/>
      <c r="K253" s="10">
        <f t="shared" si="123"/>
        <v>240</v>
      </c>
      <c r="L253" s="131"/>
      <c r="M253" s="10"/>
      <c r="N253" s="10"/>
      <c r="O253" s="10">
        <f t="shared" si="124"/>
        <v>0</v>
      </c>
      <c r="Q253" s="10">
        <f t="shared" si="119"/>
        <v>240</v>
      </c>
      <c r="R253" s="10">
        <f t="shared" si="120"/>
        <v>0</v>
      </c>
      <c r="S253" s="10">
        <f t="shared" si="121"/>
        <v>240</v>
      </c>
    </row>
    <row r="254" spans="2:22" x14ac:dyDescent="0.25">
      <c r="B254" s="73">
        <f t="shared" si="126"/>
        <v>15</v>
      </c>
      <c r="C254" s="9"/>
      <c r="D254" s="9"/>
      <c r="E254" s="9"/>
      <c r="F254" s="43" t="s">
        <v>276</v>
      </c>
      <c r="G254" s="98">
        <v>637</v>
      </c>
      <c r="H254" s="9" t="s">
        <v>223</v>
      </c>
      <c r="I254" s="10">
        <v>6900</v>
      </c>
      <c r="J254" s="10"/>
      <c r="K254" s="10">
        <f t="shared" si="123"/>
        <v>6900</v>
      </c>
      <c r="L254" s="131"/>
      <c r="M254" s="10"/>
      <c r="N254" s="10"/>
      <c r="O254" s="10">
        <f t="shared" si="124"/>
        <v>0</v>
      </c>
      <c r="Q254" s="10">
        <f t="shared" si="119"/>
        <v>6900</v>
      </c>
      <c r="R254" s="10">
        <f t="shared" si="120"/>
        <v>0</v>
      </c>
      <c r="S254" s="10">
        <f t="shared" si="121"/>
        <v>6900</v>
      </c>
      <c r="V254" s="11"/>
    </row>
    <row r="255" spans="2:22" x14ac:dyDescent="0.25">
      <c r="B255" s="73">
        <f t="shared" si="126"/>
        <v>16</v>
      </c>
      <c r="C255" s="9"/>
      <c r="D255" s="9"/>
      <c r="E255" s="9"/>
      <c r="F255" s="43" t="s">
        <v>276</v>
      </c>
      <c r="G255" s="98">
        <v>630</v>
      </c>
      <c r="H255" s="9" t="s">
        <v>661</v>
      </c>
      <c r="I255" s="10">
        <v>0</v>
      </c>
      <c r="J255" s="10">
        <v>2368</v>
      </c>
      <c r="K255" s="10">
        <f t="shared" si="123"/>
        <v>2368</v>
      </c>
      <c r="L255" s="131"/>
      <c r="M255" s="10"/>
      <c r="N255" s="10"/>
      <c r="O255" s="10">
        <f t="shared" ref="O255" si="128">M255+N255</f>
        <v>0</v>
      </c>
      <c r="Q255" s="10">
        <f t="shared" ref="Q255" si="129">M255+I255</f>
        <v>0</v>
      </c>
      <c r="R255" s="10">
        <f t="shared" ref="R255" si="130">N255+J255</f>
        <v>2368</v>
      </c>
      <c r="S255" s="10">
        <f t="shared" ref="S255" si="131">O255+K255</f>
        <v>2368</v>
      </c>
    </row>
    <row r="256" spans="2:22" x14ac:dyDescent="0.25">
      <c r="B256" s="73">
        <f t="shared" si="126"/>
        <v>17</v>
      </c>
      <c r="C256" s="21"/>
      <c r="D256" s="21"/>
      <c r="E256" s="21"/>
      <c r="F256" s="42" t="s">
        <v>276</v>
      </c>
      <c r="G256" s="97">
        <v>640</v>
      </c>
      <c r="H256" s="21" t="s">
        <v>230</v>
      </c>
      <c r="I256" s="15">
        <f>I257</f>
        <v>300</v>
      </c>
      <c r="J256" s="15">
        <f t="shared" ref="J256" si="132">J257</f>
        <v>0</v>
      </c>
      <c r="K256" s="15">
        <f t="shared" si="123"/>
        <v>300</v>
      </c>
      <c r="L256" s="130"/>
      <c r="M256" s="15"/>
      <c r="N256" s="15"/>
      <c r="O256" s="15">
        <f t="shared" si="124"/>
        <v>0</v>
      </c>
      <c r="Q256" s="15">
        <f t="shared" si="119"/>
        <v>300</v>
      </c>
      <c r="R256" s="15">
        <f t="shared" si="120"/>
        <v>0</v>
      </c>
      <c r="S256" s="15">
        <f t="shared" si="121"/>
        <v>300</v>
      </c>
    </row>
    <row r="257" spans="2:19" x14ac:dyDescent="0.25">
      <c r="B257" s="73">
        <f t="shared" si="126"/>
        <v>18</v>
      </c>
      <c r="C257" s="9"/>
      <c r="D257" s="9"/>
      <c r="E257" s="9"/>
      <c r="F257" s="43" t="s">
        <v>276</v>
      </c>
      <c r="G257" s="98">
        <v>642</v>
      </c>
      <c r="H257" s="9" t="s">
        <v>231</v>
      </c>
      <c r="I257" s="10">
        <v>300</v>
      </c>
      <c r="J257" s="10"/>
      <c r="K257" s="10">
        <f t="shared" si="123"/>
        <v>300</v>
      </c>
      <c r="L257" s="131"/>
      <c r="M257" s="10"/>
      <c r="N257" s="10"/>
      <c r="O257" s="10">
        <f t="shared" si="124"/>
        <v>0</v>
      </c>
      <c r="Q257" s="10">
        <f t="shared" si="119"/>
        <v>300</v>
      </c>
      <c r="R257" s="10">
        <f t="shared" si="120"/>
        <v>0</v>
      </c>
      <c r="S257" s="10">
        <f t="shared" si="121"/>
        <v>300</v>
      </c>
    </row>
    <row r="258" spans="2:19" ht="15.75" x14ac:dyDescent="0.25">
      <c r="B258" s="73">
        <f t="shared" si="126"/>
        <v>19</v>
      </c>
      <c r="C258" s="34">
        <v>3</v>
      </c>
      <c r="D258" s="227" t="s">
        <v>277</v>
      </c>
      <c r="E258" s="228"/>
      <c r="F258" s="228"/>
      <c r="G258" s="228"/>
      <c r="H258" s="229"/>
      <c r="I258" s="35">
        <f>I259+I260+I261+I267</f>
        <v>171300</v>
      </c>
      <c r="J258" s="35">
        <f t="shared" ref="J258" si="133">J259+J260+J261+J267</f>
        <v>1657</v>
      </c>
      <c r="K258" s="35">
        <f t="shared" si="123"/>
        <v>172957</v>
      </c>
      <c r="L258" s="135"/>
      <c r="M258" s="35">
        <v>0</v>
      </c>
      <c r="N258" s="35">
        <v>0</v>
      </c>
      <c r="O258" s="35">
        <f t="shared" si="124"/>
        <v>0</v>
      </c>
      <c r="Q258" s="35">
        <f t="shared" si="119"/>
        <v>171300</v>
      </c>
      <c r="R258" s="35">
        <f t="shared" si="120"/>
        <v>1657</v>
      </c>
      <c r="S258" s="35">
        <f t="shared" si="121"/>
        <v>172957</v>
      </c>
    </row>
    <row r="259" spans="2:19" x14ac:dyDescent="0.25">
      <c r="B259" s="73">
        <f t="shared" si="126"/>
        <v>20</v>
      </c>
      <c r="C259" s="21"/>
      <c r="D259" s="21"/>
      <c r="E259" s="21"/>
      <c r="F259" s="42" t="s">
        <v>217</v>
      </c>
      <c r="G259" s="97">
        <v>610</v>
      </c>
      <c r="H259" s="21" t="s">
        <v>245</v>
      </c>
      <c r="I259" s="15">
        <v>114400</v>
      </c>
      <c r="J259" s="15"/>
      <c r="K259" s="15">
        <f t="shared" si="123"/>
        <v>114400</v>
      </c>
      <c r="L259" s="130"/>
      <c r="M259" s="15"/>
      <c r="N259" s="15"/>
      <c r="O259" s="15">
        <f t="shared" si="124"/>
        <v>0</v>
      </c>
      <c r="Q259" s="15">
        <f t="shared" si="119"/>
        <v>114400</v>
      </c>
      <c r="R259" s="15">
        <f t="shared" si="120"/>
        <v>0</v>
      </c>
      <c r="S259" s="15">
        <f t="shared" si="121"/>
        <v>114400</v>
      </c>
    </row>
    <row r="260" spans="2:19" x14ac:dyDescent="0.25">
      <c r="B260" s="73">
        <f t="shared" si="126"/>
        <v>21</v>
      </c>
      <c r="C260" s="21"/>
      <c r="D260" s="21"/>
      <c r="E260" s="21"/>
      <c r="F260" s="42" t="s">
        <v>217</v>
      </c>
      <c r="G260" s="97">
        <v>620</v>
      </c>
      <c r="H260" s="21" t="s">
        <v>228</v>
      </c>
      <c r="I260" s="15">
        <v>43210</v>
      </c>
      <c r="J260" s="15"/>
      <c r="K260" s="15">
        <f t="shared" si="123"/>
        <v>43210</v>
      </c>
      <c r="L260" s="130"/>
      <c r="M260" s="15"/>
      <c r="N260" s="15"/>
      <c r="O260" s="15">
        <f t="shared" si="124"/>
        <v>0</v>
      </c>
      <c r="Q260" s="15">
        <f t="shared" si="119"/>
        <v>43210</v>
      </c>
      <c r="R260" s="15">
        <f t="shared" si="120"/>
        <v>0</v>
      </c>
      <c r="S260" s="15">
        <f t="shared" si="121"/>
        <v>43210</v>
      </c>
    </row>
    <row r="261" spans="2:19" x14ac:dyDescent="0.25">
      <c r="B261" s="73">
        <f t="shared" si="126"/>
        <v>22</v>
      </c>
      <c r="C261" s="21"/>
      <c r="D261" s="21"/>
      <c r="E261" s="21"/>
      <c r="F261" s="42" t="s">
        <v>217</v>
      </c>
      <c r="G261" s="97">
        <v>630</v>
      </c>
      <c r="H261" s="21" t="s">
        <v>218</v>
      </c>
      <c r="I261" s="15">
        <f>SUM(I262:I265)</f>
        <v>13240</v>
      </c>
      <c r="J261" s="15">
        <f>SUM(J262:J266)</f>
        <v>1657</v>
      </c>
      <c r="K261" s="15">
        <f t="shared" si="123"/>
        <v>14897</v>
      </c>
      <c r="L261" s="130"/>
      <c r="M261" s="15"/>
      <c r="N261" s="15"/>
      <c r="O261" s="15">
        <f t="shared" si="124"/>
        <v>0</v>
      </c>
      <c r="Q261" s="15">
        <f t="shared" si="119"/>
        <v>13240</v>
      </c>
      <c r="R261" s="15">
        <f t="shared" si="120"/>
        <v>1657</v>
      </c>
      <c r="S261" s="15">
        <f t="shared" si="121"/>
        <v>14897</v>
      </c>
    </row>
    <row r="262" spans="2:19" x14ac:dyDescent="0.25">
      <c r="B262" s="73">
        <f t="shared" si="126"/>
        <v>23</v>
      </c>
      <c r="C262" s="9"/>
      <c r="D262" s="9"/>
      <c r="E262" s="9"/>
      <c r="F262" s="43" t="s">
        <v>217</v>
      </c>
      <c r="G262" s="98">
        <v>631</v>
      </c>
      <c r="H262" s="9" t="s">
        <v>219</v>
      </c>
      <c r="I262" s="10">
        <v>200</v>
      </c>
      <c r="J262" s="10"/>
      <c r="K262" s="10">
        <f t="shared" si="123"/>
        <v>200</v>
      </c>
      <c r="L262" s="131"/>
      <c r="M262" s="10"/>
      <c r="N262" s="10"/>
      <c r="O262" s="10">
        <f t="shared" si="124"/>
        <v>0</v>
      </c>
      <c r="Q262" s="10">
        <f t="shared" si="119"/>
        <v>200</v>
      </c>
      <c r="R262" s="10">
        <f t="shared" si="120"/>
        <v>0</v>
      </c>
      <c r="S262" s="10">
        <f t="shared" si="121"/>
        <v>200</v>
      </c>
    </row>
    <row r="263" spans="2:19" x14ac:dyDescent="0.25">
      <c r="B263" s="73">
        <f t="shared" si="126"/>
        <v>24</v>
      </c>
      <c r="C263" s="9"/>
      <c r="D263" s="9"/>
      <c r="E263" s="9"/>
      <c r="F263" s="43" t="s">
        <v>217</v>
      </c>
      <c r="G263" s="98">
        <v>632</v>
      </c>
      <c r="H263" s="9" t="s">
        <v>229</v>
      </c>
      <c r="I263" s="10">
        <v>1800</v>
      </c>
      <c r="J263" s="10"/>
      <c r="K263" s="10">
        <f t="shared" si="123"/>
        <v>1800</v>
      </c>
      <c r="L263" s="131"/>
      <c r="M263" s="10"/>
      <c r="N263" s="10"/>
      <c r="O263" s="10">
        <f t="shared" si="124"/>
        <v>0</v>
      </c>
      <c r="Q263" s="10">
        <f t="shared" si="119"/>
        <v>1800</v>
      </c>
      <c r="R263" s="10">
        <f t="shared" si="120"/>
        <v>0</v>
      </c>
      <c r="S263" s="10">
        <f t="shared" si="121"/>
        <v>1800</v>
      </c>
    </row>
    <row r="264" spans="2:19" x14ac:dyDescent="0.25">
      <c r="B264" s="73">
        <f t="shared" si="126"/>
        <v>25</v>
      </c>
      <c r="C264" s="9"/>
      <c r="D264" s="9"/>
      <c r="E264" s="9"/>
      <c r="F264" s="43" t="s">
        <v>217</v>
      </c>
      <c r="G264" s="98">
        <v>633</v>
      </c>
      <c r="H264" s="9" t="s">
        <v>220</v>
      </c>
      <c r="I264" s="10">
        <v>1670</v>
      </c>
      <c r="J264" s="10"/>
      <c r="K264" s="10">
        <f t="shared" si="123"/>
        <v>1670</v>
      </c>
      <c r="L264" s="131"/>
      <c r="M264" s="10"/>
      <c r="N264" s="10"/>
      <c r="O264" s="10">
        <f t="shared" si="124"/>
        <v>0</v>
      </c>
      <c r="Q264" s="10">
        <f t="shared" si="119"/>
        <v>1670</v>
      </c>
      <c r="R264" s="10">
        <f t="shared" si="120"/>
        <v>0</v>
      </c>
      <c r="S264" s="10">
        <f t="shared" si="121"/>
        <v>1670</v>
      </c>
    </row>
    <row r="265" spans="2:19" x14ac:dyDescent="0.25">
      <c r="B265" s="73">
        <f t="shared" si="126"/>
        <v>26</v>
      </c>
      <c r="C265" s="9"/>
      <c r="D265" s="9"/>
      <c r="E265" s="9"/>
      <c r="F265" s="43" t="s">
        <v>217</v>
      </c>
      <c r="G265" s="98">
        <v>637</v>
      </c>
      <c r="H265" s="9" t="s">
        <v>223</v>
      </c>
      <c r="I265" s="10">
        <v>9570</v>
      </c>
      <c r="J265" s="10"/>
      <c r="K265" s="10">
        <f t="shared" si="123"/>
        <v>9570</v>
      </c>
      <c r="L265" s="131"/>
      <c r="M265" s="10"/>
      <c r="N265" s="10"/>
      <c r="O265" s="10">
        <f t="shared" si="124"/>
        <v>0</v>
      </c>
      <c r="Q265" s="10">
        <f t="shared" si="119"/>
        <v>9570</v>
      </c>
      <c r="R265" s="10">
        <f t="shared" si="120"/>
        <v>0</v>
      </c>
      <c r="S265" s="10">
        <f t="shared" si="121"/>
        <v>9570</v>
      </c>
    </row>
    <row r="266" spans="2:19" x14ac:dyDescent="0.25">
      <c r="B266" s="73">
        <f t="shared" si="126"/>
        <v>27</v>
      </c>
      <c r="C266" s="9"/>
      <c r="D266" s="9"/>
      <c r="E266" s="9"/>
      <c r="F266" s="43" t="s">
        <v>217</v>
      </c>
      <c r="G266" s="98">
        <v>630</v>
      </c>
      <c r="H266" s="9" t="s">
        <v>661</v>
      </c>
      <c r="I266" s="10">
        <v>0</v>
      </c>
      <c r="J266" s="10">
        <v>1657</v>
      </c>
      <c r="K266" s="10">
        <f t="shared" si="123"/>
        <v>1657</v>
      </c>
      <c r="L266" s="131"/>
      <c r="M266" s="10"/>
      <c r="N266" s="10"/>
      <c r="O266" s="10">
        <f t="shared" ref="O266" si="134">M266+N266</f>
        <v>0</v>
      </c>
      <c r="Q266" s="10">
        <f t="shared" ref="Q266" si="135">M266+I266</f>
        <v>0</v>
      </c>
      <c r="R266" s="10">
        <f t="shared" ref="R266" si="136">N266+J266</f>
        <v>1657</v>
      </c>
      <c r="S266" s="10">
        <f t="shared" ref="S266" si="137">O266+K266</f>
        <v>1657</v>
      </c>
    </row>
    <row r="267" spans="2:19" ht="15.75" customHeight="1" x14ac:dyDescent="0.25">
      <c r="B267" s="73">
        <f t="shared" si="126"/>
        <v>28</v>
      </c>
      <c r="C267" s="21"/>
      <c r="D267" s="21"/>
      <c r="E267" s="21"/>
      <c r="F267" s="42" t="s">
        <v>217</v>
      </c>
      <c r="G267" s="97">
        <v>640</v>
      </c>
      <c r="H267" s="21" t="s">
        <v>230</v>
      </c>
      <c r="I267" s="15">
        <f>I268</f>
        <v>450</v>
      </c>
      <c r="J267" s="15">
        <f t="shared" ref="J267" si="138">J268</f>
        <v>0</v>
      </c>
      <c r="K267" s="15">
        <f t="shared" si="123"/>
        <v>450</v>
      </c>
      <c r="L267" s="130"/>
      <c r="M267" s="15"/>
      <c r="N267" s="15"/>
      <c r="O267" s="15">
        <f t="shared" si="124"/>
        <v>0</v>
      </c>
      <c r="Q267" s="15">
        <f t="shared" si="119"/>
        <v>450</v>
      </c>
      <c r="R267" s="15">
        <f t="shared" si="120"/>
        <v>0</v>
      </c>
      <c r="S267" s="15">
        <f t="shared" si="121"/>
        <v>450</v>
      </c>
    </row>
    <row r="268" spans="2:19" ht="13.5" customHeight="1" x14ac:dyDescent="0.25">
      <c r="B268" s="73">
        <f t="shared" si="126"/>
        <v>29</v>
      </c>
      <c r="C268" s="9"/>
      <c r="D268" s="9"/>
      <c r="E268" s="9"/>
      <c r="F268" s="43" t="s">
        <v>217</v>
      </c>
      <c r="G268" s="98">
        <v>642</v>
      </c>
      <c r="H268" s="9" t="s">
        <v>231</v>
      </c>
      <c r="I268" s="10">
        <v>450</v>
      </c>
      <c r="J268" s="10"/>
      <c r="K268" s="10">
        <f t="shared" si="123"/>
        <v>450</v>
      </c>
      <c r="L268" s="131"/>
      <c r="M268" s="10"/>
      <c r="N268" s="10"/>
      <c r="O268" s="10">
        <f t="shared" si="124"/>
        <v>0</v>
      </c>
      <c r="Q268" s="10">
        <f t="shared" si="119"/>
        <v>450</v>
      </c>
      <c r="R268" s="10">
        <f t="shared" si="120"/>
        <v>0</v>
      </c>
      <c r="S268" s="10">
        <f t="shared" si="121"/>
        <v>450</v>
      </c>
    </row>
    <row r="269" spans="2:19" ht="15.75" x14ac:dyDescent="0.25">
      <c r="B269" s="73">
        <f t="shared" si="126"/>
        <v>30</v>
      </c>
      <c r="C269" s="34">
        <v>4</v>
      </c>
      <c r="D269" s="227" t="s">
        <v>77</v>
      </c>
      <c r="E269" s="228"/>
      <c r="F269" s="228"/>
      <c r="G269" s="228"/>
      <c r="H269" s="229"/>
      <c r="I269" s="35">
        <f>I270</f>
        <v>42040</v>
      </c>
      <c r="J269" s="35">
        <f t="shared" ref="J269" si="139">J270</f>
        <v>0</v>
      </c>
      <c r="K269" s="35">
        <f t="shared" si="123"/>
        <v>42040</v>
      </c>
      <c r="L269" s="135"/>
      <c r="M269" s="35">
        <v>0</v>
      </c>
      <c r="N269" s="35">
        <v>0</v>
      </c>
      <c r="O269" s="35">
        <f t="shared" si="124"/>
        <v>0</v>
      </c>
      <c r="Q269" s="35">
        <f t="shared" si="119"/>
        <v>42040</v>
      </c>
      <c r="R269" s="35">
        <f t="shared" si="120"/>
        <v>0</v>
      </c>
      <c r="S269" s="35">
        <f t="shared" si="121"/>
        <v>42040</v>
      </c>
    </row>
    <row r="270" spans="2:19" x14ac:dyDescent="0.25">
      <c r="B270" s="73">
        <f t="shared" si="126"/>
        <v>31</v>
      </c>
      <c r="C270" s="38"/>
      <c r="D270" s="38"/>
      <c r="E270" s="38">
        <v>2</v>
      </c>
      <c r="F270" s="38"/>
      <c r="G270" s="95"/>
      <c r="H270" s="38" t="s">
        <v>48</v>
      </c>
      <c r="I270" s="39">
        <f>I271+I272+I273+I278</f>
        <v>42040</v>
      </c>
      <c r="J270" s="39">
        <f t="shared" ref="J270" si="140">J271+J272+J273+J278</f>
        <v>0</v>
      </c>
      <c r="K270" s="39">
        <f t="shared" si="123"/>
        <v>42040</v>
      </c>
      <c r="L270" s="138"/>
      <c r="M270" s="39"/>
      <c r="N270" s="39"/>
      <c r="O270" s="39">
        <f t="shared" si="124"/>
        <v>0</v>
      </c>
      <c r="Q270" s="39">
        <f t="shared" si="119"/>
        <v>42040</v>
      </c>
      <c r="R270" s="39">
        <f t="shared" si="120"/>
        <v>0</v>
      </c>
      <c r="S270" s="39">
        <f t="shared" si="121"/>
        <v>42040</v>
      </c>
    </row>
    <row r="271" spans="2:19" x14ac:dyDescent="0.25">
      <c r="B271" s="73">
        <f t="shared" si="126"/>
        <v>32</v>
      </c>
      <c r="C271" s="21"/>
      <c r="D271" s="21"/>
      <c r="E271" s="21"/>
      <c r="F271" s="42" t="s">
        <v>279</v>
      </c>
      <c r="G271" s="97">
        <v>610</v>
      </c>
      <c r="H271" s="21" t="s">
        <v>245</v>
      </c>
      <c r="I271" s="15">
        <v>19900</v>
      </c>
      <c r="J271" s="15"/>
      <c r="K271" s="15">
        <f t="shared" si="123"/>
        <v>19900</v>
      </c>
      <c r="L271" s="130"/>
      <c r="M271" s="15"/>
      <c r="N271" s="15"/>
      <c r="O271" s="15">
        <f t="shared" si="124"/>
        <v>0</v>
      </c>
      <c r="Q271" s="15">
        <f t="shared" si="119"/>
        <v>19900</v>
      </c>
      <c r="R271" s="15">
        <f t="shared" si="120"/>
        <v>0</v>
      </c>
      <c r="S271" s="15">
        <f t="shared" si="121"/>
        <v>19900</v>
      </c>
    </row>
    <row r="272" spans="2:19" x14ac:dyDescent="0.25">
      <c r="B272" s="73">
        <f t="shared" si="126"/>
        <v>33</v>
      </c>
      <c r="C272" s="21"/>
      <c r="D272" s="21"/>
      <c r="E272" s="21"/>
      <c r="F272" s="42" t="s">
        <v>279</v>
      </c>
      <c r="G272" s="97">
        <v>620</v>
      </c>
      <c r="H272" s="21" t="s">
        <v>228</v>
      </c>
      <c r="I272" s="15">
        <v>7300</v>
      </c>
      <c r="J272" s="15"/>
      <c r="K272" s="15">
        <f t="shared" si="123"/>
        <v>7300</v>
      </c>
      <c r="L272" s="130"/>
      <c r="M272" s="15"/>
      <c r="N272" s="15"/>
      <c r="O272" s="15">
        <f t="shared" si="124"/>
        <v>0</v>
      </c>
      <c r="Q272" s="15">
        <f t="shared" si="119"/>
        <v>7300</v>
      </c>
      <c r="R272" s="15">
        <f t="shared" si="120"/>
        <v>0</v>
      </c>
      <c r="S272" s="15">
        <f t="shared" si="121"/>
        <v>7300</v>
      </c>
    </row>
    <row r="273" spans="2:19" x14ac:dyDescent="0.25">
      <c r="B273" s="73">
        <f t="shared" si="126"/>
        <v>34</v>
      </c>
      <c r="C273" s="21"/>
      <c r="D273" s="21"/>
      <c r="E273" s="21"/>
      <c r="F273" s="42" t="s">
        <v>279</v>
      </c>
      <c r="G273" s="97">
        <v>630</v>
      </c>
      <c r="H273" s="21" t="s">
        <v>218</v>
      </c>
      <c r="I273" s="15">
        <f>SUM(I274:I277)</f>
        <v>13590</v>
      </c>
      <c r="J273" s="15">
        <f t="shared" ref="J273" si="141">SUM(J274:J277)</f>
        <v>0</v>
      </c>
      <c r="K273" s="15">
        <f t="shared" si="123"/>
        <v>13590</v>
      </c>
      <c r="L273" s="130"/>
      <c r="M273" s="15"/>
      <c r="N273" s="15"/>
      <c r="O273" s="15">
        <f t="shared" si="124"/>
        <v>0</v>
      </c>
      <c r="Q273" s="15">
        <f t="shared" si="119"/>
        <v>13590</v>
      </c>
      <c r="R273" s="15">
        <f t="shared" si="120"/>
        <v>0</v>
      </c>
      <c r="S273" s="15">
        <f t="shared" si="121"/>
        <v>13590</v>
      </c>
    </row>
    <row r="274" spans="2:19" x14ac:dyDescent="0.25">
      <c r="B274" s="73">
        <f t="shared" si="126"/>
        <v>35</v>
      </c>
      <c r="C274" s="9"/>
      <c r="D274" s="9"/>
      <c r="E274" s="9"/>
      <c r="F274" s="43" t="s">
        <v>279</v>
      </c>
      <c r="G274" s="98">
        <v>632</v>
      </c>
      <c r="H274" s="9" t="s">
        <v>229</v>
      </c>
      <c r="I274" s="10">
        <v>7900</v>
      </c>
      <c r="J274" s="10"/>
      <c r="K274" s="10">
        <f t="shared" si="123"/>
        <v>7900</v>
      </c>
      <c r="L274" s="131"/>
      <c r="M274" s="10"/>
      <c r="N274" s="10"/>
      <c r="O274" s="10">
        <f t="shared" si="124"/>
        <v>0</v>
      </c>
      <c r="Q274" s="10">
        <f t="shared" si="119"/>
        <v>7900</v>
      </c>
      <c r="R274" s="10">
        <f t="shared" si="120"/>
        <v>0</v>
      </c>
      <c r="S274" s="10">
        <f t="shared" si="121"/>
        <v>7900</v>
      </c>
    </row>
    <row r="275" spans="2:19" x14ac:dyDescent="0.25">
      <c r="B275" s="73">
        <f t="shared" si="126"/>
        <v>36</v>
      </c>
      <c r="C275" s="9"/>
      <c r="D275" s="9"/>
      <c r="E275" s="9"/>
      <c r="F275" s="43" t="s">
        <v>279</v>
      </c>
      <c r="G275" s="98">
        <v>633</v>
      </c>
      <c r="H275" s="9" t="s">
        <v>220</v>
      </c>
      <c r="I275" s="10">
        <v>2200</v>
      </c>
      <c r="J275" s="10"/>
      <c r="K275" s="10">
        <f t="shared" si="123"/>
        <v>2200</v>
      </c>
      <c r="L275" s="131"/>
      <c r="M275" s="10"/>
      <c r="N275" s="10"/>
      <c r="O275" s="10">
        <f t="shared" si="124"/>
        <v>0</v>
      </c>
      <c r="Q275" s="10">
        <f t="shared" si="119"/>
        <v>2200</v>
      </c>
      <c r="R275" s="10">
        <f t="shared" si="120"/>
        <v>0</v>
      </c>
      <c r="S275" s="10">
        <f t="shared" si="121"/>
        <v>2200</v>
      </c>
    </row>
    <row r="276" spans="2:19" x14ac:dyDescent="0.25">
      <c r="B276" s="73">
        <f t="shared" si="126"/>
        <v>37</v>
      </c>
      <c r="C276" s="9"/>
      <c r="D276" s="9"/>
      <c r="E276" s="9"/>
      <c r="F276" s="43" t="s">
        <v>279</v>
      </c>
      <c r="G276" s="98">
        <v>635</v>
      </c>
      <c r="H276" s="9" t="s">
        <v>234</v>
      </c>
      <c r="I276" s="10">
        <v>400</v>
      </c>
      <c r="J276" s="10"/>
      <c r="K276" s="10">
        <f t="shared" si="123"/>
        <v>400</v>
      </c>
      <c r="L276" s="131"/>
      <c r="M276" s="10"/>
      <c r="N276" s="10"/>
      <c r="O276" s="10">
        <f t="shared" si="124"/>
        <v>0</v>
      </c>
      <c r="Q276" s="10">
        <f t="shared" si="119"/>
        <v>400</v>
      </c>
      <c r="R276" s="10">
        <f t="shared" si="120"/>
        <v>0</v>
      </c>
      <c r="S276" s="10">
        <f t="shared" si="121"/>
        <v>400</v>
      </c>
    </row>
    <row r="277" spans="2:19" x14ac:dyDescent="0.25">
      <c r="B277" s="73">
        <f t="shared" si="126"/>
        <v>38</v>
      </c>
      <c r="C277" s="9"/>
      <c r="D277" s="9"/>
      <c r="E277" s="9"/>
      <c r="F277" s="43" t="s">
        <v>279</v>
      </c>
      <c r="G277" s="98">
        <v>637</v>
      </c>
      <c r="H277" s="9" t="s">
        <v>223</v>
      </c>
      <c r="I277" s="10">
        <v>3090</v>
      </c>
      <c r="J277" s="10"/>
      <c r="K277" s="10">
        <f t="shared" si="123"/>
        <v>3090</v>
      </c>
      <c r="L277" s="131"/>
      <c r="M277" s="10"/>
      <c r="N277" s="10"/>
      <c r="O277" s="10">
        <f t="shared" si="124"/>
        <v>0</v>
      </c>
      <c r="Q277" s="10">
        <f t="shared" si="119"/>
        <v>3090</v>
      </c>
      <c r="R277" s="10">
        <f t="shared" si="120"/>
        <v>0</v>
      </c>
      <c r="S277" s="10">
        <f t="shared" si="121"/>
        <v>3090</v>
      </c>
    </row>
    <row r="278" spans="2:19" x14ac:dyDescent="0.25">
      <c r="B278" s="73">
        <f t="shared" si="126"/>
        <v>39</v>
      </c>
      <c r="C278" s="21"/>
      <c r="D278" s="21"/>
      <c r="E278" s="21"/>
      <c r="F278" s="42" t="s">
        <v>279</v>
      </c>
      <c r="G278" s="97">
        <v>640</v>
      </c>
      <c r="H278" s="21" t="s">
        <v>230</v>
      </c>
      <c r="I278" s="15">
        <f>950+150+150</f>
        <v>1250</v>
      </c>
      <c r="J278" s="15"/>
      <c r="K278" s="15">
        <f t="shared" si="123"/>
        <v>1250</v>
      </c>
      <c r="L278" s="130"/>
      <c r="M278" s="15"/>
      <c r="N278" s="15"/>
      <c r="O278" s="15">
        <f t="shared" si="124"/>
        <v>0</v>
      </c>
      <c r="Q278" s="15">
        <f t="shared" si="119"/>
        <v>1250</v>
      </c>
      <c r="R278" s="15">
        <f t="shared" si="120"/>
        <v>0</v>
      </c>
      <c r="S278" s="15">
        <f t="shared" si="121"/>
        <v>1250</v>
      </c>
    </row>
    <row r="279" spans="2:19" ht="15.75" customHeight="1" x14ac:dyDescent="0.25">
      <c r="B279" s="73">
        <f t="shared" si="126"/>
        <v>40</v>
      </c>
      <c r="C279" s="34">
        <v>5</v>
      </c>
      <c r="D279" s="227" t="s">
        <v>73</v>
      </c>
      <c r="E279" s="228"/>
      <c r="F279" s="228"/>
      <c r="G279" s="228"/>
      <c r="H279" s="229"/>
      <c r="I279" s="35">
        <f>I280</f>
        <v>50035</v>
      </c>
      <c r="J279" s="35">
        <f t="shared" ref="J279" si="142">J280</f>
        <v>0</v>
      </c>
      <c r="K279" s="35">
        <f t="shared" si="123"/>
        <v>50035</v>
      </c>
      <c r="L279" s="135"/>
      <c r="M279" s="35">
        <v>0</v>
      </c>
      <c r="N279" s="35">
        <v>0</v>
      </c>
      <c r="O279" s="35">
        <f t="shared" si="124"/>
        <v>0</v>
      </c>
      <c r="Q279" s="35">
        <f t="shared" si="119"/>
        <v>50035</v>
      </c>
      <c r="R279" s="35">
        <f t="shared" si="120"/>
        <v>0</v>
      </c>
      <c r="S279" s="35">
        <f t="shared" si="121"/>
        <v>50035</v>
      </c>
    </row>
    <row r="280" spans="2:19" ht="18.75" customHeight="1" x14ac:dyDescent="0.25">
      <c r="B280" s="73">
        <f t="shared" si="126"/>
        <v>41</v>
      </c>
      <c r="C280" s="38"/>
      <c r="D280" s="38"/>
      <c r="E280" s="38">
        <v>2</v>
      </c>
      <c r="F280" s="38"/>
      <c r="G280" s="95"/>
      <c r="H280" s="38" t="s">
        <v>48</v>
      </c>
      <c r="I280" s="39">
        <f>I281+I282+I283+I289</f>
        <v>50035</v>
      </c>
      <c r="J280" s="39">
        <f t="shared" ref="J280" si="143">J281+J282+J283+J289</f>
        <v>0</v>
      </c>
      <c r="K280" s="39">
        <f t="shared" si="123"/>
        <v>50035</v>
      </c>
      <c r="L280" s="138"/>
      <c r="M280" s="39">
        <v>0</v>
      </c>
      <c r="N280" s="39">
        <v>0</v>
      </c>
      <c r="O280" s="39">
        <f t="shared" si="124"/>
        <v>0</v>
      </c>
      <c r="Q280" s="39">
        <f t="shared" si="119"/>
        <v>50035</v>
      </c>
      <c r="R280" s="39">
        <f t="shared" si="120"/>
        <v>0</v>
      </c>
      <c r="S280" s="39">
        <f t="shared" si="121"/>
        <v>50035</v>
      </c>
    </row>
    <row r="281" spans="2:19" x14ac:dyDescent="0.25">
      <c r="B281" s="73">
        <f t="shared" si="126"/>
        <v>42</v>
      </c>
      <c r="C281" s="21"/>
      <c r="D281" s="21"/>
      <c r="E281" s="21"/>
      <c r="F281" s="42" t="s">
        <v>279</v>
      </c>
      <c r="G281" s="97">
        <v>610</v>
      </c>
      <c r="H281" s="21" t="s">
        <v>245</v>
      </c>
      <c r="I281" s="15">
        <v>21400</v>
      </c>
      <c r="J281" s="15"/>
      <c r="K281" s="15">
        <f t="shared" si="123"/>
        <v>21400</v>
      </c>
      <c r="L281" s="130"/>
      <c r="M281" s="15"/>
      <c r="N281" s="15"/>
      <c r="O281" s="15">
        <f t="shared" si="124"/>
        <v>0</v>
      </c>
      <c r="Q281" s="15">
        <f t="shared" si="119"/>
        <v>21400</v>
      </c>
      <c r="R281" s="15">
        <f t="shared" si="120"/>
        <v>0</v>
      </c>
      <c r="S281" s="15">
        <f t="shared" si="121"/>
        <v>21400</v>
      </c>
    </row>
    <row r="282" spans="2:19" x14ac:dyDescent="0.25">
      <c r="B282" s="73">
        <f t="shared" si="126"/>
        <v>43</v>
      </c>
      <c r="C282" s="21"/>
      <c r="D282" s="21"/>
      <c r="E282" s="21"/>
      <c r="F282" s="42" t="s">
        <v>279</v>
      </c>
      <c r="G282" s="97">
        <v>620</v>
      </c>
      <c r="H282" s="21" t="s">
        <v>228</v>
      </c>
      <c r="I282" s="15">
        <v>8215</v>
      </c>
      <c r="J282" s="15"/>
      <c r="K282" s="15">
        <f t="shared" si="123"/>
        <v>8215</v>
      </c>
      <c r="L282" s="130"/>
      <c r="M282" s="15"/>
      <c r="N282" s="15"/>
      <c r="O282" s="15">
        <f t="shared" si="124"/>
        <v>0</v>
      </c>
      <c r="Q282" s="15">
        <f t="shared" si="119"/>
        <v>8215</v>
      </c>
      <c r="R282" s="15">
        <f t="shared" si="120"/>
        <v>0</v>
      </c>
      <c r="S282" s="15">
        <f t="shared" si="121"/>
        <v>8215</v>
      </c>
    </row>
    <row r="283" spans="2:19" ht="12.75" customHeight="1" x14ac:dyDescent="0.25">
      <c r="B283" s="73">
        <f t="shared" si="126"/>
        <v>44</v>
      </c>
      <c r="C283" s="21"/>
      <c r="D283" s="21"/>
      <c r="E283" s="21"/>
      <c r="F283" s="42" t="s">
        <v>279</v>
      </c>
      <c r="G283" s="97">
        <v>630</v>
      </c>
      <c r="H283" s="21" t="s">
        <v>218</v>
      </c>
      <c r="I283" s="15">
        <f>SUM(I284:I288)</f>
        <v>20320</v>
      </c>
      <c r="J283" s="15">
        <f t="shared" ref="J283" si="144">SUM(J284:J288)</f>
        <v>0</v>
      </c>
      <c r="K283" s="15">
        <f t="shared" si="123"/>
        <v>20320</v>
      </c>
      <c r="L283" s="130"/>
      <c r="M283" s="15"/>
      <c r="N283" s="15"/>
      <c r="O283" s="15">
        <f t="shared" si="124"/>
        <v>0</v>
      </c>
      <c r="Q283" s="15">
        <f t="shared" si="119"/>
        <v>20320</v>
      </c>
      <c r="R283" s="15">
        <f t="shared" si="120"/>
        <v>0</v>
      </c>
      <c r="S283" s="15">
        <f t="shared" si="121"/>
        <v>20320</v>
      </c>
    </row>
    <row r="284" spans="2:19" x14ac:dyDescent="0.25">
      <c r="B284" s="73">
        <f t="shared" si="126"/>
        <v>45</v>
      </c>
      <c r="C284" s="9"/>
      <c r="D284" s="9"/>
      <c r="E284" s="9"/>
      <c r="F284" s="43" t="s">
        <v>279</v>
      </c>
      <c r="G284" s="98">
        <v>632</v>
      </c>
      <c r="H284" s="9" t="s">
        <v>229</v>
      </c>
      <c r="I284" s="10">
        <v>6400</v>
      </c>
      <c r="J284" s="10"/>
      <c r="K284" s="10">
        <f t="shared" si="123"/>
        <v>6400</v>
      </c>
      <c r="L284" s="131"/>
      <c r="M284" s="10"/>
      <c r="N284" s="10"/>
      <c r="O284" s="10">
        <f t="shared" si="124"/>
        <v>0</v>
      </c>
      <c r="Q284" s="10">
        <f t="shared" si="119"/>
        <v>6400</v>
      </c>
      <c r="R284" s="10">
        <f t="shared" si="120"/>
        <v>0</v>
      </c>
      <c r="S284" s="10">
        <f t="shared" si="121"/>
        <v>6400</v>
      </c>
    </row>
    <row r="285" spans="2:19" x14ac:dyDescent="0.25">
      <c r="B285" s="73">
        <f t="shared" si="126"/>
        <v>46</v>
      </c>
      <c r="C285" s="9"/>
      <c r="D285" s="9"/>
      <c r="E285" s="9"/>
      <c r="F285" s="43" t="s">
        <v>279</v>
      </c>
      <c r="G285" s="98">
        <v>633</v>
      </c>
      <c r="H285" s="9" t="s">
        <v>220</v>
      </c>
      <c r="I285" s="10">
        <v>800</v>
      </c>
      <c r="J285" s="10"/>
      <c r="K285" s="10">
        <f t="shared" si="123"/>
        <v>800</v>
      </c>
      <c r="L285" s="131"/>
      <c r="M285" s="10"/>
      <c r="N285" s="10"/>
      <c r="O285" s="10">
        <f t="shared" si="124"/>
        <v>0</v>
      </c>
      <c r="Q285" s="10">
        <f t="shared" si="119"/>
        <v>800</v>
      </c>
      <c r="R285" s="10">
        <f t="shared" si="120"/>
        <v>0</v>
      </c>
      <c r="S285" s="10">
        <f t="shared" si="121"/>
        <v>800</v>
      </c>
    </row>
    <row r="286" spans="2:19" ht="18" customHeight="1" x14ac:dyDescent="0.25">
      <c r="B286" s="73">
        <f t="shared" si="126"/>
        <v>47</v>
      </c>
      <c r="C286" s="9"/>
      <c r="D286" s="9"/>
      <c r="E286" s="9"/>
      <c r="F286" s="43" t="s">
        <v>279</v>
      </c>
      <c r="G286" s="98">
        <v>635</v>
      </c>
      <c r="H286" s="9" t="s">
        <v>234</v>
      </c>
      <c r="I286" s="10">
        <v>200</v>
      </c>
      <c r="J286" s="10"/>
      <c r="K286" s="10">
        <f t="shared" si="123"/>
        <v>200</v>
      </c>
      <c r="L286" s="131"/>
      <c r="M286" s="10"/>
      <c r="N286" s="10"/>
      <c r="O286" s="10">
        <f t="shared" si="124"/>
        <v>0</v>
      </c>
      <c r="Q286" s="10">
        <f t="shared" si="119"/>
        <v>200</v>
      </c>
      <c r="R286" s="10">
        <f t="shared" si="120"/>
        <v>0</v>
      </c>
      <c r="S286" s="10">
        <f t="shared" si="121"/>
        <v>200</v>
      </c>
    </row>
    <row r="287" spans="2:19" ht="13.5" customHeight="1" x14ac:dyDescent="0.25">
      <c r="B287" s="73">
        <f t="shared" si="126"/>
        <v>48</v>
      </c>
      <c r="C287" s="9"/>
      <c r="D287" s="9"/>
      <c r="E287" s="9"/>
      <c r="F287" s="43" t="s">
        <v>279</v>
      </c>
      <c r="G287" s="98">
        <v>636</v>
      </c>
      <c r="H287" s="9" t="s">
        <v>222</v>
      </c>
      <c r="I287" s="10">
        <f>1200+450</f>
        <v>1650</v>
      </c>
      <c r="J287" s="10"/>
      <c r="K287" s="10">
        <f t="shared" si="123"/>
        <v>1650</v>
      </c>
      <c r="L287" s="131"/>
      <c r="M287" s="10"/>
      <c r="N287" s="10"/>
      <c r="O287" s="10">
        <f t="shared" si="124"/>
        <v>0</v>
      </c>
      <c r="Q287" s="10">
        <f t="shared" si="119"/>
        <v>1650</v>
      </c>
      <c r="R287" s="10">
        <f t="shared" si="120"/>
        <v>0</v>
      </c>
      <c r="S287" s="10">
        <f t="shared" si="121"/>
        <v>1650</v>
      </c>
    </row>
    <row r="288" spans="2:19" ht="17.25" customHeight="1" x14ac:dyDescent="0.25">
      <c r="B288" s="73">
        <f t="shared" si="126"/>
        <v>49</v>
      </c>
      <c r="C288" s="9"/>
      <c r="D288" s="9"/>
      <c r="E288" s="9"/>
      <c r="F288" s="43" t="s">
        <v>279</v>
      </c>
      <c r="G288" s="98">
        <v>637</v>
      </c>
      <c r="H288" s="9" t="s">
        <v>223</v>
      </c>
      <c r="I288" s="10">
        <v>11270</v>
      </c>
      <c r="J288" s="10"/>
      <c r="K288" s="10">
        <f t="shared" si="123"/>
        <v>11270</v>
      </c>
      <c r="L288" s="131"/>
      <c r="M288" s="10"/>
      <c r="N288" s="10"/>
      <c r="O288" s="10">
        <f t="shared" si="124"/>
        <v>0</v>
      </c>
      <c r="Q288" s="10">
        <f t="shared" si="119"/>
        <v>11270</v>
      </c>
      <c r="R288" s="10">
        <f t="shared" si="120"/>
        <v>0</v>
      </c>
      <c r="S288" s="10">
        <f t="shared" si="121"/>
        <v>11270</v>
      </c>
    </row>
    <row r="289" spans="2:19" x14ac:dyDescent="0.25">
      <c r="B289" s="73">
        <f t="shared" si="126"/>
        <v>50</v>
      </c>
      <c r="C289" s="21"/>
      <c r="D289" s="21"/>
      <c r="E289" s="21"/>
      <c r="F289" s="42" t="s">
        <v>279</v>
      </c>
      <c r="G289" s="97">
        <v>640</v>
      </c>
      <c r="H289" s="21" t="s">
        <v>230</v>
      </c>
      <c r="I289" s="15">
        <v>100</v>
      </c>
      <c r="J289" s="15"/>
      <c r="K289" s="15">
        <f t="shared" si="123"/>
        <v>100</v>
      </c>
      <c r="L289" s="130"/>
      <c r="M289" s="15"/>
      <c r="N289" s="15"/>
      <c r="O289" s="15">
        <f t="shared" si="124"/>
        <v>0</v>
      </c>
      <c r="Q289" s="15">
        <f t="shared" si="119"/>
        <v>100</v>
      </c>
      <c r="R289" s="15">
        <f t="shared" si="120"/>
        <v>0</v>
      </c>
      <c r="S289" s="15">
        <f t="shared" si="121"/>
        <v>100</v>
      </c>
    </row>
    <row r="290" spans="2:19" ht="15.75" x14ac:dyDescent="0.25">
      <c r="B290" s="73">
        <f t="shared" si="126"/>
        <v>51</v>
      </c>
      <c r="C290" s="34">
        <v>6</v>
      </c>
      <c r="D290" s="227" t="s">
        <v>281</v>
      </c>
      <c r="E290" s="228"/>
      <c r="F290" s="228"/>
      <c r="G290" s="228"/>
      <c r="H290" s="229"/>
      <c r="I290" s="35">
        <f>I291</f>
        <v>155663</v>
      </c>
      <c r="J290" s="35">
        <f t="shared" ref="J290" si="145">J291</f>
        <v>0</v>
      </c>
      <c r="K290" s="35">
        <f t="shared" si="123"/>
        <v>155663</v>
      </c>
      <c r="L290" s="135"/>
      <c r="M290" s="35">
        <f>M296</f>
        <v>20962</v>
      </c>
      <c r="N290" s="35">
        <f t="shared" ref="N290" si="146">N296</f>
        <v>0</v>
      </c>
      <c r="O290" s="35">
        <f t="shared" si="124"/>
        <v>20962</v>
      </c>
      <c r="Q290" s="35">
        <f t="shared" si="119"/>
        <v>176625</v>
      </c>
      <c r="R290" s="35">
        <f t="shared" si="120"/>
        <v>0</v>
      </c>
      <c r="S290" s="35">
        <f t="shared" si="121"/>
        <v>176625</v>
      </c>
    </row>
    <row r="291" spans="2:19" x14ac:dyDescent="0.25">
      <c r="B291" s="73">
        <f t="shared" si="126"/>
        <v>52</v>
      </c>
      <c r="C291" s="21"/>
      <c r="D291" s="21"/>
      <c r="E291" s="21"/>
      <c r="F291" s="42" t="s">
        <v>243</v>
      </c>
      <c r="G291" s="97">
        <v>630</v>
      </c>
      <c r="H291" s="21" t="s">
        <v>218</v>
      </c>
      <c r="I291" s="15">
        <f>SUM(I292:I295)</f>
        <v>155663</v>
      </c>
      <c r="J291" s="15">
        <f t="shared" ref="J291" si="147">SUM(J292:J295)</f>
        <v>0</v>
      </c>
      <c r="K291" s="15">
        <f t="shared" si="123"/>
        <v>155663</v>
      </c>
      <c r="L291" s="130"/>
      <c r="M291" s="15"/>
      <c r="N291" s="15"/>
      <c r="O291" s="15">
        <f t="shared" si="124"/>
        <v>0</v>
      </c>
      <c r="Q291" s="15">
        <f t="shared" si="119"/>
        <v>155663</v>
      </c>
      <c r="R291" s="15">
        <f t="shared" si="120"/>
        <v>0</v>
      </c>
      <c r="S291" s="15">
        <f t="shared" si="121"/>
        <v>155663</v>
      </c>
    </row>
    <row r="292" spans="2:19" x14ac:dyDescent="0.25">
      <c r="B292" s="73">
        <f t="shared" si="126"/>
        <v>53</v>
      </c>
      <c r="C292" s="9"/>
      <c r="D292" s="9"/>
      <c r="E292" s="9"/>
      <c r="F292" s="43" t="s">
        <v>243</v>
      </c>
      <c r="G292" s="98">
        <v>632</v>
      </c>
      <c r="H292" s="9" t="s">
        <v>229</v>
      </c>
      <c r="I292" s="10">
        <v>25000</v>
      </c>
      <c r="J292" s="10"/>
      <c r="K292" s="10">
        <f t="shared" si="123"/>
        <v>25000</v>
      </c>
      <c r="L292" s="131"/>
      <c r="M292" s="10"/>
      <c r="N292" s="10"/>
      <c r="O292" s="10">
        <f t="shared" si="124"/>
        <v>0</v>
      </c>
      <c r="Q292" s="10">
        <f t="shared" si="119"/>
        <v>25000</v>
      </c>
      <c r="R292" s="10">
        <f t="shared" si="120"/>
        <v>0</v>
      </c>
      <c r="S292" s="10">
        <f t="shared" si="121"/>
        <v>25000</v>
      </c>
    </row>
    <row r="293" spans="2:19" x14ac:dyDescent="0.25">
      <c r="B293" s="73">
        <f t="shared" si="126"/>
        <v>54</v>
      </c>
      <c r="C293" s="9"/>
      <c r="D293" s="9"/>
      <c r="E293" s="9"/>
      <c r="F293" s="43" t="s">
        <v>243</v>
      </c>
      <c r="G293" s="98">
        <v>633</v>
      </c>
      <c r="H293" s="9" t="s">
        <v>220</v>
      </c>
      <c r="I293" s="10">
        <v>10000</v>
      </c>
      <c r="J293" s="10"/>
      <c r="K293" s="10">
        <f t="shared" si="123"/>
        <v>10000</v>
      </c>
      <c r="L293" s="131"/>
      <c r="M293" s="10"/>
      <c r="N293" s="10"/>
      <c r="O293" s="10">
        <f t="shared" si="124"/>
        <v>0</v>
      </c>
      <c r="Q293" s="10">
        <f t="shared" si="119"/>
        <v>10000</v>
      </c>
      <c r="R293" s="10">
        <f t="shared" si="120"/>
        <v>0</v>
      </c>
      <c r="S293" s="10">
        <f t="shared" si="121"/>
        <v>10000</v>
      </c>
    </row>
    <row r="294" spans="2:19" ht="17.25" customHeight="1" x14ac:dyDescent="0.25">
      <c r="B294" s="73">
        <f t="shared" si="126"/>
        <v>55</v>
      </c>
      <c r="C294" s="9"/>
      <c r="D294" s="9"/>
      <c r="E294" s="9"/>
      <c r="F294" s="43" t="s">
        <v>243</v>
      </c>
      <c r="G294" s="98">
        <v>637</v>
      </c>
      <c r="H294" s="9" t="s">
        <v>223</v>
      </c>
      <c r="I294" s="10">
        <v>113000</v>
      </c>
      <c r="J294" s="10"/>
      <c r="K294" s="10">
        <f t="shared" si="123"/>
        <v>113000</v>
      </c>
      <c r="L294" s="131"/>
      <c r="M294" s="10"/>
      <c r="N294" s="10"/>
      <c r="O294" s="10">
        <f t="shared" si="124"/>
        <v>0</v>
      </c>
      <c r="Q294" s="10">
        <f t="shared" si="119"/>
        <v>113000</v>
      </c>
      <c r="R294" s="10">
        <f t="shared" si="120"/>
        <v>0</v>
      </c>
      <c r="S294" s="10">
        <f t="shared" si="121"/>
        <v>113000</v>
      </c>
    </row>
    <row r="295" spans="2:19" ht="14.25" customHeight="1" x14ac:dyDescent="0.25">
      <c r="B295" s="73">
        <f t="shared" si="126"/>
        <v>56</v>
      </c>
      <c r="C295" s="9"/>
      <c r="D295" s="9"/>
      <c r="E295" s="9"/>
      <c r="F295" s="43" t="s">
        <v>243</v>
      </c>
      <c r="G295" s="98">
        <v>637</v>
      </c>
      <c r="H295" s="9" t="s">
        <v>602</v>
      </c>
      <c r="I295" s="10">
        <v>7663</v>
      </c>
      <c r="J295" s="10"/>
      <c r="K295" s="10">
        <f t="shared" si="123"/>
        <v>7663</v>
      </c>
      <c r="L295" s="131"/>
      <c r="M295" s="10"/>
      <c r="N295" s="10"/>
      <c r="O295" s="10">
        <f t="shared" si="124"/>
        <v>0</v>
      </c>
      <c r="Q295" s="10">
        <f t="shared" si="119"/>
        <v>7663</v>
      </c>
      <c r="R295" s="10">
        <f t="shared" si="120"/>
        <v>0</v>
      </c>
      <c r="S295" s="10">
        <f t="shared" si="121"/>
        <v>7663</v>
      </c>
    </row>
    <row r="296" spans="2:19" ht="15" customHeight="1" x14ac:dyDescent="0.25">
      <c r="B296" s="73">
        <f t="shared" si="126"/>
        <v>57</v>
      </c>
      <c r="C296" s="21"/>
      <c r="D296" s="21"/>
      <c r="E296" s="21"/>
      <c r="F296" s="42" t="s">
        <v>243</v>
      </c>
      <c r="G296" s="97">
        <v>710</v>
      </c>
      <c r="H296" s="21" t="s">
        <v>235</v>
      </c>
      <c r="I296" s="15"/>
      <c r="J296" s="15"/>
      <c r="K296" s="15">
        <f t="shared" si="123"/>
        <v>0</v>
      </c>
      <c r="L296" s="130"/>
      <c r="M296" s="15">
        <f>M297+M299</f>
        <v>20962</v>
      </c>
      <c r="N296" s="15">
        <f t="shared" ref="N296" si="148">N297+N299</f>
        <v>0</v>
      </c>
      <c r="O296" s="15">
        <f t="shared" si="124"/>
        <v>20962</v>
      </c>
      <c r="Q296" s="15">
        <f t="shared" si="119"/>
        <v>20962</v>
      </c>
      <c r="R296" s="15">
        <f t="shared" si="120"/>
        <v>0</v>
      </c>
      <c r="S296" s="15">
        <f t="shared" si="121"/>
        <v>20962</v>
      </c>
    </row>
    <row r="297" spans="2:19" x14ac:dyDescent="0.25">
      <c r="B297" s="73">
        <f t="shared" si="126"/>
        <v>58</v>
      </c>
      <c r="C297" s="9"/>
      <c r="D297" s="9"/>
      <c r="E297" s="9"/>
      <c r="F297" s="43" t="s">
        <v>243</v>
      </c>
      <c r="G297" s="98">
        <v>716</v>
      </c>
      <c r="H297" s="9" t="s">
        <v>237</v>
      </c>
      <c r="I297" s="10"/>
      <c r="J297" s="10"/>
      <c r="K297" s="10">
        <f t="shared" si="123"/>
        <v>0</v>
      </c>
      <c r="L297" s="131"/>
      <c r="M297" s="10">
        <f>SUM(M298:M298)</f>
        <v>10250</v>
      </c>
      <c r="N297" s="10">
        <f t="shared" ref="N297" si="149">SUM(N298:N298)</f>
        <v>0</v>
      </c>
      <c r="O297" s="10">
        <f t="shared" si="124"/>
        <v>10250</v>
      </c>
      <c r="Q297" s="10">
        <f t="shared" si="119"/>
        <v>10250</v>
      </c>
      <c r="R297" s="10">
        <f t="shared" si="120"/>
        <v>0</v>
      </c>
      <c r="S297" s="10">
        <f t="shared" si="121"/>
        <v>10250</v>
      </c>
    </row>
    <row r="298" spans="2:19" x14ac:dyDescent="0.25">
      <c r="B298" s="73">
        <f t="shared" si="126"/>
        <v>59</v>
      </c>
      <c r="C298" s="12"/>
      <c r="D298" s="12"/>
      <c r="E298" s="12"/>
      <c r="F298" s="12"/>
      <c r="G298" s="99"/>
      <c r="H298" s="12" t="s">
        <v>575</v>
      </c>
      <c r="I298" s="13"/>
      <c r="J298" s="13"/>
      <c r="K298" s="13">
        <f t="shared" si="123"/>
        <v>0</v>
      </c>
      <c r="L298" s="132"/>
      <c r="M298" s="13">
        <v>10250</v>
      </c>
      <c r="N298" s="13"/>
      <c r="O298" s="13">
        <f t="shared" si="124"/>
        <v>10250</v>
      </c>
      <c r="Q298" s="13">
        <f t="shared" si="119"/>
        <v>10250</v>
      </c>
      <c r="R298" s="13">
        <f t="shared" si="120"/>
        <v>0</v>
      </c>
      <c r="S298" s="13">
        <f t="shared" si="121"/>
        <v>10250</v>
      </c>
    </row>
    <row r="299" spans="2:19" x14ac:dyDescent="0.25">
      <c r="B299" s="73">
        <f t="shared" si="126"/>
        <v>60</v>
      </c>
      <c r="C299" s="9"/>
      <c r="D299" s="9"/>
      <c r="E299" s="9"/>
      <c r="F299" s="43" t="s">
        <v>243</v>
      </c>
      <c r="G299" s="98">
        <v>717</v>
      </c>
      <c r="H299" s="9" t="s">
        <v>240</v>
      </c>
      <c r="I299" s="10"/>
      <c r="J299" s="10"/>
      <c r="K299" s="10">
        <f t="shared" si="123"/>
        <v>0</v>
      </c>
      <c r="L299" s="131"/>
      <c r="M299" s="10">
        <f>SUM(M300:M300)</f>
        <v>10712</v>
      </c>
      <c r="N299" s="10">
        <f t="shared" ref="N299" si="150">SUM(N300:N300)</f>
        <v>0</v>
      </c>
      <c r="O299" s="10">
        <f t="shared" si="124"/>
        <v>10712</v>
      </c>
      <c r="Q299" s="10">
        <f t="shared" si="119"/>
        <v>10712</v>
      </c>
      <c r="R299" s="10">
        <f t="shared" si="120"/>
        <v>0</v>
      </c>
      <c r="S299" s="10">
        <f t="shared" si="121"/>
        <v>10712</v>
      </c>
    </row>
    <row r="300" spans="2:19" x14ac:dyDescent="0.25">
      <c r="B300" s="73">
        <f t="shared" si="126"/>
        <v>61</v>
      </c>
      <c r="C300" s="12"/>
      <c r="D300" s="12"/>
      <c r="E300" s="12"/>
      <c r="F300" s="12"/>
      <c r="G300" s="99"/>
      <c r="H300" s="67" t="s">
        <v>482</v>
      </c>
      <c r="I300" s="13"/>
      <c r="J300" s="13"/>
      <c r="K300" s="13">
        <f t="shared" si="123"/>
        <v>0</v>
      </c>
      <c r="L300" s="132"/>
      <c r="M300" s="13">
        <v>10712</v>
      </c>
      <c r="N300" s="13"/>
      <c r="O300" s="13">
        <f t="shared" si="124"/>
        <v>10712</v>
      </c>
      <c r="Q300" s="13">
        <f t="shared" si="119"/>
        <v>10712</v>
      </c>
      <c r="R300" s="13">
        <f t="shared" si="120"/>
        <v>0</v>
      </c>
      <c r="S300" s="13">
        <f t="shared" si="121"/>
        <v>10712</v>
      </c>
    </row>
    <row r="301" spans="2:19" ht="15.75" x14ac:dyDescent="0.25">
      <c r="B301" s="73">
        <f t="shared" si="126"/>
        <v>62</v>
      </c>
      <c r="C301" s="34">
        <v>7</v>
      </c>
      <c r="D301" s="227" t="s">
        <v>282</v>
      </c>
      <c r="E301" s="228"/>
      <c r="F301" s="228"/>
      <c r="G301" s="228"/>
      <c r="H301" s="229"/>
      <c r="I301" s="35">
        <f>I302</f>
        <v>2300</v>
      </c>
      <c r="J301" s="35">
        <f t="shared" ref="J301:J302" si="151">J302</f>
        <v>0</v>
      </c>
      <c r="K301" s="35">
        <f t="shared" si="123"/>
        <v>2300</v>
      </c>
      <c r="L301" s="135"/>
      <c r="M301" s="35">
        <v>0</v>
      </c>
      <c r="N301" s="35">
        <v>0</v>
      </c>
      <c r="O301" s="35">
        <f t="shared" si="124"/>
        <v>0</v>
      </c>
      <c r="Q301" s="35">
        <f t="shared" si="119"/>
        <v>2300</v>
      </c>
      <c r="R301" s="35">
        <f t="shared" si="120"/>
        <v>0</v>
      </c>
      <c r="S301" s="35">
        <f t="shared" si="121"/>
        <v>2300</v>
      </c>
    </row>
    <row r="302" spans="2:19" x14ac:dyDescent="0.25">
      <c r="B302" s="73">
        <f t="shared" si="126"/>
        <v>63</v>
      </c>
      <c r="C302" s="38"/>
      <c r="D302" s="38"/>
      <c r="E302" s="38">
        <v>2</v>
      </c>
      <c r="F302" s="38"/>
      <c r="G302" s="95"/>
      <c r="H302" s="38" t="s">
        <v>48</v>
      </c>
      <c r="I302" s="39">
        <f>I303</f>
        <v>2300</v>
      </c>
      <c r="J302" s="39">
        <f t="shared" si="151"/>
        <v>0</v>
      </c>
      <c r="K302" s="39">
        <f t="shared" si="123"/>
        <v>2300</v>
      </c>
      <c r="L302" s="138"/>
      <c r="M302" s="39">
        <v>0</v>
      </c>
      <c r="N302" s="39">
        <v>0</v>
      </c>
      <c r="O302" s="39">
        <f t="shared" si="124"/>
        <v>0</v>
      </c>
      <c r="Q302" s="39">
        <f t="shared" si="119"/>
        <v>2300</v>
      </c>
      <c r="R302" s="39">
        <f t="shared" si="120"/>
        <v>0</v>
      </c>
      <c r="S302" s="39">
        <f t="shared" si="121"/>
        <v>2300</v>
      </c>
    </row>
    <row r="303" spans="2:19" x14ac:dyDescent="0.25">
      <c r="B303" s="73">
        <f t="shared" si="126"/>
        <v>64</v>
      </c>
      <c r="C303" s="21"/>
      <c r="D303" s="21"/>
      <c r="E303" s="21"/>
      <c r="F303" s="42" t="s">
        <v>250</v>
      </c>
      <c r="G303" s="97">
        <v>630</v>
      </c>
      <c r="H303" s="21" t="s">
        <v>218</v>
      </c>
      <c r="I303" s="15">
        <f>SUM(I304:I307)</f>
        <v>2300</v>
      </c>
      <c r="J303" s="15">
        <f t="shared" ref="J303" si="152">SUM(J304:J307)</f>
        <v>0</v>
      </c>
      <c r="K303" s="15">
        <f t="shared" si="123"/>
        <v>2300</v>
      </c>
      <c r="L303" s="130"/>
      <c r="M303" s="15"/>
      <c r="N303" s="15"/>
      <c r="O303" s="15">
        <f t="shared" si="124"/>
        <v>0</v>
      </c>
      <c r="Q303" s="15">
        <f t="shared" si="119"/>
        <v>2300</v>
      </c>
      <c r="R303" s="15">
        <f t="shared" si="120"/>
        <v>0</v>
      </c>
      <c r="S303" s="15">
        <f t="shared" si="121"/>
        <v>2300</v>
      </c>
    </row>
    <row r="304" spans="2:19" x14ac:dyDescent="0.25">
      <c r="B304" s="73">
        <f t="shared" si="126"/>
        <v>65</v>
      </c>
      <c r="C304" s="9"/>
      <c r="D304" s="9"/>
      <c r="E304" s="9"/>
      <c r="F304" s="43" t="s">
        <v>250</v>
      </c>
      <c r="G304" s="98">
        <v>633</v>
      </c>
      <c r="H304" s="9" t="s">
        <v>220</v>
      </c>
      <c r="I304" s="10">
        <v>1300</v>
      </c>
      <c r="J304" s="10"/>
      <c r="K304" s="10">
        <f t="shared" si="123"/>
        <v>1300</v>
      </c>
      <c r="L304" s="131"/>
      <c r="M304" s="10"/>
      <c r="N304" s="10"/>
      <c r="O304" s="10">
        <f t="shared" si="124"/>
        <v>0</v>
      </c>
      <c r="Q304" s="10">
        <f t="shared" si="119"/>
        <v>1300</v>
      </c>
      <c r="R304" s="10">
        <f t="shared" si="120"/>
        <v>0</v>
      </c>
      <c r="S304" s="10">
        <f t="shared" si="121"/>
        <v>1300</v>
      </c>
    </row>
    <row r="305" spans="2:19" x14ac:dyDescent="0.25">
      <c r="B305" s="73">
        <f t="shared" si="126"/>
        <v>66</v>
      </c>
      <c r="C305" s="9"/>
      <c r="D305" s="9"/>
      <c r="E305" s="9"/>
      <c r="F305" s="43" t="s">
        <v>250</v>
      </c>
      <c r="G305" s="98">
        <v>634</v>
      </c>
      <c r="H305" s="9" t="s">
        <v>221</v>
      </c>
      <c r="I305" s="10">
        <v>450</v>
      </c>
      <c r="J305" s="10"/>
      <c r="K305" s="10">
        <f t="shared" si="123"/>
        <v>450</v>
      </c>
      <c r="L305" s="131"/>
      <c r="M305" s="10"/>
      <c r="N305" s="10"/>
      <c r="O305" s="10">
        <f t="shared" si="124"/>
        <v>0</v>
      </c>
      <c r="Q305" s="10">
        <f t="shared" si="119"/>
        <v>450</v>
      </c>
      <c r="R305" s="10">
        <f t="shared" si="120"/>
        <v>0</v>
      </c>
      <c r="S305" s="10">
        <f t="shared" si="121"/>
        <v>450</v>
      </c>
    </row>
    <row r="306" spans="2:19" x14ac:dyDescent="0.25">
      <c r="B306" s="73">
        <f t="shared" si="126"/>
        <v>67</v>
      </c>
      <c r="C306" s="9"/>
      <c r="D306" s="9"/>
      <c r="E306" s="9"/>
      <c r="F306" s="43" t="s">
        <v>250</v>
      </c>
      <c r="G306" s="98">
        <v>635</v>
      </c>
      <c r="H306" s="9" t="s">
        <v>234</v>
      </c>
      <c r="I306" s="10">
        <v>350</v>
      </c>
      <c r="J306" s="10"/>
      <c r="K306" s="10">
        <f t="shared" si="123"/>
        <v>350</v>
      </c>
      <c r="L306" s="131"/>
      <c r="M306" s="10"/>
      <c r="N306" s="10"/>
      <c r="O306" s="10">
        <f t="shared" si="124"/>
        <v>0</v>
      </c>
      <c r="Q306" s="10">
        <f t="shared" ref="Q306:Q307" si="153">M306+I306</f>
        <v>350</v>
      </c>
      <c r="R306" s="10">
        <f t="shared" ref="R306:R307" si="154">N306+J306</f>
        <v>0</v>
      </c>
      <c r="S306" s="10">
        <f t="shared" ref="S306:S307" si="155">O306+K306</f>
        <v>350</v>
      </c>
    </row>
    <row r="307" spans="2:19" x14ac:dyDescent="0.25">
      <c r="B307" s="73">
        <f t="shared" si="126"/>
        <v>68</v>
      </c>
      <c r="C307" s="9"/>
      <c r="D307" s="9"/>
      <c r="E307" s="9"/>
      <c r="F307" s="43" t="s">
        <v>250</v>
      </c>
      <c r="G307" s="98">
        <v>637</v>
      </c>
      <c r="H307" s="9" t="s">
        <v>223</v>
      </c>
      <c r="I307" s="10">
        <v>200</v>
      </c>
      <c r="J307" s="10"/>
      <c r="K307" s="10">
        <f t="shared" ref="K307" si="156">I307+J307</f>
        <v>200</v>
      </c>
      <c r="L307" s="131"/>
      <c r="M307" s="10"/>
      <c r="N307" s="10"/>
      <c r="O307" s="10">
        <f t="shared" ref="O307" si="157">M307+N307</f>
        <v>0</v>
      </c>
      <c r="Q307" s="10">
        <f t="shared" si="153"/>
        <v>200</v>
      </c>
      <c r="R307" s="10">
        <f t="shared" si="154"/>
        <v>0</v>
      </c>
      <c r="S307" s="10">
        <f t="shared" si="155"/>
        <v>200</v>
      </c>
    </row>
    <row r="308" spans="2:19" hidden="1" x14ac:dyDescent="0.25"/>
    <row r="309" spans="2:19" hidden="1" x14ac:dyDescent="0.25"/>
    <row r="310" spans="2:19" hidden="1" x14ac:dyDescent="0.25"/>
    <row r="328" spans="2:19" ht="19.5" customHeight="1" x14ac:dyDescent="0.25"/>
    <row r="330" spans="2:19" ht="27" x14ac:dyDescent="0.35">
      <c r="B330" s="231" t="s">
        <v>283</v>
      </c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</row>
    <row r="331" spans="2:19" x14ac:dyDescent="0.25">
      <c r="B331" s="233" t="s">
        <v>208</v>
      </c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5"/>
      <c r="N331" s="169"/>
      <c r="O331" s="170"/>
      <c r="Q331" s="236" t="s">
        <v>563</v>
      </c>
      <c r="R331" s="221" t="s">
        <v>635</v>
      </c>
      <c r="S331" s="221" t="s">
        <v>636</v>
      </c>
    </row>
    <row r="332" spans="2:19" x14ac:dyDescent="0.25">
      <c r="B332" s="237"/>
      <c r="C332" s="240" t="s">
        <v>209</v>
      </c>
      <c r="D332" s="240" t="s">
        <v>210</v>
      </c>
      <c r="E332" s="240" t="s">
        <v>211</v>
      </c>
      <c r="F332" s="240" t="s">
        <v>212</v>
      </c>
      <c r="G332" s="243" t="s">
        <v>213</v>
      </c>
      <c r="H332" s="245" t="s">
        <v>214</v>
      </c>
      <c r="I332" s="248" t="s">
        <v>561</v>
      </c>
      <c r="J332" s="222" t="s">
        <v>635</v>
      </c>
      <c r="K332" s="222" t="s">
        <v>637</v>
      </c>
      <c r="L332" s="129"/>
      <c r="M332" s="250" t="s">
        <v>562</v>
      </c>
      <c r="N332" s="222" t="s">
        <v>635</v>
      </c>
      <c r="O332" s="222" t="s">
        <v>638</v>
      </c>
      <c r="Q332" s="236"/>
      <c r="R332" s="222"/>
      <c r="S332" s="222"/>
    </row>
    <row r="333" spans="2:19" x14ac:dyDescent="0.25">
      <c r="B333" s="238"/>
      <c r="C333" s="241"/>
      <c r="D333" s="241"/>
      <c r="E333" s="241"/>
      <c r="F333" s="241"/>
      <c r="G333" s="243"/>
      <c r="H333" s="246"/>
      <c r="I333" s="248"/>
      <c r="J333" s="222"/>
      <c r="K333" s="222"/>
      <c r="L333" s="129"/>
      <c r="M333" s="250"/>
      <c r="N333" s="222"/>
      <c r="O333" s="222"/>
      <c r="Q333" s="236"/>
      <c r="R333" s="222"/>
      <c r="S333" s="222"/>
    </row>
    <row r="334" spans="2:19" x14ac:dyDescent="0.25">
      <c r="B334" s="238"/>
      <c r="C334" s="241"/>
      <c r="D334" s="241"/>
      <c r="E334" s="241"/>
      <c r="F334" s="241"/>
      <c r="G334" s="243"/>
      <c r="H334" s="246"/>
      <c r="I334" s="248"/>
      <c r="J334" s="222"/>
      <c r="K334" s="222"/>
      <c r="L334" s="129"/>
      <c r="M334" s="250"/>
      <c r="N334" s="222"/>
      <c r="O334" s="222"/>
      <c r="Q334" s="236"/>
      <c r="R334" s="222"/>
      <c r="S334" s="222"/>
    </row>
    <row r="335" spans="2:19" ht="15.75" thickBot="1" x14ac:dyDescent="0.3">
      <c r="B335" s="239"/>
      <c r="C335" s="242"/>
      <c r="D335" s="242"/>
      <c r="E335" s="242"/>
      <c r="F335" s="242"/>
      <c r="G335" s="244"/>
      <c r="H335" s="247"/>
      <c r="I335" s="249"/>
      <c r="J335" s="223"/>
      <c r="K335" s="223"/>
      <c r="L335" s="129"/>
      <c r="M335" s="251"/>
      <c r="N335" s="223"/>
      <c r="O335" s="223"/>
      <c r="Q335" s="236"/>
      <c r="R335" s="223"/>
      <c r="S335" s="223"/>
    </row>
    <row r="336" spans="2:19" ht="16.5" thickTop="1" x14ac:dyDescent="0.25">
      <c r="B336" s="74">
        <v>1</v>
      </c>
      <c r="C336" s="224" t="s">
        <v>283</v>
      </c>
      <c r="D336" s="225"/>
      <c r="E336" s="225"/>
      <c r="F336" s="225"/>
      <c r="G336" s="225"/>
      <c r="H336" s="226"/>
      <c r="I336" s="33">
        <f>I337+I357+I379+I384+I387</f>
        <v>1667945</v>
      </c>
      <c r="J336" s="33">
        <f>J337+J357+J379+J384+J387</f>
        <v>68200</v>
      </c>
      <c r="K336" s="33">
        <f>I336+J336</f>
        <v>1736145</v>
      </c>
      <c r="L336" s="134"/>
      <c r="M336" s="33">
        <f>M337+M357+M379+M384+M387</f>
        <v>45700</v>
      </c>
      <c r="N336" s="33">
        <f>N337+N357+N379+N384+N387</f>
        <v>50000</v>
      </c>
      <c r="O336" s="33">
        <f>M336+N336</f>
        <v>95700</v>
      </c>
      <c r="Q336" s="33">
        <f t="shared" ref="Q336:Q359" si="158">M336+I336</f>
        <v>1713645</v>
      </c>
      <c r="R336" s="33">
        <f t="shared" ref="R336:R359" si="159">N336+J336</f>
        <v>118200</v>
      </c>
      <c r="S336" s="33">
        <f t="shared" ref="S336:S359" si="160">O336+K336</f>
        <v>1831845</v>
      </c>
    </row>
    <row r="337" spans="2:19" ht="15.75" x14ac:dyDescent="0.25">
      <c r="B337" s="73">
        <f t="shared" ref="B337:B395" si="161">B336+1</f>
        <v>2</v>
      </c>
      <c r="C337" s="34">
        <v>1</v>
      </c>
      <c r="D337" s="227" t="s">
        <v>284</v>
      </c>
      <c r="E337" s="228"/>
      <c r="F337" s="228"/>
      <c r="G337" s="228"/>
      <c r="H337" s="229"/>
      <c r="I337" s="35">
        <f>I338+I339+I340+I348+I350</f>
        <v>1052800</v>
      </c>
      <c r="J337" s="35">
        <f t="shared" ref="J337" si="162">J338+J339+J340+J348+J350</f>
        <v>0</v>
      </c>
      <c r="K337" s="35">
        <f t="shared" ref="K337:K395" si="163">I337+J337</f>
        <v>1052800</v>
      </c>
      <c r="L337" s="135"/>
      <c r="M337" s="35">
        <f>M352</f>
        <v>15000</v>
      </c>
      <c r="N337" s="35">
        <f t="shared" ref="N337" si="164">N352</f>
        <v>0</v>
      </c>
      <c r="O337" s="35">
        <f t="shared" ref="O337:O395" si="165">M337+N337</f>
        <v>15000</v>
      </c>
      <c r="Q337" s="35">
        <f t="shared" si="158"/>
        <v>1067800</v>
      </c>
      <c r="R337" s="35">
        <f t="shared" si="159"/>
        <v>0</v>
      </c>
      <c r="S337" s="35">
        <f t="shared" si="160"/>
        <v>1067800</v>
      </c>
    </row>
    <row r="338" spans="2:19" x14ac:dyDescent="0.25">
      <c r="B338" s="73">
        <f>B337+1</f>
        <v>3</v>
      </c>
      <c r="C338" s="21"/>
      <c r="D338" s="21"/>
      <c r="E338" s="21"/>
      <c r="F338" s="42" t="s">
        <v>285</v>
      </c>
      <c r="G338" s="97">
        <v>610</v>
      </c>
      <c r="H338" s="21" t="s">
        <v>245</v>
      </c>
      <c r="I338" s="15">
        <v>640000</v>
      </c>
      <c r="J338" s="15"/>
      <c r="K338" s="15">
        <f t="shared" si="163"/>
        <v>640000</v>
      </c>
      <c r="L338" s="130"/>
      <c r="M338" s="15"/>
      <c r="N338" s="15"/>
      <c r="O338" s="15">
        <f t="shared" si="165"/>
        <v>0</v>
      </c>
      <c r="Q338" s="15">
        <f t="shared" si="158"/>
        <v>640000</v>
      </c>
      <c r="R338" s="15">
        <f t="shared" si="159"/>
        <v>0</v>
      </c>
      <c r="S338" s="15">
        <f t="shared" si="160"/>
        <v>640000</v>
      </c>
    </row>
    <row r="339" spans="2:19" x14ac:dyDescent="0.25">
      <c r="B339" s="73">
        <f t="shared" si="161"/>
        <v>4</v>
      </c>
      <c r="C339" s="21"/>
      <c r="D339" s="21"/>
      <c r="E339" s="21"/>
      <c r="F339" s="42" t="s">
        <v>285</v>
      </c>
      <c r="G339" s="97">
        <v>620</v>
      </c>
      <c r="H339" s="21" t="s">
        <v>228</v>
      </c>
      <c r="I339" s="15">
        <v>230000</v>
      </c>
      <c r="J339" s="15"/>
      <c r="K339" s="15">
        <f t="shared" si="163"/>
        <v>230000</v>
      </c>
      <c r="L339" s="130"/>
      <c r="M339" s="15"/>
      <c r="N339" s="15"/>
      <c r="O339" s="15">
        <f t="shared" si="165"/>
        <v>0</v>
      </c>
      <c r="Q339" s="15">
        <f t="shared" si="158"/>
        <v>230000</v>
      </c>
      <c r="R339" s="15">
        <f t="shared" si="159"/>
        <v>0</v>
      </c>
      <c r="S339" s="15">
        <f t="shared" si="160"/>
        <v>230000</v>
      </c>
    </row>
    <row r="340" spans="2:19" x14ac:dyDescent="0.25">
      <c r="B340" s="73">
        <f t="shared" si="161"/>
        <v>5</v>
      </c>
      <c r="C340" s="21"/>
      <c r="D340" s="21"/>
      <c r="E340" s="21"/>
      <c r="F340" s="42" t="s">
        <v>285</v>
      </c>
      <c r="G340" s="97">
        <v>630</v>
      </c>
      <c r="H340" s="21" t="s">
        <v>218</v>
      </c>
      <c r="I340" s="15">
        <f>SUM(I341:I347)</f>
        <v>181630</v>
      </c>
      <c r="J340" s="15">
        <f t="shared" ref="J340" si="166">SUM(J341:J347)</f>
        <v>0</v>
      </c>
      <c r="K340" s="15">
        <f t="shared" si="163"/>
        <v>181630</v>
      </c>
      <c r="L340" s="130"/>
      <c r="M340" s="15"/>
      <c r="N340" s="15"/>
      <c r="O340" s="15">
        <f t="shared" si="165"/>
        <v>0</v>
      </c>
      <c r="Q340" s="15">
        <f t="shared" si="158"/>
        <v>181630</v>
      </c>
      <c r="R340" s="15">
        <f t="shared" si="159"/>
        <v>0</v>
      </c>
      <c r="S340" s="15">
        <f t="shared" si="160"/>
        <v>181630</v>
      </c>
    </row>
    <row r="341" spans="2:19" x14ac:dyDescent="0.25">
      <c r="B341" s="73">
        <f t="shared" si="161"/>
        <v>6</v>
      </c>
      <c r="C341" s="9"/>
      <c r="D341" s="9"/>
      <c r="E341" s="9"/>
      <c r="F341" s="43" t="s">
        <v>285</v>
      </c>
      <c r="G341" s="98">
        <v>631</v>
      </c>
      <c r="H341" s="9" t="s">
        <v>219</v>
      </c>
      <c r="I341" s="10">
        <v>3670</v>
      </c>
      <c r="J341" s="10"/>
      <c r="K341" s="10">
        <f t="shared" si="163"/>
        <v>3670</v>
      </c>
      <c r="L341" s="131"/>
      <c r="M341" s="10"/>
      <c r="N341" s="10"/>
      <c r="O341" s="10">
        <f t="shared" si="165"/>
        <v>0</v>
      </c>
      <c r="Q341" s="10">
        <f t="shared" si="158"/>
        <v>3670</v>
      </c>
      <c r="R341" s="10">
        <f t="shared" si="159"/>
        <v>0</v>
      </c>
      <c r="S341" s="10">
        <f t="shared" si="160"/>
        <v>3670</v>
      </c>
    </row>
    <row r="342" spans="2:19" x14ac:dyDescent="0.25">
      <c r="B342" s="73">
        <f t="shared" si="161"/>
        <v>7</v>
      </c>
      <c r="C342" s="9"/>
      <c r="D342" s="9"/>
      <c r="E342" s="9"/>
      <c r="F342" s="43" t="s">
        <v>285</v>
      </c>
      <c r="G342" s="98">
        <v>632</v>
      </c>
      <c r="H342" s="9" t="s">
        <v>229</v>
      </c>
      <c r="I342" s="10">
        <v>25500</v>
      </c>
      <c r="J342" s="10"/>
      <c r="K342" s="10">
        <f t="shared" si="163"/>
        <v>25500</v>
      </c>
      <c r="L342" s="131"/>
      <c r="M342" s="10"/>
      <c r="N342" s="10"/>
      <c r="O342" s="10">
        <f t="shared" si="165"/>
        <v>0</v>
      </c>
      <c r="Q342" s="10">
        <f t="shared" si="158"/>
        <v>25500</v>
      </c>
      <c r="R342" s="10">
        <f t="shared" si="159"/>
        <v>0</v>
      </c>
      <c r="S342" s="10">
        <f t="shared" si="160"/>
        <v>25500</v>
      </c>
    </row>
    <row r="343" spans="2:19" x14ac:dyDescent="0.25">
      <c r="B343" s="73">
        <f t="shared" si="161"/>
        <v>8</v>
      </c>
      <c r="C343" s="9"/>
      <c r="D343" s="9"/>
      <c r="E343" s="9"/>
      <c r="F343" s="43" t="s">
        <v>285</v>
      </c>
      <c r="G343" s="98">
        <v>633</v>
      </c>
      <c r="H343" s="9" t="s">
        <v>220</v>
      </c>
      <c r="I343" s="10">
        <f>65950+4000</f>
        <v>69950</v>
      </c>
      <c r="J343" s="10"/>
      <c r="K343" s="10">
        <f t="shared" si="163"/>
        <v>69950</v>
      </c>
      <c r="L343" s="131"/>
      <c r="M343" s="10"/>
      <c r="N343" s="10"/>
      <c r="O343" s="10">
        <f t="shared" si="165"/>
        <v>0</v>
      </c>
      <c r="Q343" s="10">
        <f t="shared" si="158"/>
        <v>69950</v>
      </c>
      <c r="R343" s="10">
        <f t="shared" si="159"/>
        <v>0</v>
      </c>
      <c r="S343" s="10">
        <f t="shared" si="160"/>
        <v>69950</v>
      </c>
    </row>
    <row r="344" spans="2:19" x14ac:dyDescent="0.25">
      <c r="B344" s="73">
        <f t="shared" si="161"/>
        <v>9</v>
      </c>
      <c r="C344" s="9"/>
      <c r="D344" s="9"/>
      <c r="E344" s="9"/>
      <c r="F344" s="43" t="s">
        <v>285</v>
      </c>
      <c r="G344" s="98">
        <v>634</v>
      </c>
      <c r="H344" s="9" t="s">
        <v>221</v>
      </c>
      <c r="I344" s="10">
        <v>29980</v>
      </c>
      <c r="J344" s="10"/>
      <c r="K344" s="10">
        <f t="shared" si="163"/>
        <v>29980</v>
      </c>
      <c r="L344" s="131"/>
      <c r="M344" s="10"/>
      <c r="N344" s="10"/>
      <c r="O344" s="10">
        <f t="shared" si="165"/>
        <v>0</v>
      </c>
      <c r="Q344" s="10">
        <f t="shared" si="158"/>
        <v>29980</v>
      </c>
      <c r="R344" s="10">
        <f t="shared" si="159"/>
        <v>0</v>
      </c>
      <c r="S344" s="10">
        <f t="shared" si="160"/>
        <v>29980</v>
      </c>
    </row>
    <row r="345" spans="2:19" x14ac:dyDescent="0.25">
      <c r="B345" s="73">
        <f t="shared" si="161"/>
        <v>10</v>
      </c>
      <c r="C345" s="9"/>
      <c r="D345" s="9"/>
      <c r="E345" s="9"/>
      <c r="F345" s="43" t="s">
        <v>285</v>
      </c>
      <c r="G345" s="98">
        <v>635</v>
      </c>
      <c r="H345" s="9" t="s">
        <v>234</v>
      </c>
      <c r="I345" s="10">
        <v>6950</v>
      </c>
      <c r="J345" s="10"/>
      <c r="K345" s="10">
        <f t="shared" si="163"/>
        <v>6950</v>
      </c>
      <c r="L345" s="131"/>
      <c r="M345" s="10"/>
      <c r="N345" s="10"/>
      <c r="O345" s="10">
        <f t="shared" si="165"/>
        <v>0</v>
      </c>
      <c r="Q345" s="10">
        <f t="shared" si="158"/>
        <v>6950</v>
      </c>
      <c r="R345" s="10">
        <f t="shared" si="159"/>
        <v>0</v>
      </c>
      <c r="S345" s="10">
        <f t="shared" si="160"/>
        <v>6950</v>
      </c>
    </row>
    <row r="346" spans="2:19" x14ac:dyDescent="0.25">
      <c r="B346" s="73">
        <f t="shared" si="161"/>
        <v>11</v>
      </c>
      <c r="C346" s="9"/>
      <c r="D346" s="9"/>
      <c r="E346" s="9"/>
      <c r="F346" s="43" t="s">
        <v>285</v>
      </c>
      <c r="G346" s="98">
        <v>636</v>
      </c>
      <c r="H346" s="9" t="s">
        <v>222</v>
      </c>
      <c r="I346" s="10">
        <v>800</v>
      </c>
      <c r="J346" s="10"/>
      <c r="K346" s="10">
        <f t="shared" si="163"/>
        <v>800</v>
      </c>
      <c r="L346" s="131"/>
      <c r="M346" s="10"/>
      <c r="N346" s="10"/>
      <c r="O346" s="10">
        <f t="shared" si="165"/>
        <v>0</v>
      </c>
      <c r="Q346" s="10">
        <f t="shared" si="158"/>
        <v>800</v>
      </c>
      <c r="R346" s="10">
        <f t="shared" si="159"/>
        <v>0</v>
      </c>
      <c r="S346" s="10">
        <f t="shared" si="160"/>
        <v>800</v>
      </c>
    </row>
    <row r="347" spans="2:19" ht="15" customHeight="1" x14ac:dyDescent="0.25">
      <c r="B347" s="73">
        <f t="shared" si="161"/>
        <v>12</v>
      </c>
      <c r="C347" s="9"/>
      <c r="D347" s="9"/>
      <c r="E347" s="9"/>
      <c r="F347" s="43" t="s">
        <v>285</v>
      </c>
      <c r="G347" s="98">
        <v>637</v>
      </c>
      <c r="H347" s="9" t="s">
        <v>223</v>
      </c>
      <c r="I347" s="10">
        <v>44780</v>
      </c>
      <c r="J347" s="10"/>
      <c r="K347" s="10">
        <f t="shared" si="163"/>
        <v>44780</v>
      </c>
      <c r="L347" s="131"/>
      <c r="M347" s="10"/>
      <c r="N347" s="10"/>
      <c r="O347" s="10">
        <f t="shared" si="165"/>
        <v>0</v>
      </c>
      <c r="Q347" s="10">
        <f t="shared" si="158"/>
        <v>44780</v>
      </c>
      <c r="R347" s="10">
        <f t="shared" si="159"/>
        <v>0</v>
      </c>
      <c r="S347" s="10">
        <f t="shared" si="160"/>
        <v>44780</v>
      </c>
    </row>
    <row r="348" spans="2:19" ht="19.5" customHeight="1" x14ac:dyDescent="0.25">
      <c r="B348" s="73">
        <f t="shared" si="161"/>
        <v>13</v>
      </c>
      <c r="C348" s="21"/>
      <c r="D348" s="21"/>
      <c r="E348" s="21"/>
      <c r="F348" s="42" t="s">
        <v>266</v>
      </c>
      <c r="G348" s="97">
        <v>630</v>
      </c>
      <c r="H348" s="21" t="s">
        <v>218</v>
      </c>
      <c r="I348" s="15">
        <f>I349</f>
        <v>500</v>
      </c>
      <c r="J348" s="15">
        <f t="shared" ref="J348" si="167">J349</f>
        <v>0</v>
      </c>
      <c r="K348" s="15">
        <f t="shared" si="163"/>
        <v>500</v>
      </c>
      <c r="L348" s="130"/>
      <c r="M348" s="15"/>
      <c r="N348" s="15"/>
      <c r="O348" s="15">
        <f t="shared" si="165"/>
        <v>0</v>
      </c>
      <c r="Q348" s="15">
        <f t="shared" si="158"/>
        <v>500</v>
      </c>
      <c r="R348" s="15">
        <f t="shared" si="159"/>
        <v>0</v>
      </c>
      <c r="S348" s="15">
        <f t="shared" si="160"/>
        <v>500</v>
      </c>
    </row>
    <row r="349" spans="2:19" ht="15.75" customHeight="1" x14ac:dyDescent="0.25">
      <c r="B349" s="73">
        <f t="shared" si="161"/>
        <v>14</v>
      </c>
      <c r="C349" s="9"/>
      <c r="D349" s="9"/>
      <c r="E349" s="9"/>
      <c r="F349" s="43" t="s">
        <v>266</v>
      </c>
      <c r="G349" s="98">
        <v>637</v>
      </c>
      <c r="H349" s="9" t="s">
        <v>223</v>
      </c>
      <c r="I349" s="10">
        <v>500</v>
      </c>
      <c r="J349" s="10"/>
      <c r="K349" s="10">
        <f t="shared" si="163"/>
        <v>500</v>
      </c>
      <c r="L349" s="131"/>
      <c r="M349" s="10"/>
      <c r="N349" s="10"/>
      <c r="O349" s="10">
        <f t="shared" si="165"/>
        <v>0</v>
      </c>
      <c r="Q349" s="10">
        <f t="shared" si="158"/>
        <v>500</v>
      </c>
      <c r="R349" s="10">
        <f t="shared" si="159"/>
        <v>0</v>
      </c>
      <c r="S349" s="10">
        <f t="shared" si="160"/>
        <v>500</v>
      </c>
    </row>
    <row r="350" spans="2:19" x14ac:dyDescent="0.25">
      <c r="B350" s="73">
        <f t="shared" si="161"/>
        <v>15</v>
      </c>
      <c r="C350" s="21"/>
      <c r="D350" s="21"/>
      <c r="E350" s="21"/>
      <c r="F350" s="42" t="s">
        <v>285</v>
      </c>
      <c r="G350" s="97">
        <v>640</v>
      </c>
      <c r="H350" s="21" t="s">
        <v>230</v>
      </c>
      <c r="I350" s="15">
        <f>I351</f>
        <v>670</v>
      </c>
      <c r="J350" s="15">
        <f t="shared" ref="J350" si="168">J351</f>
        <v>0</v>
      </c>
      <c r="K350" s="15">
        <f t="shared" si="163"/>
        <v>670</v>
      </c>
      <c r="L350" s="130"/>
      <c r="M350" s="15"/>
      <c r="N350" s="15"/>
      <c r="O350" s="15">
        <f t="shared" si="165"/>
        <v>0</v>
      </c>
      <c r="Q350" s="15">
        <f t="shared" si="158"/>
        <v>670</v>
      </c>
      <c r="R350" s="15">
        <f t="shared" si="159"/>
        <v>0</v>
      </c>
      <c r="S350" s="15">
        <f t="shared" si="160"/>
        <v>670</v>
      </c>
    </row>
    <row r="351" spans="2:19" x14ac:dyDescent="0.25">
      <c r="B351" s="73">
        <f t="shared" si="161"/>
        <v>16</v>
      </c>
      <c r="C351" s="9"/>
      <c r="D351" s="9"/>
      <c r="E351" s="9"/>
      <c r="F351" s="43" t="s">
        <v>285</v>
      </c>
      <c r="G351" s="98">
        <v>642</v>
      </c>
      <c r="H351" s="9" t="s">
        <v>231</v>
      </c>
      <c r="I351" s="10">
        <v>670</v>
      </c>
      <c r="J351" s="10"/>
      <c r="K351" s="10">
        <f t="shared" si="163"/>
        <v>670</v>
      </c>
      <c r="L351" s="131"/>
      <c r="M351" s="10"/>
      <c r="N351" s="10"/>
      <c r="O351" s="10">
        <f t="shared" si="165"/>
        <v>0</v>
      </c>
      <c r="Q351" s="10">
        <f t="shared" si="158"/>
        <v>670</v>
      </c>
      <c r="R351" s="10">
        <f t="shared" si="159"/>
        <v>0</v>
      </c>
      <c r="S351" s="10">
        <f t="shared" si="160"/>
        <v>670</v>
      </c>
    </row>
    <row r="352" spans="2:19" x14ac:dyDescent="0.25">
      <c r="B352" s="73">
        <f t="shared" si="161"/>
        <v>17</v>
      </c>
      <c r="C352" s="21"/>
      <c r="D352" s="21"/>
      <c r="E352" s="21"/>
      <c r="F352" s="42" t="s">
        <v>285</v>
      </c>
      <c r="G352" s="97">
        <v>710</v>
      </c>
      <c r="H352" s="21" t="s">
        <v>235</v>
      </c>
      <c r="I352" s="15"/>
      <c r="J352" s="15"/>
      <c r="K352" s="15">
        <f t="shared" si="163"/>
        <v>0</v>
      </c>
      <c r="L352" s="130"/>
      <c r="M352" s="15">
        <f>M353+M355</f>
        <v>15000</v>
      </c>
      <c r="N352" s="15">
        <f t="shared" ref="N352" si="169">N353+N355</f>
        <v>0</v>
      </c>
      <c r="O352" s="15">
        <f t="shared" si="165"/>
        <v>15000</v>
      </c>
      <c r="Q352" s="15">
        <f t="shared" si="158"/>
        <v>15000</v>
      </c>
      <c r="R352" s="15">
        <f t="shared" si="159"/>
        <v>0</v>
      </c>
      <c r="S352" s="15">
        <f t="shared" si="160"/>
        <v>15000</v>
      </c>
    </row>
    <row r="353" spans="2:19" x14ac:dyDescent="0.25">
      <c r="B353" s="73">
        <f t="shared" si="161"/>
        <v>18</v>
      </c>
      <c r="C353" s="9"/>
      <c r="D353" s="9"/>
      <c r="E353" s="9"/>
      <c r="F353" s="43" t="s">
        <v>285</v>
      </c>
      <c r="G353" s="98">
        <v>713</v>
      </c>
      <c r="H353" s="9" t="s">
        <v>263</v>
      </c>
      <c r="I353" s="10"/>
      <c r="J353" s="10"/>
      <c r="K353" s="10">
        <f t="shared" si="163"/>
        <v>0</v>
      </c>
      <c r="L353" s="131"/>
      <c r="M353" s="10">
        <f>M354</f>
        <v>2500</v>
      </c>
      <c r="N353" s="10"/>
      <c r="O353" s="10">
        <f t="shared" si="165"/>
        <v>2500</v>
      </c>
      <c r="Q353" s="10">
        <f t="shared" si="158"/>
        <v>2500</v>
      </c>
      <c r="R353" s="10">
        <f t="shared" si="159"/>
        <v>0</v>
      </c>
      <c r="S353" s="10">
        <f t="shared" si="160"/>
        <v>2500</v>
      </c>
    </row>
    <row r="354" spans="2:19" hidden="1" x14ac:dyDescent="0.25">
      <c r="B354" s="73">
        <f t="shared" si="161"/>
        <v>19</v>
      </c>
      <c r="C354" s="12"/>
      <c r="D354" s="12"/>
      <c r="E354" s="12"/>
      <c r="F354" s="12"/>
      <c r="G354" s="99" t="s">
        <v>49</v>
      </c>
      <c r="H354" s="12" t="s">
        <v>399</v>
      </c>
      <c r="I354" s="13"/>
      <c r="J354" s="13"/>
      <c r="K354" s="13">
        <f t="shared" si="163"/>
        <v>0</v>
      </c>
      <c r="L354" s="132"/>
      <c r="M354" s="13">
        <v>2500</v>
      </c>
      <c r="N354" s="13">
        <v>2501</v>
      </c>
      <c r="O354" s="13">
        <f t="shared" si="165"/>
        <v>5001</v>
      </c>
      <c r="Q354" s="13">
        <f t="shared" si="158"/>
        <v>2500</v>
      </c>
      <c r="R354" s="13">
        <f t="shared" si="159"/>
        <v>2501</v>
      </c>
      <c r="S354" s="13">
        <f t="shared" si="160"/>
        <v>5001</v>
      </c>
    </row>
    <row r="355" spans="2:19" x14ac:dyDescent="0.25">
      <c r="B355" s="73">
        <f t="shared" si="161"/>
        <v>20</v>
      </c>
      <c r="C355" s="9"/>
      <c r="D355" s="9"/>
      <c r="E355" s="9"/>
      <c r="F355" s="43" t="s">
        <v>285</v>
      </c>
      <c r="G355" s="98">
        <v>714</v>
      </c>
      <c r="H355" s="9" t="s">
        <v>271</v>
      </c>
      <c r="I355" s="10"/>
      <c r="J355" s="10"/>
      <c r="K355" s="10">
        <f t="shared" si="163"/>
        <v>0</v>
      </c>
      <c r="L355" s="131"/>
      <c r="M355" s="10">
        <f>M356</f>
        <v>12500</v>
      </c>
      <c r="N355" s="10">
        <f t="shared" ref="N355" si="170">N356</f>
        <v>0</v>
      </c>
      <c r="O355" s="10">
        <f t="shared" si="165"/>
        <v>12500</v>
      </c>
      <c r="Q355" s="10">
        <f t="shared" si="158"/>
        <v>12500</v>
      </c>
      <c r="R355" s="10">
        <f t="shared" si="159"/>
        <v>0</v>
      </c>
      <c r="S355" s="10">
        <f t="shared" si="160"/>
        <v>12500</v>
      </c>
    </row>
    <row r="356" spans="2:19" x14ac:dyDescent="0.25">
      <c r="B356" s="73">
        <f t="shared" si="161"/>
        <v>21</v>
      </c>
      <c r="C356" s="12"/>
      <c r="D356" s="12"/>
      <c r="E356" s="12"/>
      <c r="F356" s="12"/>
      <c r="G356" s="99" t="s">
        <v>49</v>
      </c>
      <c r="H356" s="12" t="s">
        <v>272</v>
      </c>
      <c r="I356" s="13"/>
      <c r="J356" s="13"/>
      <c r="K356" s="13">
        <f t="shared" si="163"/>
        <v>0</v>
      </c>
      <c r="L356" s="132"/>
      <c r="M356" s="13">
        <v>12500</v>
      </c>
      <c r="N356" s="13"/>
      <c r="O356" s="13">
        <f t="shared" si="165"/>
        <v>12500</v>
      </c>
      <c r="Q356" s="13">
        <f t="shared" si="158"/>
        <v>12500</v>
      </c>
      <c r="R356" s="13">
        <f t="shared" si="159"/>
        <v>0</v>
      </c>
      <c r="S356" s="13">
        <f t="shared" si="160"/>
        <v>12500</v>
      </c>
    </row>
    <row r="357" spans="2:19" ht="15.75" x14ac:dyDescent="0.25">
      <c r="B357" s="73">
        <f t="shared" si="161"/>
        <v>22</v>
      </c>
      <c r="C357" s="34">
        <v>2</v>
      </c>
      <c r="D357" s="227" t="s">
        <v>75</v>
      </c>
      <c r="E357" s="228"/>
      <c r="F357" s="228"/>
      <c r="G357" s="228"/>
      <c r="H357" s="229"/>
      <c r="I357" s="35">
        <f>I358+I364</f>
        <v>576785</v>
      </c>
      <c r="J357" s="35">
        <f>J358+J364</f>
        <v>65200</v>
      </c>
      <c r="K357" s="35">
        <f t="shared" si="163"/>
        <v>641985</v>
      </c>
      <c r="L357" s="135"/>
      <c r="M357" s="35">
        <f>M364+M361</f>
        <v>7700</v>
      </c>
      <c r="N357" s="35">
        <f>N364+N361</f>
        <v>50000</v>
      </c>
      <c r="O357" s="35">
        <f t="shared" si="165"/>
        <v>57700</v>
      </c>
      <c r="Q357" s="35">
        <f t="shared" si="158"/>
        <v>584485</v>
      </c>
      <c r="R357" s="35">
        <f t="shared" si="159"/>
        <v>115200</v>
      </c>
      <c r="S357" s="35">
        <f t="shared" si="160"/>
        <v>699685</v>
      </c>
    </row>
    <row r="358" spans="2:19" x14ac:dyDescent="0.25">
      <c r="B358" s="73">
        <f t="shared" si="161"/>
        <v>23</v>
      </c>
      <c r="C358" s="21"/>
      <c r="D358" s="21"/>
      <c r="E358" s="21"/>
      <c r="F358" s="42" t="s">
        <v>280</v>
      </c>
      <c r="G358" s="97">
        <v>630</v>
      </c>
      <c r="H358" s="21" t="s">
        <v>218</v>
      </c>
      <c r="I358" s="15">
        <f>I359</f>
        <v>46520</v>
      </c>
      <c r="J358" s="15">
        <f>J359+J360</f>
        <v>65200</v>
      </c>
      <c r="K358" s="15">
        <f t="shared" si="163"/>
        <v>111720</v>
      </c>
      <c r="L358" s="130"/>
      <c r="M358" s="15"/>
      <c r="N358" s="15"/>
      <c r="O358" s="15">
        <f t="shared" si="165"/>
        <v>0</v>
      </c>
      <c r="Q358" s="15">
        <f t="shared" si="158"/>
        <v>46520</v>
      </c>
      <c r="R358" s="15">
        <f t="shared" si="159"/>
        <v>65200</v>
      </c>
      <c r="S358" s="15">
        <f t="shared" si="160"/>
        <v>111720</v>
      </c>
    </row>
    <row r="359" spans="2:19" x14ac:dyDescent="0.25">
      <c r="B359" s="73">
        <f t="shared" si="161"/>
        <v>24</v>
      </c>
      <c r="C359" s="9"/>
      <c r="D359" s="9"/>
      <c r="E359" s="9"/>
      <c r="F359" s="43" t="s">
        <v>280</v>
      </c>
      <c r="G359" s="98">
        <v>632</v>
      </c>
      <c r="H359" s="9" t="s">
        <v>229</v>
      </c>
      <c r="I359" s="10">
        <f>40000+6520</f>
        <v>46520</v>
      </c>
      <c r="J359" s="10">
        <v>41200</v>
      </c>
      <c r="K359" s="10">
        <f t="shared" si="163"/>
        <v>87720</v>
      </c>
      <c r="L359" s="131"/>
      <c r="M359" s="10"/>
      <c r="N359" s="10"/>
      <c r="O359" s="10">
        <f t="shared" si="165"/>
        <v>0</v>
      </c>
      <c r="Q359" s="10">
        <f t="shared" si="158"/>
        <v>46520</v>
      </c>
      <c r="R359" s="10">
        <f t="shared" si="159"/>
        <v>41200</v>
      </c>
      <c r="S359" s="10">
        <f t="shared" si="160"/>
        <v>87720</v>
      </c>
    </row>
    <row r="360" spans="2:19" s="80" customFormat="1" ht="24" x14ac:dyDescent="0.25">
      <c r="B360" s="73">
        <f t="shared" si="161"/>
        <v>25</v>
      </c>
      <c r="C360" s="76"/>
      <c r="D360" s="76"/>
      <c r="E360" s="76"/>
      <c r="F360" s="77" t="s">
        <v>280</v>
      </c>
      <c r="G360" s="101">
        <v>637</v>
      </c>
      <c r="H360" s="188" t="s">
        <v>648</v>
      </c>
      <c r="I360" s="79">
        <v>0</v>
      </c>
      <c r="J360" s="79">
        <v>24000</v>
      </c>
      <c r="K360" s="79">
        <f>J360+I360</f>
        <v>24000</v>
      </c>
      <c r="L360" s="142"/>
      <c r="M360" s="79"/>
      <c r="N360" s="79"/>
      <c r="O360" s="79">
        <f t="shared" si="165"/>
        <v>0</v>
      </c>
      <c r="Q360" s="79">
        <f t="shared" ref="Q360" si="171">M360+I360</f>
        <v>0</v>
      </c>
      <c r="R360" s="79">
        <f t="shared" ref="R360" si="172">N360+J360</f>
        <v>24000</v>
      </c>
      <c r="S360" s="79">
        <f t="shared" ref="S360" si="173">O360+K360</f>
        <v>24000</v>
      </c>
    </row>
    <row r="361" spans="2:19" x14ac:dyDescent="0.25">
      <c r="B361" s="73">
        <f t="shared" si="161"/>
        <v>26</v>
      </c>
      <c r="C361" s="9"/>
      <c r="D361" s="9"/>
      <c r="E361" s="9"/>
      <c r="F361" s="42" t="s">
        <v>280</v>
      </c>
      <c r="G361" s="97">
        <v>710</v>
      </c>
      <c r="H361" s="21" t="s">
        <v>235</v>
      </c>
      <c r="I361" s="15"/>
      <c r="J361" s="15"/>
      <c r="K361" s="15">
        <f t="shared" si="163"/>
        <v>0</v>
      </c>
      <c r="L361" s="130"/>
      <c r="M361" s="15">
        <f>M362</f>
        <v>6000</v>
      </c>
      <c r="N361" s="15">
        <f>N362</f>
        <v>0</v>
      </c>
      <c r="O361" s="15">
        <f t="shared" si="165"/>
        <v>6000</v>
      </c>
      <c r="Q361" s="15">
        <f t="shared" ref="Q361:Q363" si="174">I361+M361</f>
        <v>6000</v>
      </c>
      <c r="R361" s="15">
        <f t="shared" ref="R361:R363" si="175">J361+N361</f>
        <v>0</v>
      </c>
      <c r="S361" s="15">
        <f t="shared" ref="S361:S363" si="176">K361+O361</f>
        <v>6000</v>
      </c>
    </row>
    <row r="362" spans="2:19" x14ac:dyDescent="0.25">
      <c r="B362" s="73">
        <f t="shared" si="161"/>
        <v>27</v>
      </c>
      <c r="C362" s="9"/>
      <c r="D362" s="9"/>
      <c r="E362" s="9"/>
      <c r="F362" s="43" t="s">
        <v>280</v>
      </c>
      <c r="G362" s="98">
        <v>717</v>
      </c>
      <c r="H362" s="9" t="s">
        <v>240</v>
      </c>
      <c r="I362" s="10"/>
      <c r="J362" s="10"/>
      <c r="K362" s="10">
        <f t="shared" si="163"/>
        <v>0</v>
      </c>
      <c r="L362" s="131"/>
      <c r="M362" s="10">
        <f>M363</f>
        <v>6000</v>
      </c>
      <c r="N362" s="10">
        <f t="shared" ref="N362" si="177">N363</f>
        <v>0</v>
      </c>
      <c r="O362" s="10">
        <f t="shared" si="165"/>
        <v>6000</v>
      </c>
      <c r="Q362" s="10">
        <f t="shared" si="174"/>
        <v>6000</v>
      </c>
      <c r="R362" s="10">
        <f t="shared" si="175"/>
        <v>0</v>
      </c>
      <c r="S362" s="10">
        <f t="shared" si="176"/>
        <v>6000</v>
      </c>
    </row>
    <row r="363" spans="2:19" x14ac:dyDescent="0.25">
      <c r="B363" s="73">
        <f t="shared" si="161"/>
        <v>28</v>
      </c>
      <c r="C363" s="9"/>
      <c r="D363" s="9"/>
      <c r="E363" s="9"/>
      <c r="F363" s="43"/>
      <c r="G363" s="98"/>
      <c r="H363" s="67" t="s">
        <v>603</v>
      </c>
      <c r="I363" s="10"/>
      <c r="J363" s="10"/>
      <c r="K363" s="10">
        <f t="shared" si="163"/>
        <v>0</v>
      </c>
      <c r="L363" s="131"/>
      <c r="M363" s="13">
        <v>6000</v>
      </c>
      <c r="N363" s="13"/>
      <c r="O363" s="13">
        <f t="shared" si="165"/>
        <v>6000</v>
      </c>
      <c r="Q363" s="10">
        <f t="shared" si="174"/>
        <v>6000</v>
      </c>
      <c r="R363" s="10">
        <f t="shared" si="175"/>
        <v>0</v>
      </c>
      <c r="S363" s="10">
        <f t="shared" si="176"/>
        <v>6000</v>
      </c>
    </row>
    <row r="364" spans="2:19" x14ac:dyDescent="0.25">
      <c r="B364" s="73">
        <f t="shared" si="161"/>
        <v>29</v>
      </c>
      <c r="C364" s="38"/>
      <c r="D364" s="38"/>
      <c r="E364" s="38">
        <v>2</v>
      </c>
      <c r="F364" s="38"/>
      <c r="G364" s="95"/>
      <c r="H364" s="38" t="s">
        <v>48</v>
      </c>
      <c r="I364" s="39">
        <f>I365</f>
        <v>530265</v>
      </c>
      <c r="J364" s="39">
        <f t="shared" ref="J364" si="178">J365</f>
        <v>0</v>
      </c>
      <c r="K364" s="39">
        <f t="shared" si="163"/>
        <v>530265</v>
      </c>
      <c r="L364" s="138"/>
      <c r="M364" s="39">
        <f>M365</f>
        <v>1700</v>
      </c>
      <c r="N364" s="39">
        <f t="shared" ref="N364" si="179">N365</f>
        <v>50000</v>
      </c>
      <c r="O364" s="39">
        <f t="shared" si="165"/>
        <v>51700</v>
      </c>
      <c r="Q364" s="39">
        <f t="shared" ref="Q364:Q395" si="180">M364+I364</f>
        <v>531965</v>
      </c>
      <c r="R364" s="39">
        <f t="shared" ref="R364:R395" si="181">N364+J364</f>
        <v>50000</v>
      </c>
      <c r="S364" s="39">
        <f t="shared" ref="S364:S395" si="182">O364+K364</f>
        <v>581965</v>
      </c>
    </row>
    <row r="365" spans="2:19" x14ac:dyDescent="0.25">
      <c r="B365" s="73">
        <f t="shared" si="161"/>
        <v>30</v>
      </c>
      <c r="C365" s="40"/>
      <c r="D365" s="40"/>
      <c r="E365" s="40" t="s">
        <v>49</v>
      </c>
      <c r="F365" s="40"/>
      <c r="G365" s="96"/>
      <c r="H365" s="40" t="s">
        <v>75</v>
      </c>
      <c r="I365" s="41">
        <f>I366+I367+I368+I374</f>
        <v>530265</v>
      </c>
      <c r="J365" s="41">
        <f t="shared" ref="J365" si="183">J366+J367+J368+J374</f>
        <v>0</v>
      </c>
      <c r="K365" s="41">
        <f t="shared" si="163"/>
        <v>530265</v>
      </c>
      <c r="L365" s="130"/>
      <c r="M365" s="41">
        <f>M376</f>
        <v>1700</v>
      </c>
      <c r="N365" s="41">
        <f t="shared" ref="N365" si="184">N376</f>
        <v>50000</v>
      </c>
      <c r="O365" s="41">
        <f t="shared" si="165"/>
        <v>51700</v>
      </c>
      <c r="Q365" s="41">
        <f t="shared" si="180"/>
        <v>531965</v>
      </c>
      <c r="R365" s="41">
        <f t="shared" si="181"/>
        <v>50000</v>
      </c>
      <c r="S365" s="41">
        <f t="shared" si="182"/>
        <v>581965</v>
      </c>
    </row>
    <row r="366" spans="2:19" x14ac:dyDescent="0.25">
      <c r="B366" s="73">
        <f t="shared" si="161"/>
        <v>31</v>
      </c>
      <c r="C366" s="21"/>
      <c r="D366" s="21"/>
      <c r="E366" s="21"/>
      <c r="F366" s="42" t="s">
        <v>280</v>
      </c>
      <c r="G366" s="97">
        <v>610</v>
      </c>
      <c r="H366" s="21" t="s">
        <v>245</v>
      </c>
      <c r="I366" s="15">
        <v>34100</v>
      </c>
      <c r="J366" s="15"/>
      <c r="K366" s="15">
        <f t="shared" si="163"/>
        <v>34100</v>
      </c>
      <c r="L366" s="130"/>
      <c r="M366" s="15"/>
      <c r="N366" s="15"/>
      <c r="O366" s="15">
        <f t="shared" si="165"/>
        <v>0</v>
      </c>
      <c r="Q366" s="15">
        <f t="shared" si="180"/>
        <v>34100</v>
      </c>
      <c r="R366" s="15">
        <f t="shared" si="181"/>
        <v>0</v>
      </c>
      <c r="S366" s="15">
        <f t="shared" si="182"/>
        <v>34100</v>
      </c>
    </row>
    <row r="367" spans="2:19" x14ac:dyDescent="0.25">
      <c r="B367" s="73">
        <f t="shared" si="161"/>
        <v>32</v>
      </c>
      <c r="C367" s="21"/>
      <c r="D367" s="21"/>
      <c r="E367" s="21"/>
      <c r="F367" s="42" t="s">
        <v>280</v>
      </c>
      <c r="G367" s="97">
        <v>620</v>
      </c>
      <c r="H367" s="21" t="s">
        <v>228</v>
      </c>
      <c r="I367" s="15">
        <v>15565</v>
      </c>
      <c r="J367" s="15"/>
      <c r="K367" s="15">
        <f t="shared" si="163"/>
        <v>15565</v>
      </c>
      <c r="L367" s="130"/>
      <c r="M367" s="15"/>
      <c r="N367" s="15"/>
      <c r="O367" s="15">
        <f t="shared" si="165"/>
        <v>0</v>
      </c>
      <c r="Q367" s="15">
        <f t="shared" si="180"/>
        <v>15565</v>
      </c>
      <c r="R367" s="15">
        <f t="shared" si="181"/>
        <v>0</v>
      </c>
      <c r="S367" s="15">
        <f t="shared" si="182"/>
        <v>15565</v>
      </c>
    </row>
    <row r="368" spans="2:19" ht="14.25" customHeight="1" x14ac:dyDescent="0.25">
      <c r="B368" s="73">
        <f t="shared" si="161"/>
        <v>33</v>
      </c>
      <c r="C368" s="21"/>
      <c r="D368" s="21"/>
      <c r="E368" s="21"/>
      <c r="F368" s="42" t="s">
        <v>280</v>
      </c>
      <c r="G368" s="97">
        <v>630</v>
      </c>
      <c r="H368" s="21" t="s">
        <v>218</v>
      </c>
      <c r="I368" s="15">
        <f>SUM(I369:I373)</f>
        <v>480400</v>
      </c>
      <c r="J368" s="15">
        <f t="shared" ref="J368" si="185">SUM(J369:J373)</f>
        <v>0</v>
      </c>
      <c r="K368" s="15">
        <f t="shared" si="163"/>
        <v>480400</v>
      </c>
      <c r="L368" s="130"/>
      <c r="M368" s="15"/>
      <c r="N368" s="15"/>
      <c r="O368" s="15">
        <f t="shared" si="165"/>
        <v>0</v>
      </c>
      <c r="Q368" s="15">
        <f t="shared" si="180"/>
        <v>480400</v>
      </c>
      <c r="R368" s="15">
        <f t="shared" si="181"/>
        <v>0</v>
      </c>
      <c r="S368" s="15">
        <f t="shared" si="182"/>
        <v>480400</v>
      </c>
    </row>
    <row r="369" spans="2:19" ht="15" customHeight="1" x14ac:dyDescent="0.25">
      <c r="B369" s="73">
        <f t="shared" si="161"/>
        <v>34</v>
      </c>
      <c r="C369" s="9"/>
      <c r="D369" s="9"/>
      <c r="E369" s="9"/>
      <c r="F369" s="43" t="s">
        <v>280</v>
      </c>
      <c r="G369" s="98">
        <v>632</v>
      </c>
      <c r="H369" s="9" t="s">
        <v>229</v>
      </c>
      <c r="I369" s="10">
        <v>412500</v>
      </c>
      <c r="J369" s="10"/>
      <c r="K369" s="10">
        <f t="shared" si="163"/>
        <v>412500</v>
      </c>
      <c r="L369" s="131"/>
      <c r="M369" s="10"/>
      <c r="N369" s="10"/>
      <c r="O369" s="10">
        <f t="shared" si="165"/>
        <v>0</v>
      </c>
      <c r="Q369" s="10">
        <f t="shared" si="180"/>
        <v>412500</v>
      </c>
      <c r="R369" s="10">
        <f t="shared" si="181"/>
        <v>0</v>
      </c>
      <c r="S369" s="10">
        <f t="shared" si="182"/>
        <v>412500</v>
      </c>
    </row>
    <row r="370" spans="2:19" ht="14.25" customHeight="1" x14ac:dyDescent="0.25">
      <c r="B370" s="73">
        <f t="shared" si="161"/>
        <v>35</v>
      </c>
      <c r="C370" s="9"/>
      <c r="D370" s="9"/>
      <c r="E370" s="9"/>
      <c r="F370" s="43" t="s">
        <v>280</v>
      </c>
      <c r="G370" s="98">
        <v>633</v>
      </c>
      <c r="H370" s="9" t="s">
        <v>220</v>
      </c>
      <c r="I370" s="10">
        <v>25600</v>
      </c>
      <c r="J370" s="10"/>
      <c r="K370" s="10">
        <f t="shared" si="163"/>
        <v>25600</v>
      </c>
      <c r="L370" s="131"/>
      <c r="M370" s="10"/>
      <c r="N370" s="10"/>
      <c r="O370" s="10">
        <f t="shared" si="165"/>
        <v>0</v>
      </c>
      <c r="Q370" s="10">
        <f t="shared" si="180"/>
        <v>25600</v>
      </c>
      <c r="R370" s="10">
        <f t="shared" si="181"/>
        <v>0</v>
      </c>
      <c r="S370" s="10">
        <f t="shared" si="182"/>
        <v>25600</v>
      </c>
    </row>
    <row r="371" spans="2:19" x14ac:dyDescent="0.25">
      <c r="B371" s="73">
        <f t="shared" si="161"/>
        <v>36</v>
      </c>
      <c r="C371" s="9"/>
      <c r="D371" s="9"/>
      <c r="E371" s="9"/>
      <c r="F371" s="43" t="s">
        <v>280</v>
      </c>
      <c r="G371" s="98">
        <v>634</v>
      </c>
      <c r="H371" s="9" t="s">
        <v>221</v>
      </c>
      <c r="I371" s="10">
        <v>6000</v>
      </c>
      <c r="J371" s="10"/>
      <c r="K371" s="10">
        <f t="shared" si="163"/>
        <v>6000</v>
      </c>
      <c r="L371" s="131"/>
      <c r="M371" s="10"/>
      <c r="N371" s="10"/>
      <c r="O371" s="10">
        <f t="shared" si="165"/>
        <v>0</v>
      </c>
      <c r="Q371" s="10">
        <f t="shared" si="180"/>
        <v>6000</v>
      </c>
      <c r="R371" s="10">
        <f t="shared" si="181"/>
        <v>0</v>
      </c>
      <c r="S371" s="10">
        <f t="shared" si="182"/>
        <v>6000</v>
      </c>
    </row>
    <row r="372" spans="2:19" x14ac:dyDescent="0.25">
      <c r="B372" s="73">
        <f t="shared" si="161"/>
        <v>37</v>
      </c>
      <c r="C372" s="9"/>
      <c r="D372" s="9"/>
      <c r="E372" s="9"/>
      <c r="F372" s="43" t="s">
        <v>280</v>
      </c>
      <c r="G372" s="98">
        <v>635</v>
      </c>
      <c r="H372" s="9" t="s">
        <v>234</v>
      </c>
      <c r="I372" s="10">
        <v>9000</v>
      </c>
      <c r="J372" s="10"/>
      <c r="K372" s="10">
        <f t="shared" si="163"/>
        <v>9000</v>
      </c>
      <c r="L372" s="131"/>
      <c r="M372" s="10"/>
      <c r="N372" s="10"/>
      <c r="O372" s="10">
        <f t="shared" si="165"/>
        <v>0</v>
      </c>
      <c r="Q372" s="10">
        <f t="shared" si="180"/>
        <v>9000</v>
      </c>
      <c r="R372" s="10">
        <f t="shared" si="181"/>
        <v>0</v>
      </c>
      <c r="S372" s="10">
        <f t="shared" si="182"/>
        <v>9000</v>
      </c>
    </row>
    <row r="373" spans="2:19" x14ac:dyDescent="0.25">
      <c r="B373" s="73">
        <f t="shared" si="161"/>
        <v>38</v>
      </c>
      <c r="C373" s="9"/>
      <c r="D373" s="9"/>
      <c r="E373" s="9"/>
      <c r="F373" s="43" t="s">
        <v>280</v>
      </c>
      <c r="G373" s="98">
        <v>637</v>
      </c>
      <c r="H373" s="9" t="s">
        <v>223</v>
      </c>
      <c r="I373" s="10">
        <f>27500-200</f>
        <v>27300</v>
      </c>
      <c r="J373" s="10"/>
      <c r="K373" s="10">
        <f t="shared" si="163"/>
        <v>27300</v>
      </c>
      <c r="L373" s="131"/>
      <c r="M373" s="10"/>
      <c r="N373" s="10"/>
      <c r="O373" s="10">
        <f t="shared" si="165"/>
        <v>0</v>
      </c>
      <c r="Q373" s="10">
        <f t="shared" si="180"/>
        <v>27300</v>
      </c>
      <c r="R373" s="10">
        <f t="shared" si="181"/>
        <v>0</v>
      </c>
      <c r="S373" s="10">
        <f t="shared" si="182"/>
        <v>27300</v>
      </c>
    </row>
    <row r="374" spans="2:19" x14ac:dyDescent="0.25">
      <c r="B374" s="73">
        <f t="shared" si="161"/>
        <v>39</v>
      </c>
      <c r="C374" s="9"/>
      <c r="D374" s="9"/>
      <c r="E374" s="9"/>
      <c r="F374" s="42" t="s">
        <v>280</v>
      </c>
      <c r="G374" s="97">
        <v>640</v>
      </c>
      <c r="H374" s="21" t="s">
        <v>230</v>
      </c>
      <c r="I374" s="15">
        <f>I375</f>
        <v>200</v>
      </c>
      <c r="J374" s="15">
        <f t="shared" ref="J374" si="186">J375</f>
        <v>0</v>
      </c>
      <c r="K374" s="15">
        <f t="shared" si="163"/>
        <v>200</v>
      </c>
      <c r="L374" s="130"/>
      <c r="M374" s="15"/>
      <c r="N374" s="15"/>
      <c r="O374" s="15">
        <f t="shared" si="165"/>
        <v>0</v>
      </c>
      <c r="Q374" s="15">
        <f t="shared" si="180"/>
        <v>200</v>
      </c>
      <c r="R374" s="15">
        <f t="shared" si="181"/>
        <v>0</v>
      </c>
      <c r="S374" s="15">
        <f t="shared" si="182"/>
        <v>200</v>
      </c>
    </row>
    <row r="375" spans="2:19" x14ac:dyDescent="0.25">
      <c r="B375" s="73">
        <f t="shared" si="161"/>
        <v>40</v>
      </c>
      <c r="C375" s="9"/>
      <c r="D375" s="9"/>
      <c r="E375" s="9"/>
      <c r="F375" s="43" t="s">
        <v>280</v>
      </c>
      <c r="G375" s="98">
        <v>642</v>
      </c>
      <c r="H375" s="9" t="s">
        <v>231</v>
      </c>
      <c r="I375" s="10">
        <v>200</v>
      </c>
      <c r="J375" s="10"/>
      <c r="K375" s="10">
        <f t="shared" si="163"/>
        <v>200</v>
      </c>
      <c r="L375" s="131"/>
      <c r="M375" s="10"/>
      <c r="N375" s="10"/>
      <c r="O375" s="10">
        <f t="shared" si="165"/>
        <v>0</v>
      </c>
      <c r="Q375" s="10">
        <f t="shared" si="180"/>
        <v>200</v>
      </c>
      <c r="R375" s="10">
        <f t="shared" si="181"/>
        <v>0</v>
      </c>
      <c r="S375" s="10">
        <f t="shared" si="182"/>
        <v>200</v>
      </c>
    </row>
    <row r="376" spans="2:19" x14ac:dyDescent="0.25">
      <c r="B376" s="73">
        <f t="shared" si="161"/>
        <v>41</v>
      </c>
      <c r="C376" s="21"/>
      <c r="D376" s="21"/>
      <c r="E376" s="21"/>
      <c r="F376" s="42" t="s">
        <v>280</v>
      </c>
      <c r="G376" s="97">
        <v>710</v>
      </c>
      <c r="H376" s="21" t="s">
        <v>235</v>
      </c>
      <c r="I376" s="15"/>
      <c r="J376" s="15"/>
      <c r="K376" s="15">
        <f t="shared" si="163"/>
        <v>0</v>
      </c>
      <c r="L376" s="130"/>
      <c r="M376" s="15">
        <f>M377</f>
        <v>1700</v>
      </c>
      <c r="N376" s="15">
        <f>N378</f>
        <v>50000</v>
      </c>
      <c r="O376" s="15">
        <f t="shared" si="165"/>
        <v>51700</v>
      </c>
      <c r="Q376" s="15">
        <f t="shared" si="180"/>
        <v>1700</v>
      </c>
      <c r="R376" s="15">
        <f t="shared" si="181"/>
        <v>50000</v>
      </c>
      <c r="S376" s="15">
        <f t="shared" si="182"/>
        <v>51700</v>
      </c>
    </row>
    <row r="377" spans="2:19" x14ac:dyDescent="0.25">
      <c r="B377" s="73">
        <f t="shared" si="161"/>
        <v>42</v>
      </c>
      <c r="C377" s="9"/>
      <c r="D377" s="9"/>
      <c r="E377" s="9"/>
      <c r="F377" s="43" t="s">
        <v>280</v>
      </c>
      <c r="G377" s="98">
        <v>713</v>
      </c>
      <c r="H377" s="9" t="s">
        <v>263</v>
      </c>
      <c r="I377" s="10"/>
      <c r="J377" s="10"/>
      <c r="K377" s="10">
        <f t="shared" si="163"/>
        <v>0</v>
      </c>
      <c r="L377" s="131"/>
      <c r="M377" s="10">
        <v>1700</v>
      </c>
      <c r="N377" s="10"/>
      <c r="O377" s="10">
        <f t="shared" si="165"/>
        <v>1700</v>
      </c>
      <c r="Q377" s="10">
        <f t="shared" si="180"/>
        <v>1700</v>
      </c>
      <c r="R377" s="10">
        <f t="shared" si="181"/>
        <v>0</v>
      </c>
      <c r="S377" s="10">
        <f t="shared" si="182"/>
        <v>1700</v>
      </c>
    </row>
    <row r="378" spans="2:19" x14ac:dyDescent="0.25">
      <c r="B378" s="73">
        <f t="shared" si="161"/>
        <v>43</v>
      </c>
      <c r="C378" s="9"/>
      <c r="D378" s="48"/>
      <c r="E378" s="9"/>
      <c r="F378" s="43" t="s">
        <v>280</v>
      </c>
      <c r="G378" s="98">
        <v>713</v>
      </c>
      <c r="H378" s="49" t="s">
        <v>643</v>
      </c>
      <c r="I378" s="10"/>
      <c r="J378" s="10"/>
      <c r="K378" s="10">
        <v>0</v>
      </c>
      <c r="L378" s="131"/>
      <c r="M378" s="10">
        <v>0</v>
      </c>
      <c r="N378" s="10">
        <v>50000</v>
      </c>
      <c r="O378" s="10">
        <f t="shared" si="165"/>
        <v>50000</v>
      </c>
      <c r="Q378" s="10">
        <f t="shared" ref="Q378" si="187">M378+I378</f>
        <v>0</v>
      </c>
      <c r="R378" s="10">
        <f t="shared" ref="R378" si="188">N378+J378</f>
        <v>50000</v>
      </c>
      <c r="S378" s="10">
        <f t="shared" ref="S378" si="189">O378+K378</f>
        <v>50000</v>
      </c>
    </row>
    <row r="379" spans="2:19" ht="15.75" x14ac:dyDescent="0.25">
      <c r="B379" s="73">
        <f t="shared" si="161"/>
        <v>44</v>
      </c>
      <c r="C379" s="34">
        <v>3</v>
      </c>
      <c r="D379" s="227" t="s">
        <v>286</v>
      </c>
      <c r="E379" s="228"/>
      <c r="F379" s="228"/>
      <c r="G379" s="228"/>
      <c r="H379" s="229"/>
      <c r="I379" s="35">
        <f>I380</f>
        <v>7000</v>
      </c>
      <c r="J379" s="35">
        <f t="shared" ref="J379:J380" si="190">J380</f>
        <v>0</v>
      </c>
      <c r="K379" s="35">
        <f t="shared" si="163"/>
        <v>7000</v>
      </c>
      <c r="L379" s="135"/>
      <c r="M379" s="35">
        <f>M382</f>
        <v>23000</v>
      </c>
      <c r="N379" s="35">
        <f t="shared" ref="N379" si="191">N382</f>
        <v>0</v>
      </c>
      <c r="O379" s="35">
        <f t="shared" si="165"/>
        <v>23000</v>
      </c>
      <c r="Q379" s="35">
        <f t="shared" si="180"/>
        <v>30000</v>
      </c>
      <c r="R379" s="35">
        <f t="shared" si="181"/>
        <v>0</v>
      </c>
      <c r="S379" s="35">
        <f t="shared" si="182"/>
        <v>30000</v>
      </c>
    </row>
    <row r="380" spans="2:19" x14ac:dyDescent="0.25">
      <c r="B380" s="73">
        <f t="shared" si="161"/>
        <v>45</v>
      </c>
      <c r="C380" s="21"/>
      <c r="D380" s="21"/>
      <c r="E380" s="21"/>
      <c r="F380" s="42" t="s">
        <v>279</v>
      </c>
      <c r="G380" s="97">
        <v>630</v>
      </c>
      <c r="H380" s="21" t="s">
        <v>218</v>
      </c>
      <c r="I380" s="15">
        <f>I381</f>
        <v>7000</v>
      </c>
      <c r="J380" s="15">
        <f t="shared" si="190"/>
        <v>0</v>
      </c>
      <c r="K380" s="15">
        <f t="shared" si="163"/>
        <v>7000</v>
      </c>
      <c r="L380" s="130"/>
      <c r="M380" s="15"/>
      <c r="N380" s="15"/>
      <c r="O380" s="15">
        <f t="shared" si="165"/>
        <v>0</v>
      </c>
      <c r="Q380" s="15">
        <f t="shared" si="180"/>
        <v>7000</v>
      </c>
      <c r="R380" s="15">
        <f t="shared" si="181"/>
        <v>0</v>
      </c>
      <c r="S380" s="15">
        <f t="shared" si="182"/>
        <v>7000</v>
      </c>
    </row>
    <row r="381" spans="2:19" x14ac:dyDescent="0.25">
      <c r="B381" s="73">
        <f t="shared" si="161"/>
        <v>46</v>
      </c>
      <c r="C381" s="9"/>
      <c r="D381" s="9"/>
      <c r="E381" s="9"/>
      <c r="F381" s="43" t="s">
        <v>279</v>
      </c>
      <c r="G381" s="98">
        <v>635</v>
      </c>
      <c r="H381" s="9" t="s">
        <v>234</v>
      </c>
      <c r="I381" s="10">
        <v>7000</v>
      </c>
      <c r="J381" s="10"/>
      <c r="K381" s="10">
        <f t="shared" si="163"/>
        <v>7000</v>
      </c>
      <c r="L381" s="131"/>
      <c r="M381" s="10"/>
      <c r="N381" s="10"/>
      <c r="O381" s="10">
        <f t="shared" si="165"/>
        <v>0</v>
      </c>
      <c r="Q381" s="10">
        <f t="shared" si="180"/>
        <v>7000</v>
      </c>
      <c r="R381" s="10">
        <f t="shared" si="181"/>
        <v>0</v>
      </c>
      <c r="S381" s="10">
        <f t="shared" si="182"/>
        <v>7000</v>
      </c>
    </row>
    <row r="382" spans="2:19" x14ac:dyDescent="0.25">
      <c r="B382" s="73">
        <f t="shared" si="161"/>
        <v>47</v>
      </c>
      <c r="C382" s="9"/>
      <c r="D382" s="48"/>
      <c r="E382" s="9"/>
      <c r="F382" s="42" t="s">
        <v>279</v>
      </c>
      <c r="G382" s="97">
        <v>710</v>
      </c>
      <c r="H382" s="21" t="s">
        <v>235</v>
      </c>
      <c r="I382" s="15"/>
      <c r="J382" s="15"/>
      <c r="K382" s="15">
        <f t="shared" si="163"/>
        <v>0</v>
      </c>
      <c r="L382" s="130"/>
      <c r="M382" s="15">
        <f>M383</f>
        <v>23000</v>
      </c>
      <c r="N382" s="15">
        <f t="shared" ref="N382" si="192">N383</f>
        <v>0</v>
      </c>
      <c r="O382" s="15">
        <f t="shared" si="165"/>
        <v>23000</v>
      </c>
      <c r="Q382" s="15">
        <f t="shared" si="180"/>
        <v>23000</v>
      </c>
      <c r="R382" s="15">
        <f t="shared" si="181"/>
        <v>0</v>
      </c>
      <c r="S382" s="15">
        <f t="shared" si="182"/>
        <v>23000</v>
      </c>
    </row>
    <row r="383" spans="2:19" x14ac:dyDescent="0.25">
      <c r="B383" s="73">
        <f t="shared" si="161"/>
        <v>48</v>
      </c>
      <c r="C383" s="9"/>
      <c r="D383" s="48"/>
      <c r="E383" s="9"/>
      <c r="F383" s="43" t="s">
        <v>279</v>
      </c>
      <c r="G383" s="98">
        <v>713</v>
      </c>
      <c r="H383" s="9" t="s">
        <v>622</v>
      </c>
      <c r="I383" s="10"/>
      <c r="J383" s="10"/>
      <c r="K383" s="10">
        <f t="shared" si="163"/>
        <v>0</v>
      </c>
      <c r="L383" s="131"/>
      <c r="M383" s="10">
        <v>23000</v>
      </c>
      <c r="N383" s="10"/>
      <c r="O383" s="10">
        <f t="shared" si="165"/>
        <v>23000</v>
      </c>
      <c r="Q383" s="10">
        <f t="shared" si="180"/>
        <v>23000</v>
      </c>
      <c r="R383" s="10">
        <f t="shared" si="181"/>
        <v>0</v>
      </c>
      <c r="S383" s="10">
        <f t="shared" si="182"/>
        <v>23000</v>
      </c>
    </row>
    <row r="384" spans="2:19" ht="15.75" x14ac:dyDescent="0.25">
      <c r="B384" s="73">
        <f t="shared" si="161"/>
        <v>49</v>
      </c>
      <c r="C384" s="34">
        <v>4</v>
      </c>
      <c r="D384" s="227" t="s">
        <v>287</v>
      </c>
      <c r="E384" s="228"/>
      <c r="F384" s="228"/>
      <c r="G384" s="228"/>
      <c r="H384" s="229"/>
      <c r="I384" s="35">
        <f>I385</f>
        <v>18325</v>
      </c>
      <c r="J384" s="35">
        <f t="shared" ref="J384" si="193">J385</f>
        <v>0</v>
      </c>
      <c r="K384" s="35">
        <f t="shared" si="163"/>
        <v>18325</v>
      </c>
      <c r="L384" s="135"/>
      <c r="M384" s="35">
        <v>0</v>
      </c>
      <c r="N384" s="35">
        <v>0</v>
      </c>
      <c r="O384" s="35">
        <f t="shared" si="165"/>
        <v>0</v>
      </c>
      <c r="Q384" s="35">
        <f t="shared" si="180"/>
        <v>18325</v>
      </c>
      <c r="R384" s="35">
        <f t="shared" si="181"/>
        <v>0</v>
      </c>
      <c r="S384" s="35">
        <f t="shared" si="182"/>
        <v>18325</v>
      </c>
    </row>
    <row r="385" spans="2:19" x14ac:dyDescent="0.25">
      <c r="B385" s="73">
        <f t="shared" si="161"/>
        <v>50</v>
      </c>
      <c r="C385" s="21"/>
      <c r="D385" s="21"/>
      <c r="E385" s="21"/>
      <c r="F385" s="42" t="s">
        <v>288</v>
      </c>
      <c r="G385" s="97">
        <v>630</v>
      </c>
      <c r="H385" s="21" t="s">
        <v>218</v>
      </c>
      <c r="I385" s="15">
        <f>SUM(I386:I386)</f>
        <v>18325</v>
      </c>
      <c r="J385" s="15">
        <f t="shared" ref="J385" si="194">SUM(J386:J386)</f>
        <v>0</v>
      </c>
      <c r="K385" s="15">
        <f t="shared" si="163"/>
        <v>18325</v>
      </c>
      <c r="L385" s="130"/>
      <c r="M385" s="15"/>
      <c r="N385" s="15"/>
      <c r="O385" s="15">
        <f t="shared" si="165"/>
        <v>0</v>
      </c>
      <c r="Q385" s="15">
        <f t="shared" si="180"/>
        <v>18325</v>
      </c>
      <c r="R385" s="15">
        <f t="shared" si="181"/>
        <v>0</v>
      </c>
      <c r="S385" s="15">
        <f t="shared" si="182"/>
        <v>18325</v>
      </c>
    </row>
    <row r="386" spans="2:19" x14ac:dyDescent="0.25">
      <c r="B386" s="73">
        <f t="shared" si="161"/>
        <v>51</v>
      </c>
      <c r="C386" s="9"/>
      <c r="D386" s="9"/>
      <c r="E386" s="9"/>
      <c r="F386" s="43" t="s">
        <v>288</v>
      </c>
      <c r="G386" s="98">
        <v>637</v>
      </c>
      <c r="H386" s="9" t="s">
        <v>223</v>
      </c>
      <c r="I386" s="10">
        <v>18325</v>
      </c>
      <c r="J386" s="10"/>
      <c r="K386" s="10">
        <f t="shared" si="163"/>
        <v>18325</v>
      </c>
      <c r="L386" s="131"/>
      <c r="M386" s="10"/>
      <c r="N386" s="10"/>
      <c r="O386" s="10">
        <f t="shared" si="165"/>
        <v>0</v>
      </c>
      <c r="Q386" s="10">
        <f t="shared" si="180"/>
        <v>18325</v>
      </c>
      <c r="R386" s="10">
        <f t="shared" si="181"/>
        <v>0</v>
      </c>
      <c r="S386" s="10">
        <f t="shared" si="182"/>
        <v>18325</v>
      </c>
    </row>
    <row r="387" spans="2:19" ht="15.75" x14ac:dyDescent="0.25">
      <c r="B387" s="73">
        <f t="shared" si="161"/>
        <v>52</v>
      </c>
      <c r="C387" s="34">
        <v>5</v>
      </c>
      <c r="D387" s="227" t="s">
        <v>289</v>
      </c>
      <c r="E387" s="228"/>
      <c r="F387" s="228"/>
      <c r="G387" s="228"/>
      <c r="H387" s="229"/>
      <c r="I387" s="35">
        <f>I388+I391</f>
        <v>13035</v>
      </c>
      <c r="J387" s="35">
        <f t="shared" ref="J387" si="195">J388+J391</f>
        <v>3000</v>
      </c>
      <c r="K387" s="35">
        <f t="shared" si="163"/>
        <v>16035</v>
      </c>
      <c r="L387" s="135"/>
      <c r="M387" s="35">
        <v>0</v>
      </c>
      <c r="N387" s="35">
        <v>0</v>
      </c>
      <c r="O387" s="35">
        <f t="shared" si="165"/>
        <v>0</v>
      </c>
      <c r="Q387" s="35">
        <f t="shared" si="180"/>
        <v>13035</v>
      </c>
      <c r="R387" s="35">
        <f t="shared" si="181"/>
        <v>3000</v>
      </c>
      <c r="S387" s="35">
        <f t="shared" si="182"/>
        <v>16035</v>
      </c>
    </row>
    <row r="388" spans="2:19" x14ac:dyDescent="0.25">
      <c r="B388" s="73">
        <f t="shared" si="161"/>
        <v>53</v>
      </c>
      <c r="C388" s="21"/>
      <c r="D388" s="21"/>
      <c r="E388" s="21"/>
      <c r="F388" s="42" t="s">
        <v>290</v>
      </c>
      <c r="G388" s="97">
        <v>630</v>
      </c>
      <c r="H388" s="21" t="s">
        <v>218</v>
      </c>
      <c r="I388" s="15">
        <f>SUM(I389:I390)</f>
        <v>4035</v>
      </c>
      <c r="J388" s="15">
        <f t="shared" ref="J388" si="196">SUM(J389:J390)</f>
        <v>3000</v>
      </c>
      <c r="K388" s="15">
        <f t="shared" si="163"/>
        <v>7035</v>
      </c>
      <c r="L388" s="130"/>
      <c r="M388" s="15"/>
      <c r="N388" s="15"/>
      <c r="O388" s="15">
        <f t="shared" si="165"/>
        <v>0</v>
      </c>
      <c r="Q388" s="15">
        <f t="shared" si="180"/>
        <v>4035</v>
      </c>
      <c r="R388" s="15">
        <f t="shared" si="181"/>
        <v>3000</v>
      </c>
      <c r="S388" s="15">
        <f t="shared" si="182"/>
        <v>7035</v>
      </c>
    </row>
    <row r="389" spans="2:19" x14ac:dyDescent="0.25">
      <c r="B389" s="73">
        <f t="shared" si="161"/>
        <v>54</v>
      </c>
      <c r="C389" s="9"/>
      <c r="D389" s="9"/>
      <c r="E389" s="9"/>
      <c r="F389" s="43" t="s">
        <v>290</v>
      </c>
      <c r="G389" s="98">
        <v>634</v>
      </c>
      <c r="H389" s="9" t="s">
        <v>221</v>
      </c>
      <c r="I389" s="10">
        <v>2300</v>
      </c>
      <c r="J389" s="10"/>
      <c r="K389" s="10">
        <f t="shared" si="163"/>
        <v>2300</v>
      </c>
      <c r="L389" s="131"/>
      <c r="M389" s="10"/>
      <c r="N389" s="10"/>
      <c r="O389" s="10">
        <f t="shared" si="165"/>
        <v>0</v>
      </c>
      <c r="Q389" s="10">
        <f t="shared" si="180"/>
        <v>2300</v>
      </c>
      <c r="R389" s="10">
        <f t="shared" si="181"/>
        <v>0</v>
      </c>
      <c r="S389" s="10">
        <f t="shared" si="182"/>
        <v>2300</v>
      </c>
    </row>
    <row r="390" spans="2:19" x14ac:dyDescent="0.25">
      <c r="B390" s="73">
        <f t="shared" si="161"/>
        <v>55</v>
      </c>
      <c r="C390" s="9"/>
      <c r="D390" s="9"/>
      <c r="E390" s="9"/>
      <c r="F390" s="43" t="s">
        <v>290</v>
      </c>
      <c r="G390" s="98">
        <v>637</v>
      </c>
      <c r="H390" s="9" t="s">
        <v>223</v>
      </c>
      <c r="I390" s="10">
        <v>1735</v>
      </c>
      <c r="J390" s="10">
        <v>3000</v>
      </c>
      <c r="K390" s="10">
        <f t="shared" si="163"/>
        <v>4735</v>
      </c>
      <c r="L390" s="131"/>
      <c r="M390" s="10"/>
      <c r="N390" s="10"/>
      <c r="O390" s="10">
        <f t="shared" si="165"/>
        <v>0</v>
      </c>
      <c r="Q390" s="10">
        <f t="shared" si="180"/>
        <v>1735</v>
      </c>
      <c r="R390" s="10">
        <f t="shared" si="181"/>
        <v>3000</v>
      </c>
      <c r="S390" s="10">
        <f t="shared" si="182"/>
        <v>4735</v>
      </c>
    </row>
    <row r="391" spans="2:19" ht="14.25" customHeight="1" x14ac:dyDescent="0.25">
      <c r="B391" s="73">
        <f t="shared" si="161"/>
        <v>56</v>
      </c>
      <c r="C391" s="21"/>
      <c r="D391" s="21"/>
      <c r="E391" s="21"/>
      <c r="F391" s="42" t="s">
        <v>290</v>
      </c>
      <c r="G391" s="97">
        <v>640</v>
      </c>
      <c r="H391" s="21" t="s">
        <v>230</v>
      </c>
      <c r="I391" s="15">
        <f>I392</f>
        <v>9000</v>
      </c>
      <c r="J391" s="15">
        <f t="shared" ref="J391" si="197">J392</f>
        <v>0</v>
      </c>
      <c r="K391" s="15">
        <f t="shared" si="163"/>
        <v>9000</v>
      </c>
      <c r="L391" s="130"/>
      <c r="M391" s="15"/>
      <c r="N391" s="15"/>
      <c r="O391" s="15">
        <f t="shared" si="165"/>
        <v>0</v>
      </c>
      <c r="Q391" s="15">
        <f t="shared" si="180"/>
        <v>9000</v>
      </c>
      <c r="R391" s="15">
        <f t="shared" si="181"/>
        <v>0</v>
      </c>
      <c r="S391" s="15">
        <f t="shared" si="182"/>
        <v>9000</v>
      </c>
    </row>
    <row r="392" spans="2:19" ht="15" customHeight="1" x14ac:dyDescent="0.25">
      <c r="B392" s="73">
        <f t="shared" si="161"/>
        <v>57</v>
      </c>
      <c r="C392" s="9"/>
      <c r="D392" s="9"/>
      <c r="E392" s="9"/>
      <c r="F392" s="43" t="s">
        <v>290</v>
      </c>
      <c r="G392" s="98">
        <v>642</v>
      </c>
      <c r="H392" s="9" t="s">
        <v>231</v>
      </c>
      <c r="I392" s="10">
        <f>SUM(I393:I395)</f>
        <v>9000</v>
      </c>
      <c r="J392" s="10">
        <f t="shared" ref="J392" si="198">SUM(J393:J395)</f>
        <v>0</v>
      </c>
      <c r="K392" s="10">
        <f t="shared" si="163"/>
        <v>9000</v>
      </c>
      <c r="L392" s="131"/>
      <c r="M392" s="10"/>
      <c r="N392" s="10"/>
      <c r="O392" s="10">
        <f t="shared" si="165"/>
        <v>0</v>
      </c>
      <c r="Q392" s="10">
        <f t="shared" si="180"/>
        <v>9000</v>
      </c>
      <c r="R392" s="10">
        <f t="shared" si="181"/>
        <v>0</v>
      </c>
      <c r="S392" s="10">
        <f t="shared" si="182"/>
        <v>9000</v>
      </c>
    </row>
    <row r="393" spans="2:19" ht="16.5" customHeight="1" x14ac:dyDescent="0.25">
      <c r="B393" s="73">
        <f t="shared" si="161"/>
        <v>58</v>
      </c>
      <c r="C393" s="12"/>
      <c r="D393" s="12"/>
      <c r="E393" s="12"/>
      <c r="F393" s="12"/>
      <c r="G393" s="99"/>
      <c r="H393" s="12" t="s">
        <v>291</v>
      </c>
      <c r="I393" s="13">
        <v>4000</v>
      </c>
      <c r="J393" s="13"/>
      <c r="K393" s="13">
        <f t="shared" si="163"/>
        <v>4000</v>
      </c>
      <c r="L393" s="132"/>
      <c r="M393" s="13"/>
      <c r="N393" s="13"/>
      <c r="O393" s="13">
        <f t="shared" si="165"/>
        <v>0</v>
      </c>
      <c r="Q393" s="13">
        <f t="shared" si="180"/>
        <v>4000</v>
      </c>
      <c r="R393" s="13">
        <f t="shared" si="181"/>
        <v>0</v>
      </c>
      <c r="S393" s="13">
        <f t="shared" si="182"/>
        <v>4000</v>
      </c>
    </row>
    <row r="394" spans="2:19" x14ac:dyDescent="0.25">
      <c r="B394" s="73">
        <f t="shared" si="161"/>
        <v>59</v>
      </c>
      <c r="C394" s="12"/>
      <c r="D394" s="12"/>
      <c r="E394" s="12"/>
      <c r="F394" s="12"/>
      <c r="G394" s="99"/>
      <c r="H394" s="12" t="s">
        <v>292</v>
      </c>
      <c r="I394" s="13">
        <v>4000</v>
      </c>
      <c r="J394" s="13"/>
      <c r="K394" s="13">
        <f t="shared" si="163"/>
        <v>4000</v>
      </c>
      <c r="L394" s="132"/>
      <c r="M394" s="13"/>
      <c r="N394" s="13"/>
      <c r="O394" s="13">
        <f t="shared" si="165"/>
        <v>0</v>
      </c>
      <c r="Q394" s="13">
        <f t="shared" si="180"/>
        <v>4000</v>
      </c>
      <c r="R394" s="13">
        <f t="shared" si="181"/>
        <v>0</v>
      </c>
      <c r="S394" s="13">
        <f t="shared" si="182"/>
        <v>4000</v>
      </c>
    </row>
    <row r="395" spans="2:19" x14ac:dyDescent="0.25">
      <c r="B395" s="73">
        <f t="shared" si="161"/>
        <v>60</v>
      </c>
      <c r="C395" s="12"/>
      <c r="D395" s="12"/>
      <c r="E395" s="12"/>
      <c r="F395" s="12"/>
      <c r="G395" s="99"/>
      <c r="H395" s="12" t="s">
        <v>293</v>
      </c>
      <c r="I395" s="13">
        <v>1000</v>
      </c>
      <c r="J395" s="13"/>
      <c r="K395" s="13">
        <f t="shared" si="163"/>
        <v>1000</v>
      </c>
      <c r="L395" s="132"/>
      <c r="M395" s="13"/>
      <c r="N395" s="13"/>
      <c r="O395" s="13">
        <f t="shared" si="165"/>
        <v>0</v>
      </c>
      <c r="Q395" s="13">
        <f t="shared" si="180"/>
        <v>1000</v>
      </c>
      <c r="R395" s="13">
        <f t="shared" si="181"/>
        <v>0</v>
      </c>
      <c r="S395" s="13">
        <f t="shared" si="182"/>
        <v>1000</v>
      </c>
    </row>
    <row r="396" spans="2:19" x14ac:dyDescent="0.25">
      <c r="B396"/>
      <c r="G396"/>
      <c r="I396"/>
      <c r="J396"/>
      <c r="K396"/>
      <c r="L396"/>
      <c r="M396"/>
    </row>
    <row r="397" spans="2:19" hidden="1" x14ac:dyDescent="0.25"/>
    <row r="425" spans="2:19" ht="27" x14ac:dyDescent="0.35">
      <c r="B425" s="231" t="s">
        <v>294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</row>
    <row r="426" spans="2:19" x14ac:dyDescent="0.25">
      <c r="B426" s="233" t="s">
        <v>208</v>
      </c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5"/>
      <c r="N426" s="169"/>
      <c r="O426" s="170"/>
      <c r="Q426" s="236" t="s">
        <v>563</v>
      </c>
      <c r="R426" s="221" t="s">
        <v>635</v>
      </c>
      <c r="S426" s="221" t="s">
        <v>636</v>
      </c>
    </row>
    <row r="427" spans="2:19" x14ac:dyDescent="0.25">
      <c r="B427" s="237"/>
      <c r="C427" s="240" t="s">
        <v>209</v>
      </c>
      <c r="D427" s="240" t="s">
        <v>210</v>
      </c>
      <c r="E427" s="240" t="s">
        <v>211</v>
      </c>
      <c r="F427" s="240" t="s">
        <v>212</v>
      </c>
      <c r="G427" s="243" t="s">
        <v>213</v>
      </c>
      <c r="H427" s="245" t="s">
        <v>214</v>
      </c>
      <c r="I427" s="248" t="s">
        <v>561</v>
      </c>
      <c r="J427" s="222" t="s">
        <v>635</v>
      </c>
      <c r="K427" s="222" t="s">
        <v>637</v>
      </c>
      <c r="L427" s="129"/>
      <c r="M427" s="250" t="s">
        <v>562</v>
      </c>
      <c r="N427" s="222" t="s">
        <v>635</v>
      </c>
      <c r="O427" s="222" t="s">
        <v>638</v>
      </c>
      <c r="Q427" s="236"/>
      <c r="R427" s="222"/>
      <c r="S427" s="222"/>
    </row>
    <row r="428" spans="2:19" x14ac:dyDescent="0.25">
      <c r="B428" s="238"/>
      <c r="C428" s="241"/>
      <c r="D428" s="241"/>
      <c r="E428" s="241"/>
      <c r="F428" s="241"/>
      <c r="G428" s="243"/>
      <c r="H428" s="246"/>
      <c r="I428" s="248"/>
      <c r="J428" s="222"/>
      <c r="K428" s="222"/>
      <c r="L428" s="129"/>
      <c r="M428" s="250"/>
      <c r="N428" s="222"/>
      <c r="O428" s="222"/>
      <c r="Q428" s="236"/>
      <c r="R428" s="222"/>
      <c r="S428" s="222"/>
    </row>
    <row r="429" spans="2:19" x14ac:dyDescent="0.25">
      <c r="B429" s="238"/>
      <c r="C429" s="241"/>
      <c r="D429" s="241"/>
      <c r="E429" s="241"/>
      <c r="F429" s="241"/>
      <c r="G429" s="243"/>
      <c r="H429" s="246"/>
      <c r="I429" s="248"/>
      <c r="J429" s="222"/>
      <c r="K429" s="222"/>
      <c r="L429" s="129"/>
      <c r="M429" s="250"/>
      <c r="N429" s="222"/>
      <c r="O429" s="222"/>
      <c r="Q429" s="236"/>
      <c r="R429" s="222"/>
      <c r="S429" s="222"/>
    </row>
    <row r="430" spans="2:19" ht="15.75" thickBot="1" x14ac:dyDescent="0.3">
      <c r="B430" s="239"/>
      <c r="C430" s="242"/>
      <c r="D430" s="242"/>
      <c r="E430" s="242"/>
      <c r="F430" s="242"/>
      <c r="G430" s="244"/>
      <c r="H430" s="247"/>
      <c r="I430" s="249"/>
      <c r="J430" s="223"/>
      <c r="K430" s="223"/>
      <c r="L430" s="129"/>
      <c r="M430" s="251"/>
      <c r="N430" s="223"/>
      <c r="O430" s="223"/>
      <c r="Q430" s="236"/>
      <c r="R430" s="223"/>
      <c r="S430" s="223"/>
    </row>
    <row r="431" spans="2:19" ht="16.5" thickTop="1" x14ac:dyDescent="0.25">
      <c r="B431" s="74">
        <v>1</v>
      </c>
      <c r="C431" s="224" t="s">
        <v>294</v>
      </c>
      <c r="D431" s="225"/>
      <c r="E431" s="225"/>
      <c r="F431" s="225"/>
      <c r="G431" s="225"/>
      <c r="H431" s="226"/>
      <c r="I431" s="33">
        <f>I432+I435</f>
        <v>4143133</v>
      </c>
      <c r="J431" s="33">
        <f t="shared" ref="J431" si="199">J432+J435</f>
        <v>1816</v>
      </c>
      <c r="K431" s="33">
        <f>I431+J431</f>
        <v>4144949</v>
      </c>
      <c r="L431" s="134"/>
      <c r="M431" s="33">
        <f>M435+M464</f>
        <v>5838617</v>
      </c>
      <c r="N431" s="33">
        <f>N435+N464</f>
        <v>574062</v>
      </c>
      <c r="O431" s="33">
        <f>M431+N431</f>
        <v>6412679</v>
      </c>
      <c r="Q431" s="33">
        <f t="shared" ref="Q431:Q502" si="200">M431+I431</f>
        <v>9981750</v>
      </c>
      <c r="R431" s="33">
        <f t="shared" ref="R431:R502" si="201">N431+J431</f>
        <v>575878</v>
      </c>
      <c r="S431" s="33">
        <f t="shared" ref="S431:S502" si="202">O431+K431</f>
        <v>10557628</v>
      </c>
    </row>
    <row r="432" spans="2:19" ht="15.75" x14ac:dyDescent="0.25">
      <c r="B432" s="73">
        <f t="shared" ref="B432:B507" si="203">B431+1</f>
        <v>2</v>
      </c>
      <c r="C432" s="34">
        <v>1</v>
      </c>
      <c r="D432" s="227" t="s">
        <v>295</v>
      </c>
      <c r="E432" s="228"/>
      <c r="F432" s="228"/>
      <c r="G432" s="228"/>
      <c r="H432" s="229"/>
      <c r="I432" s="35">
        <f>I433</f>
        <v>2174840</v>
      </c>
      <c r="J432" s="35">
        <f t="shared" ref="J432:J433" si="204">J433</f>
        <v>0</v>
      </c>
      <c r="K432" s="35">
        <f t="shared" ref="K432:K503" si="205">I432+J432</f>
        <v>2174840</v>
      </c>
      <c r="L432" s="135"/>
      <c r="M432" s="35">
        <v>0</v>
      </c>
      <c r="N432" s="35"/>
      <c r="O432" s="35">
        <f t="shared" ref="O432:O503" si="206">M432+N432</f>
        <v>0</v>
      </c>
      <c r="Q432" s="35">
        <f t="shared" si="200"/>
        <v>2174840</v>
      </c>
      <c r="R432" s="35">
        <f t="shared" si="201"/>
        <v>0</v>
      </c>
      <c r="S432" s="35">
        <f t="shared" si="202"/>
        <v>2174840</v>
      </c>
    </row>
    <row r="433" spans="2:19" x14ac:dyDescent="0.25">
      <c r="B433" s="73">
        <f>B432+1</f>
        <v>3</v>
      </c>
      <c r="C433" s="21"/>
      <c r="D433" s="21"/>
      <c r="E433" s="21"/>
      <c r="F433" s="42" t="s">
        <v>278</v>
      </c>
      <c r="G433" s="97">
        <v>630</v>
      </c>
      <c r="H433" s="21" t="s">
        <v>218</v>
      </c>
      <c r="I433" s="15">
        <f>I434</f>
        <v>2174840</v>
      </c>
      <c r="J433" s="15">
        <f t="shared" si="204"/>
        <v>0</v>
      </c>
      <c r="K433" s="15">
        <f t="shared" si="205"/>
        <v>2174840</v>
      </c>
      <c r="L433" s="130"/>
      <c r="M433" s="15"/>
      <c r="N433" s="15"/>
      <c r="O433" s="15">
        <f t="shared" si="206"/>
        <v>0</v>
      </c>
      <c r="Q433" s="15">
        <f t="shared" si="200"/>
        <v>2174840</v>
      </c>
      <c r="R433" s="15">
        <f t="shared" si="201"/>
        <v>0</v>
      </c>
      <c r="S433" s="15">
        <f t="shared" si="202"/>
        <v>2174840</v>
      </c>
    </row>
    <row r="434" spans="2:19" x14ac:dyDescent="0.25">
      <c r="B434" s="73">
        <f t="shared" si="203"/>
        <v>4</v>
      </c>
      <c r="C434" s="9"/>
      <c r="D434" s="9"/>
      <c r="E434" s="9"/>
      <c r="F434" s="43" t="s">
        <v>278</v>
      </c>
      <c r="G434" s="98">
        <v>637</v>
      </c>
      <c r="H434" s="9" t="s">
        <v>223</v>
      </c>
      <c r="I434" s="10">
        <v>2174840</v>
      </c>
      <c r="J434" s="10"/>
      <c r="K434" s="10">
        <f t="shared" si="205"/>
        <v>2174840</v>
      </c>
      <c r="L434" s="131"/>
      <c r="M434" s="10"/>
      <c r="N434" s="10"/>
      <c r="O434" s="10">
        <f t="shared" si="206"/>
        <v>0</v>
      </c>
      <c r="Q434" s="10">
        <f t="shared" si="200"/>
        <v>2174840</v>
      </c>
      <c r="R434" s="10">
        <f t="shared" si="201"/>
        <v>0</v>
      </c>
      <c r="S434" s="10">
        <f t="shared" si="202"/>
        <v>2174840</v>
      </c>
    </row>
    <row r="435" spans="2:19" ht="15.75" x14ac:dyDescent="0.25">
      <c r="B435" s="73">
        <f t="shared" si="203"/>
        <v>5</v>
      </c>
      <c r="C435" s="34">
        <v>2</v>
      </c>
      <c r="D435" s="227" t="s">
        <v>296</v>
      </c>
      <c r="E435" s="228"/>
      <c r="F435" s="228"/>
      <c r="G435" s="228"/>
      <c r="H435" s="229"/>
      <c r="I435" s="35">
        <f>I436+I449+I451</f>
        <v>1968293</v>
      </c>
      <c r="J435" s="35">
        <f>J436+J449+J451</f>
        <v>1816</v>
      </c>
      <c r="K435" s="35">
        <f t="shared" si="205"/>
        <v>1970109</v>
      </c>
      <c r="L435" s="135"/>
      <c r="M435" s="35">
        <f>M436+M449+M451</f>
        <v>84339</v>
      </c>
      <c r="N435" s="35">
        <f>N436+N449+N451</f>
        <v>11600</v>
      </c>
      <c r="O435" s="35">
        <f t="shared" si="206"/>
        <v>95939</v>
      </c>
      <c r="Q435" s="35">
        <f t="shared" si="200"/>
        <v>2052632</v>
      </c>
      <c r="R435" s="35">
        <f t="shared" si="201"/>
        <v>13416</v>
      </c>
      <c r="S435" s="35">
        <f t="shared" si="202"/>
        <v>2066048</v>
      </c>
    </row>
    <row r="436" spans="2:19" x14ac:dyDescent="0.25">
      <c r="B436" s="73">
        <f t="shared" si="203"/>
        <v>6</v>
      </c>
      <c r="C436" s="21"/>
      <c r="D436" s="21"/>
      <c r="E436" s="21"/>
      <c r="F436" s="42" t="s">
        <v>278</v>
      </c>
      <c r="G436" s="97">
        <v>630</v>
      </c>
      <c r="H436" s="21" t="s">
        <v>218</v>
      </c>
      <c r="I436" s="15">
        <f>SUM(I437:I448)</f>
        <v>1819085</v>
      </c>
      <c r="J436" s="15">
        <f t="shared" ref="J436" si="207">SUM(J437:J448)</f>
        <v>1816</v>
      </c>
      <c r="K436" s="15">
        <f t="shared" si="205"/>
        <v>1820901</v>
      </c>
      <c r="L436" s="130"/>
      <c r="M436" s="15"/>
      <c r="N436" s="15"/>
      <c r="O436" s="15">
        <f t="shared" si="206"/>
        <v>0</v>
      </c>
      <c r="Q436" s="15">
        <f t="shared" si="200"/>
        <v>1819085</v>
      </c>
      <c r="R436" s="15">
        <f t="shared" si="201"/>
        <v>1816</v>
      </c>
      <c r="S436" s="15">
        <f t="shared" si="202"/>
        <v>1820901</v>
      </c>
    </row>
    <row r="437" spans="2:19" x14ac:dyDescent="0.25">
      <c r="B437" s="73">
        <f t="shared" si="203"/>
        <v>7</v>
      </c>
      <c r="C437" s="9"/>
      <c r="D437" s="9"/>
      <c r="E437" s="9"/>
      <c r="F437" s="43" t="s">
        <v>278</v>
      </c>
      <c r="G437" s="98">
        <v>635</v>
      </c>
      <c r="H437" s="9" t="s">
        <v>234</v>
      </c>
      <c r="I437" s="16">
        <f>240000+80000+200000+90000+472000+250000-5760-6790</f>
        <v>1319450</v>
      </c>
      <c r="J437" s="16"/>
      <c r="K437" s="16">
        <f t="shared" si="205"/>
        <v>1319450</v>
      </c>
      <c r="L437" s="131"/>
      <c r="M437" s="10"/>
      <c r="N437" s="10"/>
      <c r="O437" s="10">
        <f t="shared" si="206"/>
        <v>0</v>
      </c>
      <c r="Q437" s="10">
        <f t="shared" si="200"/>
        <v>1319450</v>
      </c>
      <c r="R437" s="10">
        <f t="shared" si="201"/>
        <v>0</v>
      </c>
      <c r="S437" s="10">
        <f t="shared" si="202"/>
        <v>1319450</v>
      </c>
    </row>
    <row r="438" spans="2:19" x14ac:dyDescent="0.25">
      <c r="B438" s="73">
        <f t="shared" si="203"/>
        <v>8</v>
      </c>
      <c r="C438" s="9"/>
      <c r="D438" s="9"/>
      <c r="E438" s="9"/>
      <c r="F438" s="43" t="s">
        <v>278</v>
      </c>
      <c r="G438" s="98">
        <v>637</v>
      </c>
      <c r="H438" s="9" t="s">
        <v>223</v>
      </c>
      <c r="I438" s="16">
        <f>2000+5760+6790</f>
        <v>14550</v>
      </c>
      <c r="J438" s="16"/>
      <c r="K438" s="16">
        <f t="shared" si="205"/>
        <v>14550</v>
      </c>
      <c r="L438" s="131"/>
      <c r="M438" s="10"/>
      <c r="N438" s="10"/>
      <c r="O438" s="10">
        <f t="shared" si="206"/>
        <v>0</v>
      </c>
      <c r="Q438" s="10">
        <f t="shared" si="200"/>
        <v>14550</v>
      </c>
      <c r="R438" s="10">
        <f t="shared" si="201"/>
        <v>0</v>
      </c>
      <c r="S438" s="10">
        <f t="shared" si="202"/>
        <v>14550</v>
      </c>
    </row>
    <row r="439" spans="2:19" x14ac:dyDescent="0.25">
      <c r="B439" s="73">
        <f t="shared" si="203"/>
        <v>9</v>
      </c>
      <c r="C439" s="9"/>
      <c r="D439" s="9"/>
      <c r="E439" s="9"/>
      <c r="F439" s="43" t="s">
        <v>278</v>
      </c>
      <c r="G439" s="98">
        <v>635</v>
      </c>
      <c r="H439" s="9" t="s">
        <v>533</v>
      </c>
      <c r="I439" s="16">
        <v>10000</v>
      </c>
      <c r="J439" s="16"/>
      <c r="K439" s="16">
        <f t="shared" si="205"/>
        <v>10000</v>
      </c>
      <c r="L439" s="131"/>
      <c r="M439" s="10"/>
      <c r="N439" s="10"/>
      <c r="O439" s="10">
        <f t="shared" si="206"/>
        <v>0</v>
      </c>
      <c r="Q439" s="10">
        <f t="shared" si="200"/>
        <v>10000</v>
      </c>
      <c r="R439" s="10">
        <f t="shared" si="201"/>
        <v>0</v>
      </c>
      <c r="S439" s="10">
        <f t="shared" si="202"/>
        <v>10000</v>
      </c>
    </row>
    <row r="440" spans="2:19" x14ac:dyDescent="0.25">
      <c r="B440" s="73">
        <f t="shared" si="203"/>
        <v>10</v>
      </c>
      <c r="C440" s="9"/>
      <c r="D440" s="9"/>
      <c r="E440" s="9"/>
      <c r="F440" s="43" t="s">
        <v>278</v>
      </c>
      <c r="G440" s="98">
        <v>635</v>
      </c>
      <c r="H440" s="9" t="s">
        <v>546</v>
      </c>
      <c r="I440" s="16">
        <v>94265</v>
      </c>
      <c r="J440" s="16">
        <v>1816</v>
      </c>
      <c r="K440" s="16">
        <f t="shared" si="205"/>
        <v>96081</v>
      </c>
      <c r="L440" s="131"/>
      <c r="M440" s="10"/>
      <c r="N440" s="10"/>
      <c r="O440" s="10">
        <f t="shared" si="206"/>
        <v>0</v>
      </c>
      <c r="Q440" s="10">
        <f t="shared" si="200"/>
        <v>94265</v>
      </c>
      <c r="R440" s="10">
        <f t="shared" si="201"/>
        <v>1816</v>
      </c>
      <c r="S440" s="10">
        <f t="shared" si="202"/>
        <v>96081</v>
      </c>
    </row>
    <row r="441" spans="2:19" x14ac:dyDescent="0.25">
      <c r="B441" s="73">
        <f t="shared" si="203"/>
        <v>11</v>
      </c>
      <c r="C441" s="9"/>
      <c r="D441" s="9"/>
      <c r="E441" s="9"/>
      <c r="F441" s="43" t="s">
        <v>278</v>
      </c>
      <c r="G441" s="98">
        <v>632</v>
      </c>
      <c r="H441" s="9" t="s">
        <v>541</v>
      </c>
      <c r="I441" s="16">
        <f>80000+5000</f>
        <v>85000</v>
      </c>
      <c r="J441" s="16"/>
      <c r="K441" s="16">
        <f t="shared" si="205"/>
        <v>85000</v>
      </c>
      <c r="L441" s="131"/>
      <c r="M441" s="10"/>
      <c r="N441" s="10"/>
      <c r="O441" s="10">
        <f t="shared" si="206"/>
        <v>0</v>
      </c>
      <c r="Q441" s="10">
        <f t="shared" si="200"/>
        <v>85000</v>
      </c>
      <c r="R441" s="10">
        <f t="shared" si="201"/>
        <v>0</v>
      </c>
      <c r="S441" s="10">
        <f t="shared" si="202"/>
        <v>85000</v>
      </c>
    </row>
    <row r="442" spans="2:19" x14ac:dyDescent="0.25">
      <c r="B442" s="73">
        <f t="shared" si="203"/>
        <v>12</v>
      </c>
      <c r="C442" s="9"/>
      <c r="D442" s="9"/>
      <c r="E442" s="9"/>
      <c r="F442" s="43" t="s">
        <v>278</v>
      </c>
      <c r="G442" s="98">
        <v>633</v>
      </c>
      <c r="H442" s="9" t="s">
        <v>544</v>
      </c>
      <c r="I442" s="16">
        <v>2000</v>
      </c>
      <c r="J442" s="16"/>
      <c r="K442" s="16">
        <f t="shared" si="205"/>
        <v>2000</v>
      </c>
      <c r="L442" s="131"/>
      <c r="M442" s="10"/>
      <c r="N442" s="10"/>
      <c r="O442" s="10">
        <f t="shared" si="206"/>
        <v>0</v>
      </c>
      <c r="Q442" s="10">
        <f t="shared" si="200"/>
        <v>2000</v>
      </c>
      <c r="R442" s="10">
        <f t="shared" si="201"/>
        <v>0</v>
      </c>
      <c r="S442" s="10">
        <f t="shared" si="202"/>
        <v>2000</v>
      </c>
    </row>
    <row r="443" spans="2:19" x14ac:dyDescent="0.25">
      <c r="B443" s="73">
        <f t="shared" si="203"/>
        <v>13</v>
      </c>
      <c r="C443" s="9"/>
      <c r="D443" s="9"/>
      <c r="E443" s="9"/>
      <c r="F443" s="43" t="s">
        <v>278</v>
      </c>
      <c r="G443" s="98">
        <v>635</v>
      </c>
      <c r="H443" s="9" t="s">
        <v>539</v>
      </c>
      <c r="I443" s="16">
        <v>30000</v>
      </c>
      <c r="J443" s="16"/>
      <c r="K443" s="16">
        <f t="shared" si="205"/>
        <v>30000</v>
      </c>
      <c r="L443" s="131"/>
      <c r="M443" s="10"/>
      <c r="N443" s="10"/>
      <c r="O443" s="10">
        <f t="shared" si="206"/>
        <v>0</v>
      </c>
      <c r="Q443" s="10">
        <f t="shared" si="200"/>
        <v>30000</v>
      </c>
      <c r="R443" s="10">
        <f t="shared" si="201"/>
        <v>0</v>
      </c>
      <c r="S443" s="10">
        <f t="shared" si="202"/>
        <v>30000</v>
      </c>
    </row>
    <row r="444" spans="2:19" x14ac:dyDescent="0.25">
      <c r="B444" s="73">
        <f t="shared" si="203"/>
        <v>14</v>
      </c>
      <c r="C444" s="9"/>
      <c r="D444" s="9"/>
      <c r="E444" s="9"/>
      <c r="F444" s="43" t="s">
        <v>278</v>
      </c>
      <c r="G444" s="98">
        <v>635</v>
      </c>
      <c r="H444" s="9" t="s">
        <v>547</v>
      </c>
      <c r="I444" s="16">
        <v>130000</v>
      </c>
      <c r="J444" s="16"/>
      <c r="K444" s="16">
        <f t="shared" si="205"/>
        <v>130000</v>
      </c>
      <c r="L444" s="131"/>
      <c r="M444" s="10"/>
      <c r="N444" s="10"/>
      <c r="O444" s="10">
        <f t="shared" si="206"/>
        <v>0</v>
      </c>
      <c r="Q444" s="10">
        <f t="shared" si="200"/>
        <v>130000</v>
      </c>
      <c r="R444" s="10">
        <f t="shared" si="201"/>
        <v>0</v>
      </c>
      <c r="S444" s="10">
        <f t="shared" si="202"/>
        <v>130000</v>
      </c>
    </row>
    <row r="445" spans="2:19" x14ac:dyDescent="0.25">
      <c r="B445" s="73">
        <f t="shared" si="203"/>
        <v>15</v>
      </c>
      <c r="C445" s="9"/>
      <c r="D445" s="9"/>
      <c r="E445" s="9"/>
      <c r="F445" s="43" t="s">
        <v>278</v>
      </c>
      <c r="G445" s="98">
        <v>635</v>
      </c>
      <c r="H445" s="9" t="s">
        <v>540</v>
      </c>
      <c r="I445" s="16">
        <v>60000</v>
      </c>
      <c r="J445" s="16"/>
      <c r="K445" s="16">
        <f t="shared" si="205"/>
        <v>60000</v>
      </c>
      <c r="L445" s="131"/>
      <c r="M445" s="10"/>
      <c r="N445" s="10"/>
      <c r="O445" s="10">
        <f t="shared" si="206"/>
        <v>0</v>
      </c>
      <c r="Q445" s="10">
        <f t="shared" si="200"/>
        <v>60000</v>
      </c>
      <c r="R445" s="10">
        <f t="shared" si="201"/>
        <v>0</v>
      </c>
      <c r="S445" s="10">
        <f t="shared" si="202"/>
        <v>60000</v>
      </c>
    </row>
    <row r="446" spans="2:19" x14ac:dyDescent="0.25">
      <c r="B446" s="73">
        <f t="shared" si="203"/>
        <v>16</v>
      </c>
      <c r="C446" s="9"/>
      <c r="D446" s="9"/>
      <c r="E446" s="9"/>
      <c r="F446" s="43" t="s">
        <v>278</v>
      </c>
      <c r="G446" s="98">
        <v>636</v>
      </c>
      <c r="H446" s="9" t="s">
        <v>542</v>
      </c>
      <c r="I446" s="16">
        <f>30900+12360</f>
        <v>43260</v>
      </c>
      <c r="J446" s="16"/>
      <c r="K446" s="16">
        <f t="shared" si="205"/>
        <v>43260</v>
      </c>
      <c r="L446" s="131"/>
      <c r="M446" s="10"/>
      <c r="N446" s="10"/>
      <c r="O446" s="10">
        <f t="shared" si="206"/>
        <v>0</v>
      </c>
      <c r="Q446" s="10">
        <f t="shared" si="200"/>
        <v>43260</v>
      </c>
      <c r="R446" s="10">
        <f t="shared" si="201"/>
        <v>0</v>
      </c>
      <c r="S446" s="10">
        <f t="shared" si="202"/>
        <v>43260</v>
      </c>
    </row>
    <row r="447" spans="2:19" x14ac:dyDescent="0.25">
      <c r="B447" s="73">
        <f t="shared" si="203"/>
        <v>17</v>
      </c>
      <c r="C447" s="9"/>
      <c r="D447" s="9"/>
      <c r="E447" s="9"/>
      <c r="F447" s="43" t="s">
        <v>278</v>
      </c>
      <c r="G447" s="98">
        <v>637</v>
      </c>
      <c r="H447" s="9" t="s">
        <v>543</v>
      </c>
      <c r="I447" s="16">
        <f>22756+5100+4</f>
        <v>27860</v>
      </c>
      <c r="J447" s="16"/>
      <c r="K447" s="16">
        <f t="shared" si="205"/>
        <v>27860</v>
      </c>
      <c r="L447" s="131"/>
      <c r="M447" s="10"/>
      <c r="N447" s="10"/>
      <c r="O447" s="10">
        <f t="shared" si="206"/>
        <v>0</v>
      </c>
      <c r="Q447" s="10">
        <f t="shared" si="200"/>
        <v>27860</v>
      </c>
      <c r="R447" s="10">
        <f t="shared" si="201"/>
        <v>0</v>
      </c>
      <c r="S447" s="10">
        <f t="shared" si="202"/>
        <v>27860</v>
      </c>
    </row>
    <row r="448" spans="2:19" x14ac:dyDescent="0.25">
      <c r="B448" s="73">
        <f t="shared" si="203"/>
        <v>18</v>
      </c>
      <c r="C448" s="9"/>
      <c r="D448" s="9"/>
      <c r="E448" s="9"/>
      <c r="F448" s="43" t="s">
        <v>278</v>
      </c>
      <c r="G448" s="98">
        <v>637</v>
      </c>
      <c r="H448" s="9" t="s">
        <v>565</v>
      </c>
      <c r="I448" s="16">
        <v>2700</v>
      </c>
      <c r="J448" s="16"/>
      <c r="K448" s="16">
        <f t="shared" si="205"/>
        <v>2700</v>
      </c>
      <c r="L448" s="131"/>
      <c r="M448" s="10"/>
      <c r="N448" s="10"/>
      <c r="O448" s="10">
        <f t="shared" si="206"/>
        <v>0</v>
      </c>
      <c r="Q448" s="10">
        <f t="shared" si="200"/>
        <v>2700</v>
      </c>
      <c r="R448" s="10">
        <f t="shared" si="201"/>
        <v>0</v>
      </c>
      <c r="S448" s="10">
        <f t="shared" si="202"/>
        <v>2700</v>
      </c>
    </row>
    <row r="449" spans="2:19" x14ac:dyDescent="0.25">
      <c r="B449" s="73">
        <f t="shared" si="203"/>
        <v>19</v>
      </c>
      <c r="C449" s="21"/>
      <c r="D449" s="21"/>
      <c r="E449" s="21"/>
      <c r="F449" s="42" t="s">
        <v>278</v>
      </c>
      <c r="G449" s="97">
        <v>710</v>
      </c>
      <c r="H449" s="21" t="s">
        <v>235</v>
      </c>
      <c r="I449" s="15"/>
      <c r="J449" s="15"/>
      <c r="K449" s="15">
        <f t="shared" si="205"/>
        <v>0</v>
      </c>
      <c r="L449" s="130"/>
      <c r="M449" s="15">
        <f>M450</f>
        <v>84339</v>
      </c>
      <c r="N449" s="15">
        <f>N450</f>
        <v>0</v>
      </c>
      <c r="O449" s="15">
        <f t="shared" si="206"/>
        <v>84339</v>
      </c>
      <c r="Q449" s="15">
        <f t="shared" si="200"/>
        <v>84339</v>
      </c>
      <c r="R449" s="15">
        <f t="shared" si="201"/>
        <v>0</v>
      </c>
      <c r="S449" s="15">
        <f t="shared" si="202"/>
        <v>84339</v>
      </c>
    </row>
    <row r="450" spans="2:19" x14ac:dyDescent="0.25">
      <c r="B450" s="73">
        <f t="shared" si="203"/>
        <v>20</v>
      </c>
      <c r="C450" s="105"/>
      <c r="D450" s="105"/>
      <c r="E450" s="105"/>
      <c r="F450" s="106" t="s">
        <v>278</v>
      </c>
      <c r="G450" s="107">
        <v>713</v>
      </c>
      <c r="H450" s="119" t="s">
        <v>473</v>
      </c>
      <c r="I450" s="108"/>
      <c r="J450" s="108"/>
      <c r="K450" s="108">
        <f t="shared" si="205"/>
        <v>0</v>
      </c>
      <c r="L450" s="140"/>
      <c r="M450" s="81">
        <v>84339</v>
      </c>
      <c r="N450" s="81"/>
      <c r="O450" s="81">
        <f t="shared" si="206"/>
        <v>84339</v>
      </c>
      <c r="P450" s="80"/>
      <c r="Q450" s="81">
        <f t="shared" si="200"/>
        <v>84339</v>
      </c>
      <c r="R450" s="81">
        <f t="shared" si="201"/>
        <v>0</v>
      </c>
      <c r="S450" s="81">
        <f t="shared" si="202"/>
        <v>84339</v>
      </c>
    </row>
    <row r="451" spans="2:19" x14ac:dyDescent="0.25">
      <c r="B451" s="73">
        <f t="shared" si="203"/>
        <v>21</v>
      </c>
      <c r="C451" s="38"/>
      <c r="D451" s="38"/>
      <c r="E451" s="38">
        <v>2</v>
      </c>
      <c r="F451" s="38"/>
      <c r="G451" s="95"/>
      <c r="H451" s="38" t="s">
        <v>48</v>
      </c>
      <c r="I451" s="39">
        <f>I452+I453+I454+I460</f>
        <v>149208</v>
      </c>
      <c r="J451" s="39">
        <f t="shared" ref="J451" si="208">J452+J453+J454+J460</f>
        <v>0</v>
      </c>
      <c r="K451" s="39">
        <f t="shared" si="205"/>
        <v>149208</v>
      </c>
      <c r="L451" s="138"/>
      <c r="M451" s="39">
        <v>0</v>
      </c>
      <c r="N451" s="39">
        <f>N462</f>
        <v>11600</v>
      </c>
      <c r="O451" s="39">
        <f t="shared" si="206"/>
        <v>11600</v>
      </c>
      <c r="Q451" s="39">
        <f t="shared" si="200"/>
        <v>149208</v>
      </c>
      <c r="R451" s="39">
        <f t="shared" si="201"/>
        <v>11600</v>
      </c>
      <c r="S451" s="39">
        <f t="shared" si="202"/>
        <v>160808</v>
      </c>
    </row>
    <row r="452" spans="2:19" x14ac:dyDescent="0.25">
      <c r="B452" s="73">
        <f t="shared" si="203"/>
        <v>22</v>
      </c>
      <c r="C452" s="21"/>
      <c r="D452" s="21"/>
      <c r="E452" s="21"/>
      <c r="F452" s="42" t="s">
        <v>278</v>
      </c>
      <c r="G452" s="97">
        <v>610</v>
      </c>
      <c r="H452" s="21" t="s">
        <v>245</v>
      </c>
      <c r="I452" s="15">
        <f>40300+4000</f>
        <v>44300</v>
      </c>
      <c r="J452" s="15"/>
      <c r="K452" s="15">
        <f t="shared" si="205"/>
        <v>44300</v>
      </c>
      <c r="L452" s="130"/>
      <c r="M452" s="15"/>
      <c r="N452" s="15"/>
      <c r="O452" s="15">
        <f t="shared" si="206"/>
        <v>0</v>
      </c>
      <c r="Q452" s="15">
        <f t="shared" si="200"/>
        <v>44300</v>
      </c>
      <c r="R452" s="15">
        <f t="shared" si="201"/>
        <v>0</v>
      </c>
      <c r="S452" s="15">
        <f t="shared" si="202"/>
        <v>44300</v>
      </c>
    </row>
    <row r="453" spans="2:19" ht="15.75" customHeight="1" x14ac:dyDescent="0.25">
      <c r="B453" s="73">
        <f t="shared" si="203"/>
        <v>23</v>
      </c>
      <c r="C453" s="21"/>
      <c r="D453" s="21"/>
      <c r="E453" s="21"/>
      <c r="F453" s="42" t="s">
        <v>278</v>
      </c>
      <c r="G453" s="97">
        <v>620</v>
      </c>
      <c r="H453" s="21" t="s">
        <v>228</v>
      </c>
      <c r="I453" s="15">
        <f>18300+1408</f>
        <v>19708</v>
      </c>
      <c r="J453" s="15"/>
      <c r="K453" s="15">
        <f t="shared" si="205"/>
        <v>19708</v>
      </c>
      <c r="L453" s="130"/>
      <c r="M453" s="15"/>
      <c r="N453" s="15"/>
      <c r="O453" s="15">
        <f t="shared" si="206"/>
        <v>0</v>
      </c>
      <c r="Q453" s="15">
        <f t="shared" si="200"/>
        <v>19708</v>
      </c>
      <c r="R453" s="15">
        <f t="shared" si="201"/>
        <v>0</v>
      </c>
      <c r="S453" s="15">
        <f t="shared" si="202"/>
        <v>19708</v>
      </c>
    </row>
    <row r="454" spans="2:19" ht="12.75" customHeight="1" x14ac:dyDescent="0.25">
      <c r="B454" s="73">
        <f t="shared" si="203"/>
        <v>24</v>
      </c>
      <c r="C454" s="21"/>
      <c r="D454" s="21"/>
      <c r="E454" s="21"/>
      <c r="F454" s="42" t="s">
        <v>278</v>
      </c>
      <c r="G454" s="97">
        <v>630</v>
      </c>
      <c r="H454" s="21" t="s">
        <v>218</v>
      </c>
      <c r="I454" s="15">
        <f>SUM(I455:I459)</f>
        <v>85000</v>
      </c>
      <c r="J454" s="15">
        <f t="shared" ref="J454" si="209">SUM(J455:J459)</f>
        <v>0</v>
      </c>
      <c r="K454" s="15">
        <f t="shared" si="205"/>
        <v>85000</v>
      </c>
      <c r="L454" s="130"/>
      <c r="M454" s="15"/>
      <c r="N454" s="15"/>
      <c r="O454" s="15">
        <f t="shared" si="206"/>
        <v>0</v>
      </c>
      <c r="Q454" s="15">
        <f t="shared" si="200"/>
        <v>85000</v>
      </c>
      <c r="R454" s="15">
        <f t="shared" si="201"/>
        <v>0</v>
      </c>
      <c r="S454" s="15">
        <f t="shared" si="202"/>
        <v>85000</v>
      </c>
    </row>
    <row r="455" spans="2:19" x14ac:dyDescent="0.25">
      <c r="B455" s="73">
        <f t="shared" si="203"/>
        <v>25</v>
      </c>
      <c r="C455" s="9"/>
      <c r="D455" s="9"/>
      <c r="E455" s="9"/>
      <c r="F455" s="43" t="s">
        <v>278</v>
      </c>
      <c r="G455" s="98">
        <v>633</v>
      </c>
      <c r="H455" s="9" t="s">
        <v>220</v>
      </c>
      <c r="I455" s="10">
        <v>27250</v>
      </c>
      <c r="J455" s="10"/>
      <c r="K455" s="10">
        <f t="shared" si="205"/>
        <v>27250</v>
      </c>
      <c r="L455" s="131"/>
      <c r="M455" s="10"/>
      <c r="N455" s="10"/>
      <c r="O455" s="10">
        <f t="shared" si="206"/>
        <v>0</v>
      </c>
      <c r="Q455" s="10">
        <f t="shared" si="200"/>
        <v>27250</v>
      </c>
      <c r="R455" s="10">
        <f t="shared" si="201"/>
        <v>0</v>
      </c>
      <c r="S455" s="10">
        <f t="shared" si="202"/>
        <v>27250</v>
      </c>
    </row>
    <row r="456" spans="2:19" x14ac:dyDescent="0.25">
      <c r="B456" s="73">
        <f t="shared" si="203"/>
        <v>26</v>
      </c>
      <c r="C456" s="9"/>
      <c r="D456" s="9"/>
      <c r="E456" s="9"/>
      <c r="F456" s="43" t="s">
        <v>278</v>
      </c>
      <c r="G456" s="98">
        <v>634</v>
      </c>
      <c r="H456" s="9" t="s">
        <v>221</v>
      </c>
      <c r="I456" s="10">
        <v>18000</v>
      </c>
      <c r="J456" s="10"/>
      <c r="K456" s="10">
        <f t="shared" si="205"/>
        <v>18000</v>
      </c>
      <c r="L456" s="131"/>
      <c r="M456" s="10"/>
      <c r="N456" s="10"/>
      <c r="O456" s="10">
        <f t="shared" si="206"/>
        <v>0</v>
      </c>
      <c r="Q456" s="10">
        <f t="shared" si="200"/>
        <v>18000</v>
      </c>
      <c r="R456" s="10">
        <f t="shared" si="201"/>
        <v>0</v>
      </c>
      <c r="S456" s="10">
        <f t="shared" si="202"/>
        <v>18000</v>
      </c>
    </row>
    <row r="457" spans="2:19" x14ac:dyDescent="0.25">
      <c r="B457" s="73">
        <f t="shared" si="203"/>
        <v>27</v>
      </c>
      <c r="C457" s="9"/>
      <c r="D457" s="9"/>
      <c r="E457" s="9"/>
      <c r="F457" s="43" t="s">
        <v>278</v>
      </c>
      <c r="G457" s="98">
        <v>635</v>
      </c>
      <c r="H457" s="9" t="s">
        <v>234</v>
      </c>
      <c r="I457" s="10">
        <v>1000</v>
      </c>
      <c r="J457" s="10"/>
      <c r="K457" s="10">
        <f t="shared" si="205"/>
        <v>1000</v>
      </c>
      <c r="L457" s="131"/>
      <c r="M457" s="10"/>
      <c r="N457" s="10"/>
      <c r="O457" s="10">
        <f t="shared" si="206"/>
        <v>0</v>
      </c>
      <c r="Q457" s="10">
        <f t="shared" si="200"/>
        <v>1000</v>
      </c>
      <c r="R457" s="10">
        <f t="shared" si="201"/>
        <v>0</v>
      </c>
      <c r="S457" s="10">
        <f t="shared" si="202"/>
        <v>1000</v>
      </c>
    </row>
    <row r="458" spans="2:19" x14ac:dyDescent="0.25">
      <c r="B458" s="73">
        <f t="shared" si="203"/>
        <v>28</v>
      </c>
      <c r="C458" s="9"/>
      <c r="D458" s="9"/>
      <c r="E458" s="9"/>
      <c r="F458" s="43" t="s">
        <v>278</v>
      </c>
      <c r="G458" s="98">
        <v>637</v>
      </c>
      <c r="H458" s="9" t="s">
        <v>223</v>
      </c>
      <c r="I458" s="10">
        <f>33950-200</f>
        <v>33750</v>
      </c>
      <c r="J458" s="10"/>
      <c r="K458" s="10">
        <f t="shared" si="205"/>
        <v>33750</v>
      </c>
      <c r="L458" s="131"/>
      <c r="M458" s="10"/>
      <c r="N458" s="10"/>
      <c r="O458" s="10">
        <f t="shared" si="206"/>
        <v>0</v>
      </c>
      <c r="Q458" s="10">
        <f t="shared" si="200"/>
        <v>33750</v>
      </c>
      <c r="R458" s="10">
        <f t="shared" si="201"/>
        <v>0</v>
      </c>
      <c r="S458" s="10">
        <f t="shared" si="202"/>
        <v>33750</v>
      </c>
    </row>
    <row r="459" spans="2:19" x14ac:dyDescent="0.25">
      <c r="B459" s="73">
        <f t="shared" si="203"/>
        <v>29</v>
      </c>
      <c r="C459" s="9"/>
      <c r="D459" s="9"/>
      <c r="E459" s="9"/>
      <c r="F459" s="43" t="s">
        <v>278</v>
      </c>
      <c r="G459" s="98">
        <v>637</v>
      </c>
      <c r="H459" s="9" t="s">
        <v>566</v>
      </c>
      <c r="I459" s="10">
        <v>5000</v>
      </c>
      <c r="J459" s="10"/>
      <c r="K459" s="10">
        <f t="shared" si="205"/>
        <v>5000</v>
      </c>
      <c r="L459" s="131"/>
      <c r="M459" s="10"/>
      <c r="N459" s="10"/>
      <c r="O459" s="10">
        <f t="shared" si="206"/>
        <v>0</v>
      </c>
      <c r="Q459" s="10">
        <f t="shared" si="200"/>
        <v>5000</v>
      </c>
      <c r="R459" s="10">
        <f t="shared" si="201"/>
        <v>0</v>
      </c>
      <c r="S459" s="10">
        <f t="shared" si="202"/>
        <v>5000</v>
      </c>
    </row>
    <row r="460" spans="2:19" hidden="1" x14ac:dyDescent="0.25">
      <c r="B460" s="73">
        <f t="shared" si="203"/>
        <v>30</v>
      </c>
      <c r="C460" s="9"/>
      <c r="D460" s="9"/>
      <c r="E460" s="9"/>
      <c r="F460" s="42" t="s">
        <v>278</v>
      </c>
      <c r="G460" s="97">
        <v>640</v>
      </c>
      <c r="H460" s="21" t="s">
        <v>230</v>
      </c>
      <c r="I460" s="15">
        <f>I461</f>
        <v>200</v>
      </c>
      <c r="J460" s="15">
        <f t="shared" ref="J460" si="210">J461</f>
        <v>0</v>
      </c>
      <c r="K460" s="15">
        <f t="shared" si="205"/>
        <v>200</v>
      </c>
      <c r="L460" s="130"/>
      <c r="M460" s="15"/>
      <c r="N460" s="15"/>
      <c r="O460" s="15">
        <f t="shared" si="206"/>
        <v>0</v>
      </c>
      <c r="Q460" s="15">
        <f t="shared" si="200"/>
        <v>200</v>
      </c>
      <c r="R460" s="15">
        <f t="shared" si="201"/>
        <v>0</v>
      </c>
      <c r="S460" s="15">
        <f t="shared" si="202"/>
        <v>200</v>
      </c>
    </row>
    <row r="461" spans="2:19" x14ac:dyDescent="0.25">
      <c r="B461" s="73">
        <f t="shared" si="203"/>
        <v>31</v>
      </c>
      <c r="C461" s="9"/>
      <c r="D461" s="9"/>
      <c r="E461" s="9"/>
      <c r="F461" s="43" t="s">
        <v>278</v>
      </c>
      <c r="G461" s="98">
        <v>642</v>
      </c>
      <c r="H461" s="9" t="s">
        <v>231</v>
      </c>
      <c r="I461" s="10">
        <v>200</v>
      </c>
      <c r="J461" s="10"/>
      <c r="K461" s="10">
        <f t="shared" si="205"/>
        <v>200</v>
      </c>
      <c r="L461" s="131"/>
      <c r="M461" s="10"/>
      <c r="N461" s="10"/>
      <c r="O461" s="10">
        <f t="shared" si="206"/>
        <v>0</v>
      </c>
      <c r="Q461" s="10">
        <f t="shared" si="200"/>
        <v>200</v>
      </c>
      <c r="R461" s="10">
        <f t="shared" si="201"/>
        <v>0</v>
      </c>
      <c r="S461" s="10">
        <f t="shared" si="202"/>
        <v>200</v>
      </c>
    </row>
    <row r="462" spans="2:19" x14ac:dyDescent="0.25">
      <c r="B462" s="73">
        <f t="shared" si="203"/>
        <v>32</v>
      </c>
      <c r="C462" s="9"/>
      <c r="D462" s="9"/>
      <c r="E462" s="9"/>
      <c r="F462" s="42" t="s">
        <v>278</v>
      </c>
      <c r="G462" s="97">
        <v>710</v>
      </c>
      <c r="H462" s="21" t="s">
        <v>235</v>
      </c>
      <c r="I462" s="15"/>
      <c r="J462" s="15"/>
      <c r="K462" s="15">
        <f t="shared" ref="K462:K463" si="211">I462+J462</f>
        <v>0</v>
      </c>
      <c r="L462" s="130"/>
      <c r="M462" s="15">
        <f>M463</f>
        <v>0</v>
      </c>
      <c r="N462" s="15">
        <f>N463</f>
        <v>11600</v>
      </c>
      <c r="O462" s="15">
        <f t="shared" ref="O462:O463" si="212">M462+N462</f>
        <v>11600</v>
      </c>
      <c r="Q462" s="15">
        <f t="shared" ref="Q462:Q463" si="213">M462+I462</f>
        <v>0</v>
      </c>
      <c r="R462" s="15">
        <f t="shared" ref="R462:R463" si="214">N462+J462</f>
        <v>11600</v>
      </c>
      <c r="S462" s="15">
        <f t="shared" ref="S462:S463" si="215">O462+K462</f>
        <v>11600</v>
      </c>
    </row>
    <row r="463" spans="2:19" x14ac:dyDescent="0.25">
      <c r="B463" s="73">
        <f t="shared" si="203"/>
        <v>33</v>
      </c>
      <c r="C463" s="9"/>
      <c r="D463" s="9"/>
      <c r="E463" s="9"/>
      <c r="F463" s="106" t="s">
        <v>278</v>
      </c>
      <c r="G463" s="107">
        <v>714</v>
      </c>
      <c r="H463" s="9" t="s">
        <v>271</v>
      </c>
      <c r="I463" s="108"/>
      <c r="J463" s="108"/>
      <c r="K463" s="108">
        <f t="shared" si="211"/>
        <v>0</v>
      </c>
      <c r="L463" s="140"/>
      <c r="M463" s="81">
        <v>0</v>
      </c>
      <c r="N463" s="81">
        <v>11600</v>
      </c>
      <c r="O463" s="81">
        <f t="shared" si="212"/>
        <v>11600</v>
      </c>
      <c r="P463" s="80"/>
      <c r="Q463" s="81">
        <f t="shared" si="213"/>
        <v>0</v>
      </c>
      <c r="R463" s="81">
        <f t="shared" si="214"/>
        <v>11600</v>
      </c>
      <c r="S463" s="81">
        <f t="shared" si="215"/>
        <v>11600</v>
      </c>
    </row>
    <row r="464" spans="2:19" ht="17.25" customHeight="1" x14ac:dyDescent="0.25">
      <c r="B464" s="73">
        <f t="shared" si="203"/>
        <v>34</v>
      </c>
      <c r="C464" s="34">
        <v>3</v>
      </c>
      <c r="D464" s="227" t="s">
        <v>299</v>
      </c>
      <c r="E464" s="228"/>
      <c r="F464" s="228"/>
      <c r="G464" s="228"/>
      <c r="H464" s="229"/>
      <c r="I464" s="35">
        <v>0</v>
      </c>
      <c r="J464" s="35">
        <v>0</v>
      </c>
      <c r="K464" s="35">
        <f t="shared" si="205"/>
        <v>0</v>
      </c>
      <c r="L464" s="135"/>
      <c r="M464" s="35">
        <f>M465</f>
        <v>5754278</v>
      </c>
      <c r="N464" s="35">
        <f t="shared" ref="N464" si="216">N465</f>
        <v>562462</v>
      </c>
      <c r="O464" s="35">
        <f t="shared" si="206"/>
        <v>6316740</v>
      </c>
      <c r="Q464" s="35">
        <f t="shared" si="200"/>
        <v>5754278</v>
      </c>
      <c r="R464" s="35">
        <f t="shared" si="201"/>
        <v>562462</v>
      </c>
      <c r="S464" s="35">
        <f t="shared" si="202"/>
        <v>6316740</v>
      </c>
    </row>
    <row r="465" spans="2:19" x14ac:dyDescent="0.25">
      <c r="B465" s="73">
        <f t="shared" si="203"/>
        <v>35</v>
      </c>
      <c r="C465" s="21"/>
      <c r="D465" s="21"/>
      <c r="E465" s="21"/>
      <c r="F465" s="42" t="s">
        <v>278</v>
      </c>
      <c r="G465" s="97">
        <v>710</v>
      </c>
      <c r="H465" s="21" t="s">
        <v>235</v>
      </c>
      <c r="I465" s="15"/>
      <c r="J465" s="15"/>
      <c r="K465" s="15">
        <f t="shared" si="205"/>
        <v>0</v>
      </c>
      <c r="L465" s="130"/>
      <c r="M465" s="15">
        <f>M496+M466</f>
        <v>5754278</v>
      </c>
      <c r="N465" s="15">
        <f t="shared" ref="N465" si="217">N496+N466</f>
        <v>562462</v>
      </c>
      <c r="O465" s="15">
        <f t="shared" si="206"/>
        <v>6316740</v>
      </c>
      <c r="Q465" s="15">
        <f t="shared" si="200"/>
        <v>5754278</v>
      </c>
      <c r="R465" s="15">
        <f t="shared" si="201"/>
        <v>562462</v>
      </c>
      <c r="S465" s="15">
        <f t="shared" si="202"/>
        <v>6316740</v>
      </c>
    </row>
    <row r="466" spans="2:19" x14ac:dyDescent="0.25">
      <c r="B466" s="73">
        <f t="shared" si="203"/>
        <v>36</v>
      </c>
      <c r="C466" s="9"/>
      <c r="D466" s="9"/>
      <c r="E466" s="9"/>
      <c r="F466" s="43" t="s">
        <v>278</v>
      </c>
      <c r="G466" s="98">
        <v>716</v>
      </c>
      <c r="H466" s="9" t="s">
        <v>237</v>
      </c>
      <c r="I466" s="10"/>
      <c r="J466" s="10"/>
      <c r="K466" s="10">
        <f t="shared" si="205"/>
        <v>0</v>
      </c>
      <c r="L466" s="131"/>
      <c r="M466" s="10">
        <f>SUM(M467:M494)</f>
        <v>233050</v>
      </c>
      <c r="N466" s="10">
        <f>SUM(N467:N495)</f>
        <v>-13200</v>
      </c>
      <c r="O466" s="10">
        <f t="shared" si="206"/>
        <v>219850</v>
      </c>
      <c r="Q466" s="10">
        <f t="shared" si="200"/>
        <v>233050</v>
      </c>
      <c r="R466" s="10">
        <f t="shared" si="201"/>
        <v>-13200</v>
      </c>
      <c r="S466" s="10">
        <f t="shared" si="202"/>
        <v>219850</v>
      </c>
    </row>
    <row r="467" spans="2:19" x14ac:dyDescent="0.25">
      <c r="B467" s="73">
        <f t="shared" si="203"/>
        <v>37</v>
      </c>
      <c r="C467" s="12"/>
      <c r="D467" s="12"/>
      <c r="E467" s="12"/>
      <c r="F467" s="12"/>
      <c r="G467" s="99"/>
      <c r="H467" s="12" t="s">
        <v>569</v>
      </c>
      <c r="I467" s="13"/>
      <c r="J467" s="13"/>
      <c r="K467" s="13">
        <f t="shared" si="205"/>
        <v>0</v>
      </c>
      <c r="L467" s="132"/>
      <c r="M467" s="10">
        <v>3000</v>
      </c>
      <c r="N467" s="10"/>
      <c r="O467" s="10">
        <f t="shared" si="206"/>
        <v>3000</v>
      </c>
      <c r="Q467" s="13">
        <f t="shared" si="200"/>
        <v>3000</v>
      </c>
      <c r="R467" s="13">
        <f t="shared" si="201"/>
        <v>0</v>
      </c>
      <c r="S467" s="13">
        <f t="shared" si="202"/>
        <v>3000</v>
      </c>
    </row>
    <row r="468" spans="2:19" x14ac:dyDescent="0.25">
      <c r="B468" s="73">
        <f t="shared" si="203"/>
        <v>38</v>
      </c>
      <c r="C468" s="12"/>
      <c r="D468" s="12"/>
      <c r="E468" s="12"/>
      <c r="F468" s="12"/>
      <c r="G468" s="99"/>
      <c r="H468" s="109" t="s">
        <v>507</v>
      </c>
      <c r="I468" s="14"/>
      <c r="J468" s="14"/>
      <c r="K468" s="14">
        <f t="shared" si="205"/>
        <v>0</v>
      </c>
      <c r="L468" s="132"/>
      <c r="M468" s="16">
        <v>40700</v>
      </c>
      <c r="N468" s="16">
        <v>-18000</v>
      </c>
      <c r="O468" s="10">
        <f t="shared" si="206"/>
        <v>22700</v>
      </c>
      <c r="Q468" s="13">
        <f t="shared" si="200"/>
        <v>40700</v>
      </c>
      <c r="R468" s="13">
        <f t="shared" si="201"/>
        <v>-18000</v>
      </c>
      <c r="S468" s="13">
        <f t="shared" si="202"/>
        <v>22700</v>
      </c>
    </row>
    <row r="469" spans="2:19" x14ac:dyDescent="0.25">
      <c r="B469" s="73">
        <f t="shared" si="203"/>
        <v>39</v>
      </c>
      <c r="C469" s="12"/>
      <c r="D469" s="12"/>
      <c r="E469" s="12"/>
      <c r="F469" s="12"/>
      <c r="G469" s="99"/>
      <c r="H469" s="109" t="s">
        <v>506</v>
      </c>
      <c r="I469" s="14"/>
      <c r="J469" s="14"/>
      <c r="K469" s="14">
        <f t="shared" si="205"/>
        <v>0</v>
      </c>
      <c r="L469" s="132"/>
      <c r="M469" s="16">
        <v>48000</v>
      </c>
      <c r="N469" s="16">
        <v>-19600</v>
      </c>
      <c r="O469" s="10">
        <f t="shared" si="206"/>
        <v>28400</v>
      </c>
      <c r="Q469" s="13">
        <f t="shared" si="200"/>
        <v>48000</v>
      </c>
      <c r="R469" s="13">
        <f t="shared" si="201"/>
        <v>-19600</v>
      </c>
      <c r="S469" s="13">
        <f t="shared" si="202"/>
        <v>28400</v>
      </c>
    </row>
    <row r="470" spans="2:19" x14ac:dyDescent="0.25">
      <c r="B470" s="73">
        <f t="shared" si="203"/>
        <v>40</v>
      </c>
      <c r="C470" s="12"/>
      <c r="D470" s="12"/>
      <c r="E470" s="12"/>
      <c r="F470" s="12"/>
      <c r="G470" s="99"/>
      <c r="H470" s="109" t="s">
        <v>667</v>
      </c>
      <c r="I470" s="14"/>
      <c r="J470" s="14"/>
      <c r="K470" s="14">
        <f t="shared" si="205"/>
        <v>0</v>
      </c>
      <c r="L470" s="132"/>
      <c r="M470" s="16">
        <v>20000</v>
      </c>
      <c r="N470" s="16">
        <v>-20000</v>
      </c>
      <c r="O470" s="10">
        <f t="shared" si="206"/>
        <v>0</v>
      </c>
      <c r="Q470" s="13">
        <f t="shared" si="200"/>
        <v>20000</v>
      </c>
      <c r="R470" s="13">
        <f t="shared" si="201"/>
        <v>-20000</v>
      </c>
      <c r="S470" s="13">
        <f t="shared" si="202"/>
        <v>0</v>
      </c>
    </row>
    <row r="471" spans="2:19" x14ac:dyDescent="0.25">
      <c r="B471" s="73">
        <f t="shared" si="203"/>
        <v>41</v>
      </c>
      <c r="C471" s="12"/>
      <c r="D471" s="12"/>
      <c r="E471" s="12"/>
      <c r="F471" s="12"/>
      <c r="G471" s="99"/>
      <c r="H471" s="109" t="s">
        <v>668</v>
      </c>
      <c r="I471" s="14"/>
      <c r="J471" s="14"/>
      <c r="K471" s="14"/>
      <c r="L471" s="132"/>
      <c r="M471" s="16">
        <v>0</v>
      </c>
      <c r="N471" s="16">
        <v>2900</v>
      </c>
      <c r="O471" s="10">
        <f t="shared" si="206"/>
        <v>2900</v>
      </c>
      <c r="Q471" s="13">
        <f t="shared" si="200"/>
        <v>0</v>
      </c>
      <c r="R471" s="13">
        <f t="shared" ref="R471:R477" si="218">N471+J471</f>
        <v>2900</v>
      </c>
      <c r="S471" s="13">
        <f t="shared" ref="S471:S477" si="219">O471+K471</f>
        <v>2900</v>
      </c>
    </row>
    <row r="472" spans="2:19" x14ac:dyDescent="0.25">
      <c r="B472" s="73">
        <f t="shared" si="203"/>
        <v>42</v>
      </c>
      <c r="C472" s="12"/>
      <c r="D472" s="12"/>
      <c r="E472" s="12"/>
      <c r="F472" s="12"/>
      <c r="G472" s="99"/>
      <c r="H472" s="109" t="s">
        <v>669</v>
      </c>
      <c r="I472" s="14"/>
      <c r="J472" s="14"/>
      <c r="K472" s="14"/>
      <c r="L472" s="132"/>
      <c r="M472" s="16">
        <v>0</v>
      </c>
      <c r="N472" s="16">
        <v>6000</v>
      </c>
      <c r="O472" s="10">
        <f t="shared" si="206"/>
        <v>6000</v>
      </c>
      <c r="Q472" s="13">
        <f t="shared" si="200"/>
        <v>0</v>
      </c>
      <c r="R472" s="13">
        <f t="shared" si="218"/>
        <v>6000</v>
      </c>
      <c r="S472" s="13">
        <f t="shared" si="219"/>
        <v>6000</v>
      </c>
    </row>
    <row r="473" spans="2:19" x14ac:dyDescent="0.25">
      <c r="B473" s="73">
        <f t="shared" si="203"/>
        <v>43</v>
      </c>
      <c r="C473" s="12"/>
      <c r="D473" s="12"/>
      <c r="E473" s="12"/>
      <c r="F473" s="12"/>
      <c r="G473" s="99"/>
      <c r="H473" s="109" t="s">
        <v>670</v>
      </c>
      <c r="I473" s="14"/>
      <c r="J473" s="14"/>
      <c r="K473" s="14"/>
      <c r="L473" s="132"/>
      <c r="M473" s="16">
        <v>0</v>
      </c>
      <c r="N473" s="16">
        <v>3700</v>
      </c>
      <c r="O473" s="10">
        <f t="shared" si="206"/>
        <v>3700</v>
      </c>
      <c r="Q473" s="13">
        <f t="shared" si="200"/>
        <v>0</v>
      </c>
      <c r="R473" s="13">
        <f t="shared" si="218"/>
        <v>3700</v>
      </c>
      <c r="S473" s="13">
        <f t="shared" si="219"/>
        <v>3700</v>
      </c>
    </row>
    <row r="474" spans="2:19" x14ac:dyDescent="0.25">
      <c r="B474" s="73">
        <f t="shared" si="203"/>
        <v>44</v>
      </c>
      <c r="C474" s="12"/>
      <c r="D474" s="12"/>
      <c r="E474" s="12"/>
      <c r="F474" s="12"/>
      <c r="G474" s="99"/>
      <c r="H474" s="109" t="s">
        <v>671</v>
      </c>
      <c r="I474" s="14"/>
      <c r="J474" s="14"/>
      <c r="K474" s="14"/>
      <c r="L474" s="132"/>
      <c r="M474" s="16">
        <v>0</v>
      </c>
      <c r="N474" s="16">
        <v>5200</v>
      </c>
      <c r="O474" s="10">
        <f t="shared" si="206"/>
        <v>5200</v>
      </c>
      <c r="Q474" s="13">
        <f t="shared" si="200"/>
        <v>0</v>
      </c>
      <c r="R474" s="13">
        <f t="shared" si="218"/>
        <v>5200</v>
      </c>
      <c r="S474" s="13">
        <f t="shared" si="219"/>
        <v>5200</v>
      </c>
    </row>
    <row r="475" spans="2:19" x14ac:dyDescent="0.25">
      <c r="B475" s="73">
        <f t="shared" si="203"/>
        <v>45</v>
      </c>
      <c r="C475" s="12"/>
      <c r="D475" s="12"/>
      <c r="E475" s="12"/>
      <c r="F475" s="12"/>
      <c r="G475" s="99"/>
      <c r="H475" s="109" t="s">
        <v>672</v>
      </c>
      <c r="I475" s="14"/>
      <c r="J475" s="14"/>
      <c r="K475" s="14"/>
      <c r="L475" s="132"/>
      <c r="M475" s="16">
        <v>0</v>
      </c>
      <c r="N475" s="16">
        <v>1200</v>
      </c>
      <c r="O475" s="10">
        <f t="shared" si="206"/>
        <v>1200</v>
      </c>
      <c r="Q475" s="13">
        <f t="shared" si="200"/>
        <v>0</v>
      </c>
      <c r="R475" s="13">
        <f t="shared" si="218"/>
        <v>1200</v>
      </c>
      <c r="S475" s="13">
        <f t="shared" si="219"/>
        <v>1200</v>
      </c>
    </row>
    <row r="476" spans="2:19" x14ac:dyDescent="0.25">
      <c r="B476" s="73">
        <f t="shared" si="203"/>
        <v>46</v>
      </c>
      <c r="C476" s="12"/>
      <c r="D476" s="12"/>
      <c r="E476" s="12"/>
      <c r="F476" s="12"/>
      <c r="G476" s="99"/>
      <c r="H476" s="109" t="s">
        <v>673</v>
      </c>
      <c r="I476" s="14"/>
      <c r="J476" s="14"/>
      <c r="K476" s="14"/>
      <c r="L476" s="132"/>
      <c r="M476" s="16">
        <v>0</v>
      </c>
      <c r="N476" s="16">
        <v>4100</v>
      </c>
      <c r="O476" s="10">
        <f t="shared" si="206"/>
        <v>4100</v>
      </c>
      <c r="Q476" s="13">
        <f t="shared" si="200"/>
        <v>0</v>
      </c>
      <c r="R476" s="13">
        <f t="shared" si="218"/>
        <v>4100</v>
      </c>
      <c r="S476" s="13">
        <f t="shared" si="219"/>
        <v>4100</v>
      </c>
    </row>
    <row r="477" spans="2:19" x14ac:dyDescent="0.25">
      <c r="B477" s="73">
        <f t="shared" si="203"/>
        <v>47</v>
      </c>
      <c r="C477" s="12"/>
      <c r="D477" s="12"/>
      <c r="E477" s="12"/>
      <c r="F477" s="12"/>
      <c r="G477" s="99"/>
      <c r="H477" s="109" t="s">
        <v>674</v>
      </c>
      <c r="I477" s="14"/>
      <c r="J477" s="14"/>
      <c r="K477" s="14"/>
      <c r="L477" s="132"/>
      <c r="M477" s="16">
        <v>0</v>
      </c>
      <c r="N477" s="16">
        <v>16500</v>
      </c>
      <c r="O477" s="10">
        <f t="shared" si="206"/>
        <v>16500</v>
      </c>
      <c r="Q477" s="13">
        <f t="shared" si="200"/>
        <v>0</v>
      </c>
      <c r="R477" s="13">
        <f t="shared" si="218"/>
        <v>16500</v>
      </c>
      <c r="S477" s="13">
        <f t="shared" si="219"/>
        <v>16500</v>
      </c>
    </row>
    <row r="478" spans="2:19" x14ac:dyDescent="0.25">
      <c r="B478" s="73">
        <f t="shared" si="203"/>
        <v>48</v>
      </c>
      <c r="C478" s="12"/>
      <c r="D478" s="12"/>
      <c r="E478" s="12"/>
      <c r="F478" s="12"/>
      <c r="G478" s="99"/>
      <c r="H478" s="109" t="s">
        <v>568</v>
      </c>
      <c r="I478" s="14"/>
      <c r="J478" s="14"/>
      <c r="K478" s="14">
        <f t="shared" si="205"/>
        <v>0</v>
      </c>
      <c r="L478" s="132"/>
      <c r="M478" s="16">
        <v>3500</v>
      </c>
      <c r="N478" s="16"/>
      <c r="O478" s="10">
        <f t="shared" si="206"/>
        <v>3500</v>
      </c>
      <c r="Q478" s="13">
        <f t="shared" si="200"/>
        <v>3500</v>
      </c>
      <c r="R478" s="13">
        <f t="shared" si="201"/>
        <v>0</v>
      </c>
      <c r="S478" s="13">
        <f t="shared" si="202"/>
        <v>3500</v>
      </c>
    </row>
    <row r="479" spans="2:19" x14ac:dyDescent="0.25">
      <c r="B479" s="73">
        <f t="shared" si="203"/>
        <v>49</v>
      </c>
      <c r="C479" s="12"/>
      <c r="D479" s="12"/>
      <c r="E479" s="12"/>
      <c r="F479" s="12"/>
      <c r="G479" s="99"/>
      <c r="H479" s="109" t="s">
        <v>571</v>
      </c>
      <c r="I479" s="14"/>
      <c r="J479" s="14"/>
      <c r="K479" s="14">
        <f t="shared" si="205"/>
        <v>0</v>
      </c>
      <c r="L479" s="132"/>
      <c r="M479" s="16">
        <v>2200</v>
      </c>
      <c r="N479" s="16"/>
      <c r="O479" s="10">
        <f t="shared" si="206"/>
        <v>2200</v>
      </c>
      <c r="Q479" s="13">
        <f t="shared" si="200"/>
        <v>2200</v>
      </c>
      <c r="R479" s="13">
        <f t="shared" si="201"/>
        <v>0</v>
      </c>
      <c r="S479" s="13">
        <f t="shared" si="202"/>
        <v>2200</v>
      </c>
    </row>
    <row r="480" spans="2:19" x14ac:dyDescent="0.25">
      <c r="B480" s="73">
        <f t="shared" si="203"/>
        <v>50</v>
      </c>
      <c r="C480" s="12"/>
      <c r="D480" s="12"/>
      <c r="E480" s="12"/>
      <c r="F480" s="12"/>
      <c r="G480" s="99"/>
      <c r="H480" s="109" t="s">
        <v>484</v>
      </c>
      <c r="I480" s="14"/>
      <c r="J480" s="14"/>
      <c r="K480" s="14">
        <f t="shared" si="205"/>
        <v>0</v>
      </c>
      <c r="L480" s="132"/>
      <c r="M480" s="16">
        <v>700</v>
      </c>
      <c r="N480" s="16"/>
      <c r="O480" s="10">
        <f t="shared" si="206"/>
        <v>700</v>
      </c>
      <c r="Q480" s="13">
        <f t="shared" si="200"/>
        <v>700</v>
      </c>
      <c r="R480" s="13">
        <f t="shared" si="201"/>
        <v>0</v>
      </c>
      <c r="S480" s="13">
        <f t="shared" si="202"/>
        <v>700</v>
      </c>
    </row>
    <row r="481" spans="2:19" x14ac:dyDescent="0.25">
      <c r="B481" s="73">
        <f t="shared" si="203"/>
        <v>51</v>
      </c>
      <c r="C481" s="12"/>
      <c r="D481" s="12"/>
      <c r="E481" s="12"/>
      <c r="F481" s="12"/>
      <c r="G481" s="99"/>
      <c r="H481" s="109" t="s">
        <v>486</v>
      </c>
      <c r="I481" s="14"/>
      <c r="J481" s="14"/>
      <c r="K481" s="14">
        <f t="shared" si="205"/>
        <v>0</v>
      </c>
      <c r="L481" s="132"/>
      <c r="M481" s="16">
        <v>550</v>
      </c>
      <c r="N481" s="16"/>
      <c r="O481" s="10">
        <f t="shared" si="206"/>
        <v>550</v>
      </c>
      <c r="Q481" s="13">
        <f t="shared" si="200"/>
        <v>550</v>
      </c>
      <c r="R481" s="13">
        <f t="shared" si="201"/>
        <v>0</v>
      </c>
      <c r="S481" s="13">
        <f t="shared" si="202"/>
        <v>550</v>
      </c>
    </row>
    <row r="482" spans="2:19" x14ac:dyDescent="0.25">
      <c r="B482" s="73">
        <f t="shared" si="203"/>
        <v>52</v>
      </c>
      <c r="C482" s="12"/>
      <c r="D482" s="12"/>
      <c r="E482" s="12"/>
      <c r="F482" s="12"/>
      <c r="G482" s="99"/>
      <c r="H482" s="12" t="s">
        <v>483</v>
      </c>
      <c r="I482" s="13"/>
      <c r="J482" s="13"/>
      <c r="K482" s="13">
        <f t="shared" si="205"/>
        <v>0</v>
      </c>
      <c r="L482" s="132"/>
      <c r="M482" s="10">
        <v>4200</v>
      </c>
      <c r="N482" s="10"/>
      <c r="O482" s="10">
        <f t="shared" si="206"/>
        <v>4200</v>
      </c>
      <c r="Q482" s="13">
        <f t="shared" si="200"/>
        <v>4200</v>
      </c>
      <c r="R482" s="13">
        <f t="shared" si="201"/>
        <v>0</v>
      </c>
      <c r="S482" s="13">
        <f t="shared" si="202"/>
        <v>4200</v>
      </c>
    </row>
    <row r="483" spans="2:19" x14ac:dyDescent="0.25">
      <c r="B483" s="73">
        <f t="shared" si="203"/>
        <v>53</v>
      </c>
      <c r="C483" s="12"/>
      <c r="D483" s="12"/>
      <c r="E483" s="12"/>
      <c r="F483" s="12"/>
      <c r="G483" s="99"/>
      <c r="H483" s="12" t="s">
        <v>570</v>
      </c>
      <c r="I483" s="13"/>
      <c r="J483" s="13"/>
      <c r="K483" s="13">
        <f t="shared" si="205"/>
        <v>0</v>
      </c>
      <c r="L483" s="132"/>
      <c r="M483" s="10">
        <v>1050</v>
      </c>
      <c r="N483" s="10"/>
      <c r="O483" s="10">
        <f t="shared" si="206"/>
        <v>1050</v>
      </c>
      <c r="Q483" s="13">
        <f t="shared" si="200"/>
        <v>1050</v>
      </c>
      <c r="R483" s="13">
        <f t="shared" si="201"/>
        <v>0</v>
      </c>
      <c r="S483" s="13">
        <f t="shared" si="202"/>
        <v>1050</v>
      </c>
    </row>
    <row r="484" spans="2:19" x14ac:dyDescent="0.25">
      <c r="B484" s="73">
        <f t="shared" si="203"/>
        <v>54</v>
      </c>
      <c r="C484" s="12"/>
      <c r="D484" s="12"/>
      <c r="E484" s="12"/>
      <c r="F484" s="12"/>
      <c r="G484" s="99"/>
      <c r="H484" s="12" t="s">
        <v>573</v>
      </c>
      <c r="I484" s="13"/>
      <c r="J484" s="13"/>
      <c r="K484" s="13">
        <f t="shared" si="205"/>
        <v>0</v>
      </c>
      <c r="L484" s="132"/>
      <c r="M484" s="10">
        <v>750</v>
      </c>
      <c r="N484" s="10"/>
      <c r="O484" s="10">
        <f t="shared" si="206"/>
        <v>750</v>
      </c>
      <c r="Q484" s="13">
        <f t="shared" si="200"/>
        <v>750</v>
      </c>
      <c r="R484" s="13">
        <f t="shared" si="201"/>
        <v>0</v>
      </c>
      <c r="S484" s="13">
        <f t="shared" si="202"/>
        <v>750</v>
      </c>
    </row>
    <row r="485" spans="2:19" x14ac:dyDescent="0.25">
      <c r="B485" s="73">
        <f t="shared" si="203"/>
        <v>55</v>
      </c>
      <c r="C485" s="12"/>
      <c r="D485" s="12"/>
      <c r="E485" s="12"/>
      <c r="F485" s="12"/>
      <c r="G485" s="99"/>
      <c r="H485" s="67" t="s">
        <v>493</v>
      </c>
      <c r="I485" s="13"/>
      <c r="J485" s="13"/>
      <c r="K485" s="13">
        <f t="shared" si="205"/>
        <v>0</v>
      </c>
      <c r="L485" s="132"/>
      <c r="M485" s="10">
        <v>2000</v>
      </c>
      <c r="N485" s="10"/>
      <c r="O485" s="10">
        <f t="shared" si="206"/>
        <v>2000</v>
      </c>
      <c r="Q485" s="13">
        <f t="shared" si="200"/>
        <v>2000</v>
      </c>
      <c r="R485" s="13">
        <f t="shared" si="201"/>
        <v>0</v>
      </c>
      <c r="S485" s="13">
        <f t="shared" si="202"/>
        <v>2000</v>
      </c>
    </row>
    <row r="486" spans="2:19" x14ac:dyDescent="0.25">
      <c r="B486" s="73">
        <f t="shared" si="203"/>
        <v>56</v>
      </c>
      <c r="C486" s="12"/>
      <c r="D486" s="12"/>
      <c r="E486" s="12"/>
      <c r="F486" s="12"/>
      <c r="G486" s="99"/>
      <c r="H486" s="12" t="s">
        <v>525</v>
      </c>
      <c r="I486" s="13"/>
      <c r="J486" s="13"/>
      <c r="K486" s="13">
        <f t="shared" si="205"/>
        <v>0</v>
      </c>
      <c r="L486" s="132"/>
      <c r="M486" s="10">
        <v>6000</v>
      </c>
      <c r="N486" s="10"/>
      <c r="O486" s="10">
        <f t="shared" si="206"/>
        <v>6000</v>
      </c>
      <c r="Q486" s="13">
        <f t="shared" si="200"/>
        <v>6000</v>
      </c>
      <c r="R486" s="13">
        <f t="shared" si="201"/>
        <v>0</v>
      </c>
      <c r="S486" s="13">
        <f t="shared" si="202"/>
        <v>6000</v>
      </c>
    </row>
    <row r="487" spans="2:19" x14ac:dyDescent="0.25">
      <c r="B487" s="73">
        <f t="shared" si="203"/>
        <v>57</v>
      </c>
      <c r="C487" s="12"/>
      <c r="D487" s="12"/>
      <c r="E487" s="12"/>
      <c r="F487" s="12"/>
      <c r="G487" s="99"/>
      <c r="H487" s="12" t="s">
        <v>532</v>
      </c>
      <c r="I487" s="13"/>
      <c r="J487" s="13"/>
      <c r="K487" s="13">
        <f t="shared" si="205"/>
        <v>0</v>
      </c>
      <c r="L487" s="132"/>
      <c r="M487" s="10">
        <v>2000</v>
      </c>
      <c r="N487" s="10"/>
      <c r="O487" s="10">
        <f t="shared" si="206"/>
        <v>2000</v>
      </c>
      <c r="Q487" s="13">
        <f t="shared" si="200"/>
        <v>2000</v>
      </c>
      <c r="R487" s="13">
        <f t="shared" si="201"/>
        <v>0</v>
      </c>
      <c r="S487" s="13">
        <f t="shared" si="202"/>
        <v>2000</v>
      </c>
    </row>
    <row r="488" spans="2:19" x14ac:dyDescent="0.25">
      <c r="B488" s="73">
        <f t="shared" si="203"/>
        <v>58</v>
      </c>
      <c r="C488" s="12"/>
      <c r="D488" s="12"/>
      <c r="E488" s="12"/>
      <c r="F488" s="12"/>
      <c r="G488" s="99"/>
      <c r="H488" s="67" t="s">
        <v>489</v>
      </c>
      <c r="I488" s="13"/>
      <c r="J488" s="13"/>
      <c r="K488" s="13">
        <f t="shared" si="205"/>
        <v>0</v>
      </c>
      <c r="L488" s="132"/>
      <c r="M488" s="10">
        <v>500</v>
      </c>
      <c r="N488" s="10"/>
      <c r="O488" s="10">
        <f t="shared" si="206"/>
        <v>500</v>
      </c>
      <c r="Q488" s="13">
        <f t="shared" si="200"/>
        <v>500</v>
      </c>
      <c r="R488" s="13">
        <f t="shared" si="201"/>
        <v>0</v>
      </c>
      <c r="S488" s="13">
        <f t="shared" si="202"/>
        <v>500</v>
      </c>
    </row>
    <row r="489" spans="2:19" x14ac:dyDescent="0.25">
      <c r="B489" s="73">
        <f t="shared" si="203"/>
        <v>59</v>
      </c>
      <c r="C489" s="12"/>
      <c r="D489" s="12"/>
      <c r="E489" s="12"/>
      <c r="F489" s="12"/>
      <c r="G489" s="99"/>
      <c r="H489" s="12" t="s">
        <v>586</v>
      </c>
      <c r="I489" s="13"/>
      <c r="J489" s="13"/>
      <c r="K489" s="13">
        <f t="shared" si="205"/>
        <v>0</v>
      </c>
      <c r="L489" s="132"/>
      <c r="M489" s="10">
        <v>82000</v>
      </c>
      <c r="N489" s="10"/>
      <c r="O489" s="10">
        <f t="shared" si="206"/>
        <v>82000</v>
      </c>
      <c r="Q489" s="13">
        <f t="shared" si="200"/>
        <v>82000</v>
      </c>
      <c r="R489" s="13">
        <f t="shared" si="201"/>
        <v>0</v>
      </c>
      <c r="S489" s="13">
        <f t="shared" si="202"/>
        <v>82000</v>
      </c>
    </row>
    <row r="490" spans="2:19" x14ac:dyDescent="0.25">
      <c r="B490" s="73">
        <f t="shared" si="203"/>
        <v>60</v>
      </c>
      <c r="C490" s="12"/>
      <c r="D490" s="12"/>
      <c r="E490" s="12"/>
      <c r="F490" s="12"/>
      <c r="G490" s="99"/>
      <c r="H490" s="67" t="s">
        <v>587</v>
      </c>
      <c r="I490" s="13"/>
      <c r="J490" s="13"/>
      <c r="K490" s="13">
        <f t="shared" si="205"/>
        <v>0</v>
      </c>
      <c r="L490" s="132"/>
      <c r="M490" s="10">
        <v>1200</v>
      </c>
      <c r="N490" s="10"/>
      <c r="O490" s="10">
        <f t="shared" si="206"/>
        <v>1200</v>
      </c>
      <c r="Q490" s="13">
        <f t="shared" si="200"/>
        <v>1200</v>
      </c>
      <c r="R490" s="13">
        <f t="shared" si="201"/>
        <v>0</v>
      </c>
      <c r="S490" s="13">
        <f t="shared" si="202"/>
        <v>1200</v>
      </c>
    </row>
    <row r="491" spans="2:19" ht="16.5" customHeight="1" x14ac:dyDescent="0.25">
      <c r="B491" s="73">
        <f t="shared" si="203"/>
        <v>61</v>
      </c>
      <c r="C491" s="12"/>
      <c r="D491" s="12"/>
      <c r="E491" s="12"/>
      <c r="F491" s="12"/>
      <c r="G491" s="99"/>
      <c r="H491" s="67" t="s">
        <v>588</v>
      </c>
      <c r="I491" s="13"/>
      <c r="J491" s="13"/>
      <c r="K491" s="13">
        <f t="shared" si="205"/>
        <v>0</v>
      </c>
      <c r="L491" s="132"/>
      <c r="M491" s="10">
        <f>1000+1000</f>
        <v>2000</v>
      </c>
      <c r="N491" s="10"/>
      <c r="O491" s="10">
        <f t="shared" si="206"/>
        <v>2000</v>
      </c>
      <c r="Q491" s="13">
        <f t="shared" si="200"/>
        <v>2000</v>
      </c>
      <c r="R491" s="13">
        <f t="shared" si="201"/>
        <v>0</v>
      </c>
      <c r="S491" s="13">
        <f t="shared" si="202"/>
        <v>2000</v>
      </c>
    </row>
    <row r="492" spans="2:19" ht="15" customHeight="1" x14ac:dyDescent="0.25">
      <c r="B492" s="73">
        <f t="shared" si="203"/>
        <v>62</v>
      </c>
      <c r="C492" s="12"/>
      <c r="D492" s="12"/>
      <c r="E492" s="12"/>
      <c r="F492" s="12"/>
      <c r="G492" s="99"/>
      <c r="H492" s="67" t="s">
        <v>594</v>
      </c>
      <c r="I492" s="13"/>
      <c r="J492" s="13"/>
      <c r="K492" s="13">
        <f t="shared" si="205"/>
        <v>0</v>
      </c>
      <c r="L492" s="132"/>
      <c r="M492" s="10">
        <v>6300</v>
      </c>
      <c r="N492" s="10"/>
      <c r="O492" s="10">
        <f t="shared" si="206"/>
        <v>6300</v>
      </c>
      <c r="Q492" s="13">
        <f t="shared" si="200"/>
        <v>6300</v>
      </c>
      <c r="R492" s="13">
        <f t="shared" si="201"/>
        <v>0</v>
      </c>
      <c r="S492" s="13">
        <f t="shared" si="202"/>
        <v>6300</v>
      </c>
    </row>
    <row r="493" spans="2:19" ht="15.75" customHeight="1" x14ac:dyDescent="0.25">
      <c r="B493" s="73">
        <f t="shared" si="203"/>
        <v>63</v>
      </c>
      <c r="C493" s="12"/>
      <c r="D493" s="12"/>
      <c r="E493" s="12"/>
      <c r="F493" s="12"/>
      <c r="G493" s="99"/>
      <c r="H493" s="67" t="s">
        <v>598</v>
      </c>
      <c r="I493" s="13"/>
      <c r="J493" s="13"/>
      <c r="K493" s="13">
        <f t="shared" si="205"/>
        <v>0</v>
      </c>
      <c r="L493" s="132"/>
      <c r="M493" s="10">
        <v>3900</v>
      </c>
      <c r="N493" s="10"/>
      <c r="O493" s="10">
        <f t="shared" si="206"/>
        <v>3900</v>
      </c>
      <c r="Q493" s="13">
        <f t="shared" si="200"/>
        <v>3900</v>
      </c>
      <c r="R493" s="13">
        <f t="shared" si="201"/>
        <v>0</v>
      </c>
      <c r="S493" s="13">
        <f t="shared" si="202"/>
        <v>3900</v>
      </c>
    </row>
    <row r="494" spans="2:19" ht="17.25" customHeight="1" x14ac:dyDescent="0.25">
      <c r="B494" s="73">
        <f t="shared" si="203"/>
        <v>64</v>
      </c>
      <c r="C494" s="12"/>
      <c r="D494" s="12"/>
      <c r="E494" s="12"/>
      <c r="F494" s="12"/>
      <c r="G494" s="99"/>
      <c r="H494" s="67" t="s">
        <v>628</v>
      </c>
      <c r="I494" s="13"/>
      <c r="J494" s="13"/>
      <c r="K494" s="13">
        <f t="shared" si="205"/>
        <v>0</v>
      </c>
      <c r="L494" s="132"/>
      <c r="M494" s="10">
        <v>2500</v>
      </c>
      <c r="N494" s="10"/>
      <c r="O494" s="10">
        <f t="shared" si="206"/>
        <v>2500</v>
      </c>
      <c r="Q494" s="13">
        <f t="shared" si="200"/>
        <v>2500</v>
      </c>
      <c r="R494" s="13">
        <f t="shared" si="201"/>
        <v>0</v>
      </c>
      <c r="S494" s="13">
        <f t="shared" si="202"/>
        <v>2500</v>
      </c>
    </row>
    <row r="495" spans="2:19" ht="17.25" customHeight="1" x14ac:dyDescent="0.25">
      <c r="B495" s="73">
        <f t="shared" si="203"/>
        <v>65</v>
      </c>
      <c r="C495" s="12"/>
      <c r="D495" s="12"/>
      <c r="E495" s="12"/>
      <c r="F495" s="12"/>
      <c r="G495" s="99"/>
      <c r="H495" s="67" t="s">
        <v>666</v>
      </c>
      <c r="I495" s="13"/>
      <c r="J495" s="13"/>
      <c r="K495" s="13">
        <f t="shared" si="205"/>
        <v>0</v>
      </c>
      <c r="L495" s="132"/>
      <c r="M495" s="10">
        <v>0</v>
      </c>
      <c r="N495" s="10">
        <v>4800</v>
      </c>
      <c r="O495" s="10">
        <f t="shared" si="206"/>
        <v>4800</v>
      </c>
      <c r="Q495" s="13">
        <f t="shared" si="200"/>
        <v>0</v>
      </c>
      <c r="R495" s="13">
        <f t="shared" si="201"/>
        <v>4800</v>
      </c>
      <c r="S495" s="13">
        <f t="shared" si="202"/>
        <v>4800</v>
      </c>
    </row>
    <row r="496" spans="2:19" x14ac:dyDescent="0.25">
      <c r="B496" s="73">
        <f t="shared" si="203"/>
        <v>66</v>
      </c>
      <c r="C496" s="9"/>
      <c r="D496" s="9"/>
      <c r="E496" s="9"/>
      <c r="F496" s="43" t="s">
        <v>278</v>
      </c>
      <c r="G496" s="98">
        <v>717</v>
      </c>
      <c r="H496" s="9" t="s">
        <v>240</v>
      </c>
      <c r="I496" s="10"/>
      <c r="J496" s="10"/>
      <c r="K496" s="10">
        <f t="shared" si="205"/>
        <v>0</v>
      </c>
      <c r="L496" s="131"/>
      <c r="M496" s="10">
        <f>SUM(M497:M524)</f>
        <v>5521228</v>
      </c>
      <c r="N496" s="10">
        <f>SUM(N497:N526)</f>
        <v>575662</v>
      </c>
      <c r="O496" s="10">
        <f t="shared" si="206"/>
        <v>6096890</v>
      </c>
      <c r="Q496" s="13">
        <f t="shared" si="200"/>
        <v>5521228</v>
      </c>
      <c r="R496" s="13">
        <f t="shared" si="201"/>
        <v>575662</v>
      </c>
      <c r="S496" s="13">
        <f t="shared" si="202"/>
        <v>6096890</v>
      </c>
    </row>
    <row r="497" spans="2:19" x14ac:dyDescent="0.25">
      <c r="B497" s="73">
        <f t="shared" si="203"/>
        <v>67</v>
      </c>
      <c r="C497" s="9"/>
      <c r="D497" s="9"/>
      <c r="E497" s="9"/>
      <c r="F497" s="43"/>
      <c r="G497" s="98"/>
      <c r="H497" s="12" t="s">
        <v>531</v>
      </c>
      <c r="I497" s="10"/>
      <c r="J497" s="10"/>
      <c r="K497" s="10">
        <f t="shared" si="205"/>
        <v>0</v>
      </c>
      <c r="L497" s="131"/>
      <c r="M497" s="10">
        <f>482000-82000+65000</f>
        <v>465000</v>
      </c>
      <c r="N497" s="10">
        <v>400000</v>
      </c>
      <c r="O497" s="10">
        <f t="shared" si="206"/>
        <v>865000</v>
      </c>
      <c r="Q497" s="10">
        <f t="shared" si="200"/>
        <v>465000</v>
      </c>
      <c r="R497" s="10">
        <f t="shared" si="201"/>
        <v>400000</v>
      </c>
      <c r="S497" s="10">
        <f t="shared" si="202"/>
        <v>865000</v>
      </c>
    </row>
    <row r="498" spans="2:19" x14ac:dyDescent="0.25">
      <c r="B498" s="73">
        <f t="shared" si="203"/>
        <v>68</v>
      </c>
      <c r="C498" s="9"/>
      <c r="D498" s="9"/>
      <c r="E498" s="9"/>
      <c r="F498" s="43"/>
      <c r="G498" s="98"/>
      <c r="H498" s="12" t="s">
        <v>347</v>
      </c>
      <c r="I498" s="10"/>
      <c r="J498" s="10"/>
      <c r="K498" s="10">
        <f t="shared" si="205"/>
        <v>0</v>
      </c>
      <c r="L498" s="131"/>
      <c r="M498" s="10">
        <v>3120000</v>
      </c>
      <c r="N498" s="10"/>
      <c r="O498" s="10">
        <f t="shared" si="206"/>
        <v>3120000</v>
      </c>
      <c r="Q498" s="10">
        <f t="shared" si="200"/>
        <v>3120000</v>
      </c>
      <c r="R498" s="10">
        <f t="shared" si="201"/>
        <v>0</v>
      </c>
      <c r="S498" s="10">
        <f t="shared" si="202"/>
        <v>3120000</v>
      </c>
    </row>
    <row r="499" spans="2:19" x14ac:dyDescent="0.25">
      <c r="B499" s="73">
        <f t="shared" si="203"/>
        <v>69</v>
      </c>
      <c r="C499" s="9"/>
      <c r="D499" s="9"/>
      <c r="E499" s="9"/>
      <c r="F499" s="43"/>
      <c r="G499" s="98"/>
      <c r="H499" s="67" t="s">
        <v>508</v>
      </c>
      <c r="I499" s="10"/>
      <c r="J499" s="10"/>
      <c r="K499" s="10">
        <f t="shared" si="205"/>
        <v>0</v>
      </c>
      <c r="L499" s="131"/>
      <c r="M499" s="10">
        <v>260000</v>
      </c>
      <c r="N499" s="10"/>
      <c r="O499" s="10">
        <f t="shared" si="206"/>
        <v>260000</v>
      </c>
      <c r="Q499" s="10">
        <f t="shared" si="200"/>
        <v>260000</v>
      </c>
      <c r="R499" s="10">
        <f t="shared" si="201"/>
        <v>0</v>
      </c>
      <c r="S499" s="10">
        <f t="shared" si="202"/>
        <v>260000</v>
      </c>
    </row>
    <row r="500" spans="2:19" x14ac:dyDescent="0.25">
      <c r="B500" s="73">
        <f t="shared" si="203"/>
        <v>70</v>
      </c>
      <c r="C500" s="12"/>
      <c r="D500" s="12"/>
      <c r="E500" s="12"/>
      <c r="F500" s="12"/>
      <c r="G500" s="99"/>
      <c r="H500" s="67" t="s">
        <v>494</v>
      </c>
      <c r="I500" s="13"/>
      <c r="J500" s="13"/>
      <c r="K500" s="13">
        <f t="shared" si="205"/>
        <v>0</v>
      </c>
      <c r="L500" s="132"/>
      <c r="M500" s="10">
        <f>83299+2500</f>
        <v>85799</v>
      </c>
      <c r="N500" s="10"/>
      <c r="O500" s="10">
        <f t="shared" si="206"/>
        <v>85799</v>
      </c>
      <c r="Q500" s="13">
        <f t="shared" si="200"/>
        <v>85799</v>
      </c>
      <c r="R500" s="13">
        <f t="shared" si="201"/>
        <v>0</v>
      </c>
      <c r="S500" s="13">
        <f t="shared" si="202"/>
        <v>85799</v>
      </c>
    </row>
    <row r="501" spans="2:19" x14ac:dyDescent="0.25">
      <c r="B501" s="73">
        <f t="shared" si="203"/>
        <v>71</v>
      </c>
      <c r="C501" s="12"/>
      <c r="D501" s="12"/>
      <c r="E501" s="12"/>
      <c r="F501" s="12"/>
      <c r="G501" s="99"/>
      <c r="H501" s="67" t="s">
        <v>491</v>
      </c>
      <c r="I501" s="13"/>
      <c r="J501" s="13"/>
      <c r="K501" s="13">
        <f t="shared" si="205"/>
        <v>0</v>
      </c>
      <c r="L501" s="132"/>
      <c r="M501" s="10">
        <v>39414</v>
      </c>
      <c r="N501" s="10"/>
      <c r="O501" s="10">
        <f t="shared" si="206"/>
        <v>39414</v>
      </c>
      <c r="Q501" s="13">
        <f t="shared" si="200"/>
        <v>39414</v>
      </c>
      <c r="R501" s="13">
        <f t="shared" si="201"/>
        <v>0</v>
      </c>
      <c r="S501" s="13">
        <f t="shared" si="202"/>
        <v>39414</v>
      </c>
    </row>
    <row r="502" spans="2:19" x14ac:dyDescent="0.25">
      <c r="B502" s="73">
        <f t="shared" si="203"/>
        <v>72</v>
      </c>
      <c r="C502" s="12"/>
      <c r="D502" s="12"/>
      <c r="E502" s="12"/>
      <c r="F502" s="12"/>
      <c r="G502" s="99"/>
      <c r="H502" s="67" t="s">
        <v>485</v>
      </c>
      <c r="I502" s="13"/>
      <c r="J502" s="13"/>
      <c r="K502" s="13">
        <f t="shared" si="205"/>
        <v>0</v>
      </c>
      <c r="L502" s="132"/>
      <c r="M502" s="10">
        <v>192035</v>
      </c>
      <c r="N502" s="10"/>
      <c r="O502" s="10">
        <f t="shared" si="206"/>
        <v>192035</v>
      </c>
      <c r="Q502" s="13">
        <f t="shared" si="200"/>
        <v>192035</v>
      </c>
      <c r="R502" s="13">
        <f t="shared" si="201"/>
        <v>0</v>
      </c>
      <c r="S502" s="13">
        <f t="shared" si="202"/>
        <v>192035</v>
      </c>
    </row>
    <row r="503" spans="2:19" x14ac:dyDescent="0.25">
      <c r="B503" s="73">
        <f t="shared" si="203"/>
        <v>73</v>
      </c>
      <c r="C503" s="12"/>
      <c r="D503" s="12"/>
      <c r="E503" s="12"/>
      <c r="F503" s="12"/>
      <c r="G503" s="99"/>
      <c r="H503" s="12" t="s">
        <v>557</v>
      </c>
      <c r="I503" s="13"/>
      <c r="J503" s="13"/>
      <c r="K503" s="13">
        <f t="shared" si="205"/>
        <v>0</v>
      </c>
      <c r="L503" s="132"/>
      <c r="M503" s="10">
        <v>90000</v>
      </c>
      <c r="N503" s="10">
        <f>82462+18000</f>
        <v>100462</v>
      </c>
      <c r="O503" s="10">
        <f t="shared" si="206"/>
        <v>190462</v>
      </c>
      <c r="Q503" s="13">
        <f t="shared" ref="Q503:Q524" si="220">M503+I503</f>
        <v>90000</v>
      </c>
      <c r="R503" s="13">
        <f t="shared" ref="R503:R524" si="221">N503+J503</f>
        <v>100462</v>
      </c>
      <c r="S503" s="13">
        <f t="shared" ref="S503:S524" si="222">O503+K503</f>
        <v>190462</v>
      </c>
    </row>
    <row r="504" spans="2:19" x14ac:dyDescent="0.25">
      <c r="B504" s="73">
        <f t="shared" si="203"/>
        <v>74</v>
      </c>
      <c r="C504" s="12"/>
      <c r="D504" s="12"/>
      <c r="E504" s="12"/>
      <c r="F504" s="12"/>
      <c r="G504" s="99"/>
      <c r="H504" s="67" t="s">
        <v>484</v>
      </c>
      <c r="I504" s="13"/>
      <c r="J504" s="13"/>
      <c r="K504" s="13">
        <f t="shared" ref="K504:K524" si="223">I504+J504</f>
        <v>0</v>
      </c>
      <c r="L504" s="132"/>
      <c r="M504" s="10">
        <v>11900</v>
      </c>
      <c r="N504" s="10"/>
      <c r="O504" s="10">
        <f t="shared" ref="O504:O524" si="224">M504+N504</f>
        <v>11900</v>
      </c>
      <c r="Q504" s="13">
        <f t="shared" si="220"/>
        <v>11900</v>
      </c>
      <c r="R504" s="13">
        <f t="shared" si="221"/>
        <v>0</v>
      </c>
      <c r="S504" s="13">
        <f t="shared" si="222"/>
        <v>11900</v>
      </c>
    </row>
    <row r="505" spans="2:19" x14ac:dyDescent="0.25">
      <c r="B505" s="73">
        <f t="shared" si="203"/>
        <v>75</v>
      </c>
      <c r="C505" s="12"/>
      <c r="D505" s="12"/>
      <c r="E505" s="12"/>
      <c r="F505" s="12"/>
      <c r="G505" s="99"/>
      <c r="H505" s="67" t="s">
        <v>486</v>
      </c>
      <c r="I505" s="13"/>
      <c r="J505" s="13"/>
      <c r="K505" s="13">
        <f t="shared" si="223"/>
        <v>0</v>
      </c>
      <c r="L505" s="132"/>
      <c r="M505" s="10">
        <v>8550</v>
      </c>
      <c r="N505" s="10"/>
      <c r="O505" s="10">
        <f t="shared" si="224"/>
        <v>8550</v>
      </c>
      <c r="Q505" s="13">
        <f t="shared" si="220"/>
        <v>8550</v>
      </c>
      <c r="R505" s="13">
        <f t="shared" si="221"/>
        <v>0</v>
      </c>
      <c r="S505" s="13">
        <f t="shared" si="222"/>
        <v>8550</v>
      </c>
    </row>
    <row r="506" spans="2:19" ht="23.25" x14ac:dyDescent="0.25">
      <c r="B506" s="73">
        <f t="shared" ref="B506" si="225">B505+1</f>
        <v>76</v>
      </c>
      <c r="C506" s="12"/>
      <c r="D506" s="12"/>
      <c r="E506" s="12"/>
      <c r="F506" s="12"/>
      <c r="G506" s="99"/>
      <c r="H506" s="68" t="s">
        <v>492</v>
      </c>
      <c r="I506" s="13"/>
      <c r="J506" s="13"/>
      <c r="K506" s="13">
        <f t="shared" si="223"/>
        <v>0</v>
      </c>
      <c r="L506" s="132"/>
      <c r="M506" s="10">
        <v>60000</v>
      </c>
      <c r="N506" s="10"/>
      <c r="O506" s="10">
        <f t="shared" si="224"/>
        <v>60000</v>
      </c>
      <c r="Q506" s="13">
        <f t="shared" si="220"/>
        <v>60000</v>
      </c>
      <c r="R506" s="13">
        <f t="shared" si="221"/>
        <v>0</v>
      </c>
      <c r="S506" s="13">
        <f t="shared" si="222"/>
        <v>60000</v>
      </c>
    </row>
    <row r="507" spans="2:19" x14ac:dyDescent="0.25">
      <c r="B507" s="73">
        <f t="shared" si="203"/>
        <v>77</v>
      </c>
      <c r="C507" s="12"/>
      <c r="D507" s="12"/>
      <c r="E507" s="12"/>
      <c r="F507" s="12"/>
      <c r="G507" s="99"/>
      <c r="H507" s="68" t="s">
        <v>490</v>
      </c>
      <c r="I507" s="13"/>
      <c r="J507" s="13"/>
      <c r="K507" s="13">
        <f t="shared" si="223"/>
        <v>0</v>
      </c>
      <c r="L507" s="132"/>
      <c r="M507" s="10">
        <v>10000</v>
      </c>
      <c r="N507" s="10"/>
      <c r="O507" s="10">
        <f t="shared" si="224"/>
        <v>10000</v>
      </c>
      <c r="Q507" s="13">
        <f t="shared" si="220"/>
        <v>10000</v>
      </c>
      <c r="R507" s="13">
        <f t="shared" si="221"/>
        <v>0</v>
      </c>
      <c r="S507" s="13">
        <f t="shared" si="222"/>
        <v>10000</v>
      </c>
    </row>
    <row r="508" spans="2:19" ht="22.5" x14ac:dyDescent="0.25">
      <c r="B508" s="73">
        <f t="shared" ref="B508:B510" si="226">B507+1</f>
        <v>78</v>
      </c>
      <c r="C508" s="85"/>
      <c r="D508" s="85"/>
      <c r="E508" s="85"/>
      <c r="F508" s="85"/>
      <c r="G508" s="103"/>
      <c r="H508" s="120" t="s">
        <v>483</v>
      </c>
      <c r="I508" s="86"/>
      <c r="J508" s="86"/>
      <c r="K508" s="86">
        <f t="shared" si="223"/>
        <v>0</v>
      </c>
      <c r="L508" s="141"/>
      <c r="M508" s="79">
        <v>45840</v>
      </c>
      <c r="N508" s="79"/>
      <c r="O508" s="79">
        <f t="shared" si="224"/>
        <v>45840</v>
      </c>
      <c r="P508" s="80"/>
      <c r="Q508" s="86">
        <f t="shared" si="220"/>
        <v>45840</v>
      </c>
      <c r="R508" s="86">
        <f t="shared" si="221"/>
        <v>0</v>
      </c>
      <c r="S508" s="86">
        <f t="shared" si="222"/>
        <v>45840</v>
      </c>
    </row>
    <row r="509" spans="2:19" ht="23.25" x14ac:dyDescent="0.25">
      <c r="B509" s="73">
        <f t="shared" si="226"/>
        <v>79</v>
      </c>
      <c r="C509" s="12"/>
      <c r="D509" s="12"/>
      <c r="E509" s="12"/>
      <c r="F509" s="12"/>
      <c r="G509" s="99"/>
      <c r="H509" s="89" t="s">
        <v>572</v>
      </c>
      <c r="I509" s="13"/>
      <c r="J509" s="13"/>
      <c r="K509" s="13">
        <f t="shared" si="223"/>
        <v>0</v>
      </c>
      <c r="L509" s="132"/>
      <c r="M509" s="10">
        <v>23000</v>
      </c>
      <c r="N509" s="10"/>
      <c r="O509" s="10">
        <f t="shared" si="224"/>
        <v>23000</v>
      </c>
      <c r="Q509" s="13">
        <f t="shared" si="220"/>
        <v>23000</v>
      </c>
      <c r="R509" s="13">
        <f t="shared" si="221"/>
        <v>0</v>
      </c>
      <c r="S509" s="13">
        <f t="shared" si="222"/>
        <v>23000</v>
      </c>
    </row>
    <row r="510" spans="2:19" x14ac:dyDescent="0.25">
      <c r="B510" s="73">
        <f t="shared" si="226"/>
        <v>80</v>
      </c>
      <c r="C510" s="12"/>
      <c r="D510" s="12"/>
      <c r="E510" s="12"/>
      <c r="F510" s="12"/>
      <c r="G510" s="99"/>
      <c r="H510" s="67" t="s">
        <v>493</v>
      </c>
      <c r="I510" s="13"/>
      <c r="J510" s="13"/>
      <c r="K510" s="13">
        <f t="shared" si="223"/>
        <v>0</v>
      </c>
      <c r="L510" s="132"/>
      <c r="M510" s="10">
        <f>98000-6800-6000-6000</f>
        <v>79200</v>
      </c>
      <c r="N510" s="10"/>
      <c r="O510" s="10">
        <f t="shared" si="224"/>
        <v>79200</v>
      </c>
      <c r="Q510" s="13">
        <f t="shared" si="220"/>
        <v>79200</v>
      </c>
      <c r="R510" s="13">
        <f t="shared" si="221"/>
        <v>0</v>
      </c>
      <c r="S510" s="13">
        <f t="shared" si="222"/>
        <v>79200</v>
      </c>
    </row>
    <row r="511" spans="2:19" x14ac:dyDescent="0.25">
      <c r="B511" s="73">
        <f t="shared" ref="B511:B520" si="227">B510+1</f>
        <v>81</v>
      </c>
      <c r="C511" s="12"/>
      <c r="D511" s="12"/>
      <c r="E511" s="12"/>
      <c r="F511" s="12"/>
      <c r="G511" s="99"/>
      <c r="H511" s="67" t="s">
        <v>512</v>
      </c>
      <c r="I511" s="13"/>
      <c r="J511" s="13"/>
      <c r="K511" s="13">
        <f t="shared" si="223"/>
        <v>0</v>
      </c>
      <c r="L511" s="132"/>
      <c r="M511" s="10">
        <f>70000+70000</f>
        <v>140000</v>
      </c>
      <c r="N511" s="10"/>
      <c r="O511" s="10">
        <f t="shared" si="224"/>
        <v>140000</v>
      </c>
      <c r="Q511" s="13">
        <f t="shared" si="220"/>
        <v>140000</v>
      </c>
      <c r="R511" s="13">
        <f t="shared" si="221"/>
        <v>0</v>
      </c>
      <c r="S511" s="13">
        <f t="shared" si="222"/>
        <v>140000</v>
      </c>
    </row>
    <row r="512" spans="2:19" x14ac:dyDescent="0.25">
      <c r="B512" s="73">
        <f t="shared" si="227"/>
        <v>82</v>
      </c>
      <c r="C512" s="12"/>
      <c r="D512" s="12"/>
      <c r="E512" s="12"/>
      <c r="F512" s="12"/>
      <c r="G512" s="99"/>
      <c r="H512" s="67" t="s">
        <v>487</v>
      </c>
      <c r="I512" s="13"/>
      <c r="J512" s="13"/>
      <c r="K512" s="13">
        <f t="shared" si="223"/>
        <v>0</v>
      </c>
      <c r="L512" s="132"/>
      <c r="M512" s="10">
        <f>151990+30000</f>
        <v>181990</v>
      </c>
      <c r="N512" s="10"/>
      <c r="O512" s="10">
        <f t="shared" si="224"/>
        <v>181990</v>
      </c>
      <c r="Q512" s="13">
        <f t="shared" si="220"/>
        <v>181990</v>
      </c>
      <c r="R512" s="13">
        <f t="shared" si="221"/>
        <v>0</v>
      </c>
      <c r="S512" s="13">
        <f t="shared" si="222"/>
        <v>181990</v>
      </c>
    </row>
    <row r="513" spans="2:19" x14ac:dyDescent="0.25">
      <c r="B513" s="73">
        <f t="shared" si="227"/>
        <v>83</v>
      </c>
      <c r="C513" s="12"/>
      <c r="D513" s="12"/>
      <c r="E513" s="12"/>
      <c r="F513" s="12"/>
      <c r="G513" s="99"/>
      <c r="H513" s="67" t="s">
        <v>488</v>
      </c>
      <c r="I513" s="13"/>
      <c r="J513" s="13"/>
      <c r="K513" s="13">
        <f t="shared" si="223"/>
        <v>0</v>
      </c>
      <c r="L513" s="132"/>
      <c r="M513" s="10">
        <v>5000</v>
      </c>
      <c r="N513" s="10"/>
      <c r="O513" s="10">
        <f t="shared" si="224"/>
        <v>5000</v>
      </c>
      <c r="Q513" s="13">
        <f t="shared" si="220"/>
        <v>5000</v>
      </c>
      <c r="R513" s="13">
        <f t="shared" si="221"/>
        <v>0</v>
      </c>
      <c r="S513" s="13">
        <f t="shared" si="222"/>
        <v>5000</v>
      </c>
    </row>
    <row r="514" spans="2:19" x14ac:dyDescent="0.25">
      <c r="B514" s="73">
        <f t="shared" si="227"/>
        <v>84</v>
      </c>
      <c r="C514" s="12"/>
      <c r="D514" s="12"/>
      <c r="E514" s="12"/>
      <c r="F514" s="12"/>
      <c r="G514" s="99"/>
      <c r="H514" s="67" t="s">
        <v>513</v>
      </c>
      <c r="I514" s="13"/>
      <c r="J514" s="13"/>
      <c r="K514" s="13">
        <f t="shared" si="223"/>
        <v>0</v>
      </c>
      <c r="L514" s="132"/>
      <c r="M514" s="10">
        <f>27700+50000</f>
        <v>77700</v>
      </c>
      <c r="N514" s="10"/>
      <c r="O514" s="10">
        <f t="shared" si="224"/>
        <v>77700</v>
      </c>
      <c r="Q514" s="13">
        <f t="shared" si="220"/>
        <v>77700</v>
      </c>
      <c r="R514" s="13">
        <f t="shared" si="221"/>
        <v>0</v>
      </c>
      <c r="S514" s="13">
        <f t="shared" si="222"/>
        <v>77700</v>
      </c>
    </row>
    <row r="515" spans="2:19" ht="18" customHeight="1" x14ac:dyDescent="0.25">
      <c r="B515" s="73">
        <f t="shared" si="227"/>
        <v>85</v>
      </c>
      <c r="C515" s="12"/>
      <c r="D515" s="12"/>
      <c r="E515" s="12"/>
      <c r="F515" s="12"/>
      <c r="G515" s="99"/>
      <c r="H515" s="67" t="s">
        <v>545</v>
      </c>
      <c r="I515" s="13"/>
      <c r="J515" s="13"/>
      <c r="K515" s="13">
        <f t="shared" si="223"/>
        <v>0</v>
      </c>
      <c r="L515" s="132"/>
      <c r="M515" s="10">
        <v>10000</v>
      </c>
      <c r="N515" s="10"/>
      <c r="O515" s="10">
        <f t="shared" si="224"/>
        <v>10000</v>
      </c>
      <c r="Q515" s="13">
        <f t="shared" si="220"/>
        <v>10000</v>
      </c>
      <c r="R515" s="13">
        <f t="shared" si="221"/>
        <v>0</v>
      </c>
      <c r="S515" s="13">
        <f t="shared" si="222"/>
        <v>10000</v>
      </c>
    </row>
    <row r="516" spans="2:19" ht="15.75" hidden="1" customHeight="1" x14ac:dyDescent="0.25">
      <c r="B516" s="73">
        <f t="shared" si="227"/>
        <v>86</v>
      </c>
      <c r="C516" s="12"/>
      <c r="D516" s="12"/>
      <c r="E516" s="12"/>
      <c r="F516" s="12"/>
      <c r="G516" s="99"/>
      <c r="H516" s="67" t="s">
        <v>517</v>
      </c>
      <c r="I516" s="13"/>
      <c r="J516" s="13"/>
      <c r="K516" s="13">
        <f t="shared" si="223"/>
        <v>0</v>
      </c>
      <c r="L516" s="132"/>
      <c r="M516" s="10">
        <v>40000</v>
      </c>
      <c r="N516" s="10"/>
      <c r="O516" s="10">
        <f t="shared" si="224"/>
        <v>40000</v>
      </c>
      <c r="Q516" s="13">
        <f t="shared" si="220"/>
        <v>40000</v>
      </c>
      <c r="R516" s="13">
        <f t="shared" si="221"/>
        <v>0</v>
      </c>
      <c r="S516" s="13">
        <f t="shared" si="222"/>
        <v>40000</v>
      </c>
    </row>
    <row r="517" spans="2:19" x14ac:dyDescent="0.25">
      <c r="B517" s="73">
        <f t="shared" si="227"/>
        <v>87</v>
      </c>
      <c r="C517" s="12"/>
      <c r="D517" s="12"/>
      <c r="E517" s="12"/>
      <c r="F517" s="12"/>
      <c r="G517" s="99"/>
      <c r="H517" s="67" t="s">
        <v>518</v>
      </c>
      <c r="I517" s="13"/>
      <c r="J517" s="13"/>
      <c r="K517" s="13">
        <f t="shared" si="223"/>
        <v>0</v>
      </c>
      <c r="L517" s="132"/>
      <c r="M517" s="10">
        <f>60000+4000</f>
        <v>64000</v>
      </c>
      <c r="N517" s="10">
        <v>-4800</v>
      </c>
      <c r="O517" s="10">
        <f t="shared" si="224"/>
        <v>59200</v>
      </c>
      <c r="Q517" s="13">
        <f t="shared" si="220"/>
        <v>64000</v>
      </c>
      <c r="R517" s="13">
        <f t="shared" si="221"/>
        <v>-4800</v>
      </c>
      <c r="S517" s="13">
        <f t="shared" si="222"/>
        <v>59200</v>
      </c>
    </row>
    <row r="518" spans="2:19" x14ac:dyDescent="0.25">
      <c r="B518" s="73">
        <f t="shared" si="227"/>
        <v>88</v>
      </c>
      <c r="C518" s="12"/>
      <c r="D518" s="12"/>
      <c r="E518" s="12"/>
      <c r="F518" s="12"/>
      <c r="G518" s="99"/>
      <c r="H518" s="67" t="s">
        <v>519</v>
      </c>
      <c r="I518" s="13"/>
      <c r="J518" s="13"/>
      <c r="K518" s="13">
        <f t="shared" si="223"/>
        <v>0</v>
      </c>
      <c r="L518" s="132"/>
      <c r="M518" s="10">
        <f>113800-2500</f>
        <v>111300</v>
      </c>
      <c r="N518" s="10"/>
      <c r="O518" s="10">
        <f t="shared" si="224"/>
        <v>111300</v>
      </c>
      <c r="Q518" s="13">
        <f t="shared" si="220"/>
        <v>111300</v>
      </c>
      <c r="R518" s="13">
        <f t="shared" si="221"/>
        <v>0</v>
      </c>
      <c r="S518" s="13">
        <f t="shared" si="222"/>
        <v>111300</v>
      </c>
    </row>
    <row r="519" spans="2:19" x14ac:dyDescent="0.25">
      <c r="B519" s="73">
        <f t="shared" si="227"/>
        <v>89</v>
      </c>
      <c r="C519" s="12"/>
      <c r="D519" s="12"/>
      <c r="E519" s="12"/>
      <c r="F519" s="12"/>
      <c r="G519" s="99"/>
      <c r="H519" s="67" t="s">
        <v>514</v>
      </c>
      <c r="I519" s="13"/>
      <c r="J519" s="13"/>
      <c r="K519" s="13">
        <f t="shared" si="223"/>
        <v>0</v>
      </c>
      <c r="L519" s="132"/>
      <c r="M519" s="10">
        <v>23000</v>
      </c>
      <c r="N519" s="10"/>
      <c r="O519" s="10">
        <f t="shared" si="224"/>
        <v>23000</v>
      </c>
      <c r="Q519" s="13">
        <f t="shared" si="220"/>
        <v>23000</v>
      </c>
      <c r="R519" s="13">
        <f t="shared" si="221"/>
        <v>0</v>
      </c>
      <c r="S519" s="13">
        <f t="shared" si="222"/>
        <v>23000</v>
      </c>
    </row>
    <row r="520" spans="2:19" x14ac:dyDescent="0.25">
      <c r="B520" s="73">
        <f t="shared" si="227"/>
        <v>90</v>
      </c>
      <c r="C520" s="12"/>
      <c r="D520" s="12"/>
      <c r="E520" s="12"/>
      <c r="F520" s="12"/>
      <c r="G520" s="99"/>
      <c r="H520" s="67" t="s">
        <v>558</v>
      </c>
      <c r="I520" s="13"/>
      <c r="J520" s="13"/>
      <c r="K520" s="13">
        <f t="shared" si="223"/>
        <v>0</v>
      </c>
      <c r="L520" s="132"/>
      <c r="M520" s="10">
        <v>34000</v>
      </c>
      <c r="N520" s="10"/>
      <c r="O520" s="10">
        <f t="shared" si="224"/>
        <v>34000</v>
      </c>
      <c r="Q520" s="13">
        <f t="shared" si="220"/>
        <v>34000</v>
      </c>
      <c r="R520" s="13">
        <f t="shared" si="221"/>
        <v>0</v>
      </c>
      <c r="S520" s="13">
        <f t="shared" si="222"/>
        <v>34000</v>
      </c>
    </row>
    <row r="521" spans="2:19" x14ac:dyDescent="0.25">
      <c r="B521" s="73">
        <f t="shared" ref="B521:B526" si="228">B520+1</f>
        <v>91</v>
      </c>
      <c r="C521" s="12"/>
      <c r="D521" s="12"/>
      <c r="E521" s="12"/>
      <c r="F521" s="12"/>
      <c r="G521" s="99"/>
      <c r="H521" s="67" t="s">
        <v>510</v>
      </c>
      <c r="I521" s="13"/>
      <c r="J521" s="13"/>
      <c r="K521" s="13">
        <f t="shared" si="223"/>
        <v>0</v>
      </c>
      <c r="L521" s="132"/>
      <c r="M521" s="10">
        <f>100000+28000</f>
        <v>128000</v>
      </c>
      <c r="N521" s="10"/>
      <c r="O521" s="10">
        <f t="shared" si="224"/>
        <v>128000</v>
      </c>
      <c r="Q521" s="13">
        <f t="shared" si="220"/>
        <v>128000</v>
      </c>
      <c r="R521" s="13">
        <f t="shared" si="221"/>
        <v>0</v>
      </c>
      <c r="S521" s="13">
        <f t="shared" si="222"/>
        <v>128000</v>
      </c>
    </row>
    <row r="522" spans="2:19" x14ac:dyDescent="0.25">
      <c r="B522" s="73">
        <f t="shared" si="228"/>
        <v>92</v>
      </c>
      <c r="C522" s="12"/>
      <c r="D522" s="12"/>
      <c r="E522" s="12"/>
      <c r="F522" s="12"/>
      <c r="G522" s="99"/>
      <c r="H522" s="67" t="s">
        <v>589</v>
      </c>
      <c r="I522" s="13"/>
      <c r="J522" s="13"/>
      <c r="K522" s="13">
        <f t="shared" si="223"/>
        <v>0</v>
      </c>
      <c r="L522" s="132"/>
      <c r="M522" s="10">
        <v>3000</v>
      </c>
      <c r="N522" s="10"/>
      <c r="O522" s="10">
        <f t="shared" si="224"/>
        <v>3000</v>
      </c>
      <c r="Q522" s="13">
        <f t="shared" si="220"/>
        <v>3000</v>
      </c>
      <c r="R522" s="13">
        <f t="shared" si="221"/>
        <v>0</v>
      </c>
      <c r="S522" s="13">
        <f t="shared" si="222"/>
        <v>3000</v>
      </c>
    </row>
    <row r="523" spans="2:19" x14ac:dyDescent="0.25">
      <c r="B523" s="73">
        <f t="shared" si="228"/>
        <v>93</v>
      </c>
      <c r="C523" s="12"/>
      <c r="D523" s="12"/>
      <c r="E523" s="12"/>
      <c r="F523" s="12"/>
      <c r="G523" s="99"/>
      <c r="H523" s="67" t="s">
        <v>595</v>
      </c>
      <c r="I523" s="13"/>
      <c r="J523" s="13"/>
      <c r="K523" s="13">
        <f t="shared" si="223"/>
        <v>0</v>
      </c>
      <c r="L523" s="132"/>
      <c r="M523" s="10">
        <v>68000</v>
      </c>
      <c r="N523" s="10"/>
      <c r="O523" s="10">
        <f t="shared" si="224"/>
        <v>68000</v>
      </c>
      <c r="Q523" s="13">
        <f t="shared" si="220"/>
        <v>68000</v>
      </c>
      <c r="R523" s="13">
        <f t="shared" si="221"/>
        <v>0</v>
      </c>
      <c r="S523" s="13">
        <f t="shared" si="222"/>
        <v>68000</v>
      </c>
    </row>
    <row r="524" spans="2:19" x14ac:dyDescent="0.25">
      <c r="B524" s="73">
        <f t="shared" si="228"/>
        <v>94</v>
      </c>
      <c r="C524" s="12"/>
      <c r="D524" s="12"/>
      <c r="E524" s="12"/>
      <c r="F524" s="12"/>
      <c r="G524" s="99"/>
      <c r="H524" s="67" t="s">
        <v>599</v>
      </c>
      <c r="I524" s="13"/>
      <c r="J524" s="13"/>
      <c r="K524" s="13">
        <f t="shared" si="223"/>
        <v>0</v>
      </c>
      <c r="L524" s="132"/>
      <c r="M524" s="10">
        <v>144500</v>
      </c>
      <c r="N524" s="10"/>
      <c r="O524" s="10">
        <f t="shared" si="224"/>
        <v>144500</v>
      </c>
      <c r="Q524" s="13">
        <f t="shared" si="220"/>
        <v>144500</v>
      </c>
      <c r="R524" s="13">
        <f t="shared" si="221"/>
        <v>0</v>
      </c>
      <c r="S524" s="13">
        <f t="shared" si="222"/>
        <v>144500</v>
      </c>
    </row>
    <row r="525" spans="2:19" x14ac:dyDescent="0.25">
      <c r="B525" s="73">
        <f t="shared" si="228"/>
        <v>95</v>
      </c>
      <c r="C525" s="12"/>
      <c r="D525" s="12"/>
      <c r="E525" s="12"/>
      <c r="F525" s="12"/>
      <c r="G525" s="99"/>
      <c r="H525" s="67" t="s">
        <v>649</v>
      </c>
      <c r="I525" s="13"/>
      <c r="J525" s="13"/>
      <c r="K525" s="13">
        <f t="shared" ref="K525" si="229">I525+J525</f>
        <v>0</v>
      </c>
      <c r="L525" s="132"/>
      <c r="M525" s="10">
        <v>0</v>
      </c>
      <c r="N525" s="10">
        <v>50000</v>
      </c>
      <c r="O525" s="10">
        <f t="shared" ref="O525" si="230">M525+N525</f>
        <v>50000</v>
      </c>
      <c r="Q525" s="13">
        <f t="shared" ref="Q525" si="231">M525+I525</f>
        <v>0</v>
      </c>
      <c r="R525" s="13">
        <f t="shared" ref="R525" si="232">N525+J525</f>
        <v>50000</v>
      </c>
      <c r="S525" s="13">
        <f t="shared" ref="S525" si="233">O525+K525</f>
        <v>50000</v>
      </c>
    </row>
    <row r="526" spans="2:19" x14ac:dyDescent="0.25">
      <c r="B526" s="73">
        <f t="shared" si="228"/>
        <v>96</v>
      </c>
      <c r="C526" s="12"/>
      <c r="D526" s="12"/>
      <c r="E526" s="12"/>
      <c r="F526" s="12"/>
      <c r="G526" s="99"/>
      <c r="H526" s="67" t="s">
        <v>655</v>
      </c>
      <c r="I526" s="13"/>
      <c r="J526" s="13"/>
      <c r="K526" s="13">
        <f t="shared" ref="K526" si="234">I526+J526</f>
        <v>0</v>
      </c>
      <c r="L526" s="132"/>
      <c r="M526" s="10">
        <v>0</v>
      </c>
      <c r="N526" s="10">
        <v>30000</v>
      </c>
      <c r="O526" s="10">
        <f t="shared" ref="O526" si="235">M526+N526</f>
        <v>30000</v>
      </c>
      <c r="Q526" s="13">
        <f t="shared" ref="Q526" si="236">M526+I526</f>
        <v>0</v>
      </c>
      <c r="R526" s="13">
        <f t="shared" ref="R526" si="237">N526+J526</f>
        <v>30000</v>
      </c>
      <c r="S526" s="13">
        <f t="shared" ref="S526" si="238">O526+K526</f>
        <v>30000</v>
      </c>
    </row>
    <row r="528" spans="2:19" hidden="1" x14ac:dyDescent="0.25"/>
    <row r="529" hidden="1" x14ac:dyDescent="0.25"/>
    <row r="530" hidden="1" x14ac:dyDescent="0.25"/>
    <row r="570" spans="2:19" ht="27" x14ac:dyDescent="0.35">
      <c r="B570" s="231" t="s">
        <v>300</v>
      </c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</row>
    <row r="571" spans="2:19" x14ac:dyDescent="0.25">
      <c r="B571" s="233" t="s">
        <v>208</v>
      </c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5"/>
      <c r="N571" s="169"/>
      <c r="O571" s="170"/>
      <c r="Q571" s="236" t="s">
        <v>563</v>
      </c>
      <c r="R571" s="221" t="s">
        <v>635</v>
      </c>
      <c r="S571" s="221" t="s">
        <v>636</v>
      </c>
    </row>
    <row r="572" spans="2:19" x14ac:dyDescent="0.25">
      <c r="B572" s="237"/>
      <c r="C572" s="240" t="s">
        <v>209</v>
      </c>
      <c r="D572" s="240" t="s">
        <v>210</v>
      </c>
      <c r="E572" s="240" t="s">
        <v>211</v>
      </c>
      <c r="F572" s="240" t="s">
        <v>212</v>
      </c>
      <c r="G572" s="243" t="s">
        <v>213</v>
      </c>
      <c r="H572" s="245" t="s">
        <v>214</v>
      </c>
      <c r="I572" s="248" t="s">
        <v>561</v>
      </c>
      <c r="J572" s="222" t="s">
        <v>635</v>
      </c>
      <c r="K572" s="222" t="s">
        <v>637</v>
      </c>
      <c r="L572" s="129"/>
      <c r="M572" s="250" t="s">
        <v>562</v>
      </c>
      <c r="N572" s="222" t="s">
        <v>635</v>
      </c>
      <c r="O572" s="222" t="s">
        <v>638</v>
      </c>
      <c r="Q572" s="236"/>
      <c r="R572" s="222"/>
      <c r="S572" s="222"/>
    </row>
    <row r="573" spans="2:19" x14ac:dyDescent="0.25">
      <c r="B573" s="238"/>
      <c r="C573" s="241"/>
      <c r="D573" s="241"/>
      <c r="E573" s="241"/>
      <c r="F573" s="241"/>
      <c r="G573" s="243"/>
      <c r="H573" s="246"/>
      <c r="I573" s="248"/>
      <c r="J573" s="222"/>
      <c r="K573" s="222"/>
      <c r="L573" s="129"/>
      <c r="M573" s="250"/>
      <c r="N573" s="222"/>
      <c r="O573" s="222"/>
      <c r="Q573" s="236"/>
      <c r="R573" s="222"/>
      <c r="S573" s="222"/>
    </row>
    <row r="574" spans="2:19" ht="15.75" thickBot="1" x14ac:dyDescent="0.3">
      <c r="B574" s="238"/>
      <c r="C574" s="241"/>
      <c r="D574" s="241"/>
      <c r="E574" s="241"/>
      <c r="F574" s="241"/>
      <c r="G574" s="243"/>
      <c r="H574" s="246"/>
      <c r="I574" s="248"/>
      <c r="J574" s="222"/>
      <c r="K574" s="222"/>
      <c r="L574" s="129"/>
      <c r="M574" s="250"/>
      <c r="N574" s="222"/>
      <c r="O574" s="222"/>
      <c r="Q574" s="236"/>
      <c r="R574" s="222"/>
      <c r="S574" s="222"/>
    </row>
    <row r="575" spans="2:19" ht="15.75" hidden="1" thickBot="1" x14ac:dyDescent="0.3">
      <c r="B575" s="239"/>
      <c r="C575" s="242"/>
      <c r="D575" s="242"/>
      <c r="E575" s="242"/>
      <c r="F575" s="242"/>
      <c r="G575" s="244"/>
      <c r="H575" s="247"/>
      <c r="I575" s="249"/>
      <c r="J575" s="223"/>
      <c r="K575" s="223"/>
      <c r="L575" s="129"/>
      <c r="M575" s="251"/>
      <c r="N575" s="223"/>
      <c r="O575" s="223"/>
      <c r="Q575" s="236"/>
      <c r="R575" s="223"/>
      <c r="S575" s="223"/>
    </row>
    <row r="576" spans="2:19" ht="21" customHeight="1" thickTop="1" x14ac:dyDescent="0.25">
      <c r="B576" s="74">
        <v>1</v>
      </c>
      <c r="C576" s="224" t="s">
        <v>300</v>
      </c>
      <c r="D576" s="225"/>
      <c r="E576" s="225"/>
      <c r="F576" s="225"/>
      <c r="G576" s="225"/>
      <c r="H576" s="226"/>
      <c r="I576" s="33">
        <f>I577+I754+I971+I1074+I1310</f>
        <v>14938441</v>
      </c>
      <c r="J576" s="33">
        <f>J577+J754+J971+J1074+J1310</f>
        <v>39342</v>
      </c>
      <c r="K576" s="33">
        <f>I576+J576</f>
        <v>14977783</v>
      </c>
      <c r="L576" s="134"/>
      <c r="M576" s="33">
        <f>M577+M754+M971+M1074+M1310</f>
        <v>876602</v>
      </c>
      <c r="N576" s="33">
        <f>N577+N754+N971+N1074+N1310</f>
        <v>45000</v>
      </c>
      <c r="O576" s="33">
        <f>M576+N576</f>
        <v>921602</v>
      </c>
      <c r="Q576" s="33">
        <f>I576+M576</f>
        <v>15815043</v>
      </c>
      <c r="R576" s="33">
        <f t="shared" ref="R576:S591" si="239">J576+N576</f>
        <v>84342</v>
      </c>
      <c r="S576" s="33">
        <f t="shared" si="239"/>
        <v>15899385</v>
      </c>
    </row>
    <row r="577" spans="2:19" ht="15.75" x14ac:dyDescent="0.25">
      <c r="B577" s="73">
        <f t="shared" ref="B577:B640" si="240">B576+1</f>
        <v>2</v>
      </c>
      <c r="C577" s="34">
        <v>1</v>
      </c>
      <c r="D577" s="227" t="s">
        <v>301</v>
      </c>
      <c r="E577" s="228"/>
      <c r="F577" s="228"/>
      <c r="G577" s="228"/>
      <c r="H577" s="229"/>
      <c r="I577" s="35">
        <f>I578+I589+I599</f>
        <v>3737586</v>
      </c>
      <c r="J577" s="35">
        <f>J578+J589+J599</f>
        <v>1389</v>
      </c>
      <c r="K577" s="35">
        <f>I577+J577</f>
        <v>3738975</v>
      </c>
      <c r="L577" s="135"/>
      <c r="M577" s="35">
        <f>M589+M599</f>
        <v>246100</v>
      </c>
      <c r="N577" s="35">
        <f>N589+N599</f>
        <v>0</v>
      </c>
      <c r="O577" s="35">
        <f t="shared" ref="O577:O640" si="241">M577+N577</f>
        <v>246100</v>
      </c>
      <c r="Q577" s="35">
        <f>I577+M577</f>
        <v>3983686</v>
      </c>
      <c r="R577" s="35">
        <f t="shared" si="239"/>
        <v>1389</v>
      </c>
      <c r="S577" s="35">
        <f t="shared" si="239"/>
        <v>3985075</v>
      </c>
    </row>
    <row r="578" spans="2:19" x14ac:dyDescent="0.25">
      <c r="B578" s="73">
        <f>B577+1</f>
        <v>3</v>
      </c>
      <c r="C578" s="21"/>
      <c r="D578" s="21"/>
      <c r="E578" s="21"/>
      <c r="F578" s="42" t="s">
        <v>302</v>
      </c>
      <c r="G578" s="97">
        <v>640</v>
      </c>
      <c r="H578" s="21" t="s">
        <v>230</v>
      </c>
      <c r="I578" s="15">
        <f>I579</f>
        <v>538264</v>
      </c>
      <c r="J578" s="15">
        <f t="shared" ref="J578" si="242">J579</f>
        <v>0</v>
      </c>
      <c r="K578" s="15">
        <f>I578+J578</f>
        <v>538264</v>
      </c>
      <c r="L578" s="130"/>
      <c r="M578" s="15"/>
      <c r="N578" s="15"/>
      <c r="O578" s="15">
        <f t="shared" si="241"/>
        <v>0</v>
      </c>
      <c r="Q578" s="15">
        <f t="shared" ref="Q578:Q639" si="243">I578+M578</f>
        <v>538264</v>
      </c>
      <c r="R578" s="15">
        <f t="shared" si="239"/>
        <v>0</v>
      </c>
      <c r="S578" s="15">
        <f t="shared" si="239"/>
        <v>538264</v>
      </c>
    </row>
    <row r="579" spans="2:19" x14ac:dyDescent="0.25">
      <c r="B579" s="73">
        <f t="shared" si="240"/>
        <v>4</v>
      </c>
      <c r="C579" s="9"/>
      <c r="D579" s="9"/>
      <c r="E579" s="9"/>
      <c r="F579" s="43" t="s">
        <v>302</v>
      </c>
      <c r="G579" s="98">
        <v>642</v>
      </c>
      <c r="H579" s="9" t="s">
        <v>231</v>
      </c>
      <c r="I579" s="10">
        <f>I580+I581+I582+I583+I584+I585+I586+I587+I588</f>
        <v>538264</v>
      </c>
      <c r="J579" s="10">
        <f t="shared" ref="J579" si="244">J580+J581+J582+J583+J584+J585+J586+J587+J588</f>
        <v>0</v>
      </c>
      <c r="K579" s="10">
        <f t="shared" ref="K579:K642" si="245">I579+J579</f>
        <v>538264</v>
      </c>
      <c r="L579" s="131"/>
      <c r="M579" s="10"/>
      <c r="N579" s="10"/>
      <c r="O579" s="10">
        <f t="shared" si="241"/>
        <v>0</v>
      </c>
      <c r="Q579" s="10">
        <f t="shared" si="243"/>
        <v>538264</v>
      </c>
      <c r="R579" s="10">
        <f t="shared" si="239"/>
        <v>0</v>
      </c>
      <c r="S579" s="10">
        <f t="shared" si="239"/>
        <v>538264</v>
      </c>
    </row>
    <row r="580" spans="2:19" x14ac:dyDescent="0.25">
      <c r="B580" s="73">
        <f t="shared" si="240"/>
        <v>5</v>
      </c>
      <c r="C580" s="12"/>
      <c r="D580" s="12"/>
      <c r="E580" s="12"/>
      <c r="F580" s="12"/>
      <c r="G580" s="99"/>
      <c r="H580" s="12" t="s">
        <v>449</v>
      </c>
      <c r="I580" s="13">
        <v>121907</v>
      </c>
      <c r="J580" s="13"/>
      <c r="K580" s="13">
        <f t="shared" si="245"/>
        <v>121907</v>
      </c>
      <c r="L580" s="132"/>
      <c r="M580" s="13"/>
      <c r="N580" s="13"/>
      <c r="O580" s="13">
        <f t="shared" si="241"/>
        <v>0</v>
      </c>
      <c r="Q580" s="13">
        <f t="shared" si="243"/>
        <v>121907</v>
      </c>
      <c r="R580" s="13">
        <f t="shared" si="239"/>
        <v>0</v>
      </c>
      <c r="S580" s="13">
        <f t="shared" si="239"/>
        <v>121907</v>
      </c>
    </row>
    <row r="581" spans="2:19" hidden="1" x14ac:dyDescent="0.25">
      <c r="B581" s="73">
        <f t="shared" si="240"/>
        <v>6</v>
      </c>
      <c r="C581" s="12"/>
      <c r="D581" s="12"/>
      <c r="E581" s="12"/>
      <c r="F581" s="12"/>
      <c r="G581" s="99"/>
      <c r="H581" s="12" t="s">
        <v>450</v>
      </c>
      <c r="I581" s="13">
        <v>79336</v>
      </c>
      <c r="J581" s="13"/>
      <c r="K581" s="13">
        <f t="shared" si="245"/>
        <v>79336</v>
      </c>
      <c r="L581" s="132"/>
      <c r="M581" s="13"/>
      <c r="N581" s="13"/>
      <c r="O581" s="13">
        <f t="shared" si="241"/>
        <v>0</v>
      </c>
      <c r="Q581" s="13">
        <f t="shared" si="243"/>
        <v>79336</v>
      </c>
      <c r="R581" s="13">
        <f t="shared" si="239"/>
        <v>0</v>
      </c>
      <c r="S581" s="13">
        <f t="shared" si="239"/>
        <v>79336</v>
      </c>
    </row>
    <row r="582" spans="2:19" hidden="1" x14ac:dyDescent="0.25">
      <c r="B582" s="73">
        <f t="shared" si="240"/>
        <v>7</v>
      </c>
      <c r="C582" s="12"/>
      <c r="D582" s="12"/>
      <c r="E582" s="12"/>
      <c r="F582" s="12"/>
      <c r="G582" s="99"/>
      <c r="H582" s="12" t="s">
        <v>451</v>
      </c>
      <c r="I582" s="13">
        <v>40636</v>
      </c>
      <c r="J582" s="13"/>
      <c r="K582" s="13">
        <f t="shared" si="245"/>
        <v>40636</v>
      </c>
      <c r="L582" s="132"/>
      <c r="M582" s="13"/>
      <c r="N582" s="13"/>
      <c r="O582" s="13">
        <f t="shared" si="241"/>
        <v>0</v>
      </c>
      <c r="Q582" s="13">
        <f t="shared" si="243"/>
        <v>40636</v>
      </c>
      <c r="R582" s="13">
        <f t="shared" si="239"/>
        <v>0</v>
      </c>
      <c r="S582" s="13">
        <f t="shared" si="239"/>
        <v>40636</v>
      </c>
    </row>
    <row r="583" spans="2:19" hidden="1" x14ac:dyDescent="0.25">
      <c r="B583" s="73">
        <f t="shared" si="240"/>
        <v>8</v>
      </c>
      <c r="C583" s="12"/>
      <c r="D583" s="12"/>
      <c r="E583" s="12"/>
      <c r="F583" s="12"/>
      <c r="G583" s="99"/>
      <c r="H583" s="12" t="s">
        <v>452</v>
      </c>
      <c r="I583" s="13">
        <v>27091</v>
      </c>
      <c r="J583" s="13"/>
      <c r="K583" s="13">
        <f t="shared" si="245"/>
        <v>27091</v>
      </c>
      <c r="L583" s="132"/>
      <c r="M583" s="13"/>
      <c r="N583" s="13"/>
      <c r="O583" s="13">
        <f t="shared" si="241"/>
        <v>0</v>
      </c>
      <c r="Q583" s="13">
        <f t="shared" si="243"/>
        <v>27091</v>
      </c>
      <c r="R583" s="13">
        <f t="shared" si="239"/>
        <v>0</v>
      </c>
      <c r="S583" s="13">
        <f t="shared" si="239"/>
        <v>27091</v>
      </c>
    </row>
    <row r="584" spans="2:19" x14ac:dyDescent="0.25">
      <c r="B584" s="73">
        <f t="shared" si="240"/>
        <v>9</v>
      </c>
      <c r="C584" s="12"/>
      <c r="D584" s="12"/>
      <c r="E584" s="12"/>
      <c r="F584" s="12"/>
      <c r="G584" s="99"/>
      <c r="H584" s="12" t="s">
        <v>453</v>
      </c>
      <c r="I584" s="13">
        <v>69661</v>
      </c>
      <c r="J584" s="13"/>
      <c r="K584" s="13">
        <f t="shared" si="245"/>
        <v>69661</v>
      </c>
      <c r="L584" s="132"/>
      <c r="M584" s="13"/>
      <c r="N584" s="13"/>
      <c r="O584" s="13">
        <f t="shared" si="241"/>
        <v>0</v>
      </c>
      <c r="Q584" s="13">
        <f t="shared" si="243"/>
        <v>69661</v>
      </c>
      <c r="R584" s="13">
        <f t="shared" si="239"/>
        <v>0</v>
      </c>
      <c r="S584" s="13">
        <f t="shared" si="239"/>
        <v>69661</v>
      </c>
    </row>
    <row r="585" spans="2:19" x14ac:dyDescent="0.25">
      <c r="B585" s="73">
        <f t="shared" si="240"/>
        <v>10</v>
      </c>
      <c r="C585" s="12"/>
      <c r="D585" s="12"/>
      <c r="E585" s="12"/>
      <c r="F585" s="12"/>
      <c r="G585" s="99"/>
      <c r="H585" s="12" t="s">
        <v>454</v>
      </c>
      <c r="I585" s="13">
        <v>87076</v>
      </c>
      <c r="J585" s="13"/>
      <c r="K585" s="13">
        <f t="shared" si="245"/>
        <v>87076</v>
      </c>
      <c r="L585" s="132"/>
      <c r="M585" s="13"/>
      <c r="N585" s="13"/>
      <c r="O585" s="13">
        <f t="shared" si="241"/>
        <v>0</v>
      </c>
      <c r="Q585" s="13">
        <f t="shared" si="243"/>
        <v>87076</v>
      </c>
      <c r="R585" s="13">
        <f t="shared" si="239"/>
        <v>0</v>
      </c>
      <c r="S585" s="13">
        <f t="shared" si="239"/>
        <v>87076</v>
      </c>
    </row>
    <row r="586" spans="2:19" x14ac:dyDescent="0.25">
      <c r="B586" s="73">
        <f t="shared" si="240"/>
        <v>11</v>
      </c>
      <c r="C586" s="12"/>
      <c r="D586" s="12"/>
      <c r="E586" s="12"/>
      <c r="F586" s="12"/>
      <c r="G586" s="99"/>
      <c r="H586" s="12" t="s">
        <v>455</v>
      </c>
      <c r="I586" s="13">
        <v>69661</v>
      </c>
      <c r="J586" s="13"/>
      <c r="K586" s="13">
        <f t="shared" si="245"/>
        <v>69661</v>
      </c>
      <c r="L586" s="132"/>
      <c r="M586" s="13"/>
      <c r="N586" s="13"/>
      <c r="O586" s="13">
        <f t="shared" si="241"/>
        <v>0</v>
      </c>
      <c r="Q586" s="13">
        <f t="shared" si="243"/>
        <v>69661</v>
      </c>
      <c r="R586" s="13">
        <f t="shared" si="239"/>
        <v>0</v>
      </c>
      <c r="S586" s="13">
        <f t="shared" si="239"/>
        <v>69661</v>
      </c>
    </row>
    <row r="587" spans="2:19" x14ac:dyDescent="0.25">
      <c r="B587" s="73">
        <f t="shared" si="240"/>
        <v>12</v>
      </c>
      <c r="C587" s="12"/>
      <c r="D587" s="12"/>
      <c r="E587" s="12"/>
      <c r="F587" s="12"/>
      <c r="G587" s="99"/>
      <c r="H587" s="12" t="s">
        <v>456</v>
      </c>
      <c r="I587" s="13">
        <v>42571</v>
      </c>
      <c r="J587" s="13"/>
      <c r="K587" s="13">
        <f t="shared" si="245"/>
        <v>42571</v>
      </c>
      <c r="L587" s="132"/>
      <c r="M587" s="13"/>
      <c r="N587" s="13"/>
      <c r="O587" s="13">
        <f t="shared" si="241"/>
        <v>0</v>
      </c>
      <c r="Q587" s="13">
        <f t="shared" si="243"/>
        <v>42571</v>
      </c>
      <c r="R587" s="13">
        <f t="shared" si="239"/>
        <v>0</v>
      </c>
      <c r="S587" s="13">
        <f t="shared" si="239"/>
        <v>42571</v>
      </c>
    </row>
    <row r="588" spans="2:19" x14ac:dyDescent="0.25">
      <c r="B588" s="73">
        <f t="shared" si="240"/>
        <v>13</v>
      </c>
      <c r="C588" s="12"/>
      <c r="D588" s="12"/>
      <c r="E588" s="12"/>
      <c r="F588" s="12"/>
      <c r="G588" s="99"/>
      <c r="H588" s="12" t="s">
        <v>469</v>
      </c>
      <c r="I588" s="13">
        <v>325</v>
      </c>
      <c r="J588" s="13"/>
      <c r="K588" s="13">
        <f t="shared" si="245"/>
        <v>325</v>
      </c>
      <c r="L588" s="132"/>
      <c r="M588" s="13"/>
      <c r="N588" s="13"/>
      <c r="O588" s="13">
        <f t="shared" si="241"/>
        <v>0</v>
      </c>
      <c r="Q588" s="13">
        <f t="shared" si="243"/>
        <v>325</v>
      </c>
      <c r="R588" s="13">
        <f t="shared" si="239"/>
        <v>0</v>
      </c>
      <c r="S588" s="13">
        <f t="shared" si="239"/>
        <v>325</v>
      </c>
    </row>
    <row r="589" spans="2:19" x14ac:dyDescent="0.25">
      <c r="B589" s="73">
        <f t="shared" si="240"/>
        <v>14</v>
      </c>
      <c r="C589" s="38"/>
      <c r="D589" s="38"/>
      <c r="E589" s="38">
        <v>3</v>
      </c>
      <c r="F589" s="38"/>
      <c r="G589" s="95"/>
      <c r="H589" s="38" t="s">
        <v>82</v>
      </c>
      <c r="I589" s="39">
        <f>I590+I591+I592+I598</f>
        <v>436495</v>
      </c>
      <c r="J589" s="39">
        <f>J590+J591+J592+J598</f>
        <v>0</v>
      </c>
      <c r="K589" s="39">
        <f t="shared" si="245"/>
        <v>436495</v>
      </c>
      <c r="L589" s="138"/>
      <c r="M589" s="39">
        <v>0</v>
      </c>
      <c r="N589" s="39"/>
      <c r="O589" s="39">
        <f t="shared" si="241"/>
        <v>0</v>
      </c>
      <c r="Q589" s="39">
        <f t="shared" si="243"/>
        <v>436495</v>
      </c>
      <c r="R589" s="39">
        <f t="shared" si="239"/>
        <v>0</v>
      </c>
      <c r="S589" s="39">
        <f t="shared" si="239"/>
        <v>436495</v>
      </c>
    </row>
    <row r="590" spans="2:19" x14ac:dyDescent="0.25">
      <c r="B590" s="73">
        <f t="shared" si="240"/>
        <v>15</v>
      </c>
      <c r="C590" s="21"/>
      <c r="D590" s="21"/>
      <c r="E590" s="21"/>
      <c r="F590" s="42" t="s">
        <v>302</v>
      </c>
      <c r="G590" s="97">
        <v>610</v>
      </c>
      <c r="H590" s="21" t="s">
        <v>245</v>
      </c>
      <c r="I590" s="15">
        <f>249103+1800</f>
        <v>250903</v>
      </c>
      <c r="J590" s="15"/>
      <c r="K590" s="15">
        <f t="shared" si="245"/>
        <v>250903</v>
      </c>
      <c r="L590" s="130"/>
      <c r="M590" s="15"/>
      <c r="N590" s="15"/>
      <c r="O590" s="15">
        <f t="shared" si="241"/>
        <v>0</v>
      </c>
      <c r="Q590" s="15">
        <f t="shared" si="243"/>
        <v>250903</v>
      </c>
      <c r="R590" s="15">
        <f t="shared" si="239"/>
        <v>0</v>
      </c>
      <c r="S590" s="15">
        <f t="shared" si="239"/>
        <v>250903</v>
      </c>
    </row>
    <row r="591" spans="2:19" x14ac:dyDescent="0.25">
      <c r="B591" s="73">
        <f t="shared" si="240"/>
        <v>16</v>
      </c>
      <c r="C591" s="21"/>
      <c r="D591" s="21"/>
      <c r="E591" s="21"/>
      <c r="F591" s="42" t="s">
        <v>302</v>
      </c>
      <c r="G591" s="97">
        <v>620</v>
      </c>
      <c r="H591" s="21" t="s">
        <v>228</v>
      </c>
      <c r="I591" s="15">
        <f>91412+630</f>
        <v>92042</v>
      </c>
      <c r="J591" s="15"/>
      <c r="K591" s="15">
        <f t="shared" si="245"/>
        <v>92042</v>
      </c>
      <c r="L591" s="130"/>
      <c r="M591" s="15"/>
      <c r="N591" s="15"/>
      <c r="O591" s="15">
        <f t="shared" si="241"/>
        <v>0</v>
      </c>
      <c r="Q591" s="15">
        <f t="shared" si="243"/>
        <v>92042</v>
      </c>
      <c r="R591" s="15">
        <f t="shared" si="239"/>
        <v>0</v>
      </c>
      <c r="S591" s="15">
        <f t="shared" si="239"/>
        <v>92042</v>
      </c>
    </row>
    <row r="592" spans="2:19" x14ac:dyDescent="0.25">
      <c r="B592" s="73">
        <f t="shared" si="240"/>
        <v>17</v>
      </c>
      <c r="C592" s="21"/>
      <c r="D592" s="21"/>
      <c r="E592" s="21"/>
      <c r="F592" s="42" t="s">
        <v>302</v>
      </c>
      <c r="G592" s="97">
        <v>630</v>
      </c>
      <c r="H592" s="21" t="s">
        <v>218</v>
      </c>
      <c r="I592" s="15">
        <f>I593+I594+I595+I596+I597</f>
        <v>91090</v>
      </c>
      <c r="J592" s="15">
        <f>SUM(J593:J597)</f>
        <v>0</v>
      </c>
      <c r="K592" s="15">
        <f t="shared" si="245"/>
        <v>91090</v>
      </c>
      <c r="L592" s="130"/>
      <c r="M592" s="15"/>
      <c r="N592" s="15"/>
      <c r="O592" s="15">
        <f t="shared" si="241"/>
        <v>0</v>
      </c>
      <c r="Q592" s="15">
        <f t="shared" si="243"/>
        <v>91090</v>
      </c>
      <c r="R592" s="15">
        <f t="shared" ref="R592:R655" si="246">J592+N592</f>
        <v>0</v>
      </c>
      <c r="S592" s="15">
        <f t="shared" ref="S592:S655" si="247">K592+O592</f>
        <v>91090</v>
      </c>
    </row>
    <row r="593" spans="2:19" x14ac:dyDescent="0.25">
      <c r="B593" s="73">
        <f t="shared" si="240"/>
        <v>18</v>
      </c>
      <c r="C593" s="9"/>
      <c r="D593" s="9"/>
      <c r="E593" s="9"/>
      <c r="F593" s="43" t="s">
        <v>302</v>
      </c>
      <c r="G593" s="98">
        <v>632</v>
      </c>
      <c r="H593" s="9" t="s">
        <v>229</v>
      </c>
      <c r="I593" s="10">
        <v>52350</v>
      </c>
      <c r="J593" s="10"/>
      <c r="K593" s="10">
        <f t="shared" si="245"/>
        <v>52350</v>
      </c>
      <c r="L593" s="131"/>
      <c r="M593" s="10"/>
      <c r="N593" s="10"/>
      <c r="O593" s="10">
        <f t="shared" si="241"/>
        <v>0</v>
      </c>
      <c r="Q593" s="10">
        <f t="shared" si="243"/>
        <v>52350</v>
      </c>
      <c r="R593" s="10">
        <f t="shared" si="246"/>
        <v>0</v>
      </c>
      <c r="S593" s="10">
        <f t="shared" si="247"/>
        <v>52350</v>
      </c>
    </row>
    <row r="594" spans="2:19" x14ac:dyDescent="0.25">
      <c r="B594" s="73">
        <f t="shared" si="240"/>
        <v>19</v>
      </c>
      <c r="C594" s="9"/>
      <c r="D594" s="9"/>
      <c r="E594" s="9"/>
      <c r="F594" s="43" t="s">
        <v>302</v>
      </c>
      <c r="G594" s="98">
        <v>633</v>
      </c>
      <c r="H594" s="9" t="s">
        <v>220</v>
      </c>
      <c r="I594" s="10">
        <f>17427+163</f>
        <v>17590</v>
      </c>
      <c r="J594" s="10"/>
      <c r="K594" s="10">
        <f t="shared" si="245"/>
        <v>17590</v>
      </c>
      <c r="L594" s="131"/>
      <c r="M594" s="10"/>
      <c r="N594" s="10"/>
      <c r="O594" s="10">
        <f t="shared" si="241"/>
        <v>0</v>
      </c>
      <c r="Q594" s="10">
        <f t="shared" si="243"/>
        <v>17590</v>
      </c>
      <c r="R594" s="10">
        <f t="shared" si="246"/>
        <v>0</v>
      </c>
      <c r="S594" s="10">
        <f t="shared" si="247"/>
        <v>17590</v>
      </c>
    </row>
    <row r="595" spans="2:19" x14ac:dyDescent="0.25">
      <c r="B595" s="73">
        <f t="shared" si="240"/>
        <v>20</v>
      </c>
      <c r="C595" s="9"/>
      <c r="D595" s="9"/>
      <c r="E595" s="9"/>
      <c r="F595" s="43" t="s">
        <v>302</v>
      </c>
      <c r="G595" s="98">
        <v>635</v>
      </c>
      <c r="H595" s="9" t="s">
        <v>234</v>
      </c>
      <c r="I595" s="10">
        <v>6500</v>
      </c>
      <c r="J595" s="10"/>
      <c r="K595" s="10">
        <f t="shared" si="245"/>
        <v>6500</v>
      </c>
      <c r="L595" s="131"/>
      <c r="M595" s="10"/>
      <c r="N595" s="10"/>
      <c r="O595" s="10">
        <f t="shared" si="241"/>
        <v>0</v>
      </c>
      <c r="Q595" s="10">
        <f t="shared" si="243"/>
        <v>6500</v>
      </c>
      <c r="R595" s="10">
        <f t="shared" si="246"/>
        <v>0</v>
      </c>
      <c r="S595" s="10">
        <f t="shared" si="247"/>
        <v>6500</v>
      </c>
    </row>
    <row r="596" spans="2:19" x14ac:dyDescent="0.25">
      <c r="B596" s="73">
        <f t="shared" si="240"/>
        <v>21</v>
      </c>
      <c r="C596" s="9"/>
      <c r="D596" s="9"/>
      <c r="E596" s="9"/>
      <c r="F596" s="43" t="s">
        <v>302</v>
      </c>
      <c r="G596" s="98">
        <v>636</v>
      </c>
      <c r="H596" s="9" t="s">
        <v>222</v>
      </c>
      <c r="I596" s="10">
        <v>7200</v>
      </c>
      <c r="J596" s="10"/>
      <c r="K596" s="10">
        <f t="shared" si="245"/>
        <v>7200</v>
      </c>
      <c r="L596" s="131"/>
      <c r="M596" s="10"/>
      <c r="N596" s="10"/>
      <c r="O596" s="10">
        <f t="shared" si="241"/>
        <v>0</v>
      </c>
      <c r="Q596" s="10">
        <f t="shared" si="243"/>
        <v>7200</v>
      </c>
      <c r="R596" s="10">
        <f t="shared" si="246"/>
        <v>0</v>
      </c>
      <c r="S596" s="10">
        <f t="shared" si="247"/>
        <v>7200</v>
      </c>
    </row>
    <row r="597" spans="2:19" x14ac:dyDescent="0.25">
      <c r="B597" s="73">
        <f t="shared" si="240"/>
        <v>22</v>
      </c>
      <c r="C597" s="9"/>
      <c r="D597" s="9"/>
      <c r="E597" s="9"/>
      <c r="F597" s="43" t="s">
        <v>302</v>
      </c>
      <c r="G597" s="98">
        <v>637</v>
      </c>
      <c r="H597" s="9" t="s">
        <v>223</v>
      </c>
      <c r="I597" s="10">
        <v>7450</v>
      </c>
      <c r="J597" s="10"/>
      <c r="K597" s="10">
        <f t="shared" si="245"/>
        <v>7450</v>
      </c>
      <c r="L597" s="131"/>
      <c r="M597" s="10"/>
      <c r="N597" s="10"/>
      <c r="O597" s="10">
        <f t="shared" si="241"/>
        <v>0</v>
      </c>
      <c r="Q597" s="10">
        <f t="shared" si="243"/>
        <v>7450</v>
      </c>
      <c r="R597" s="10">
        <f t="shared" si="246"/>
        <v>0</v>
      </c>
      <c r="S597" s="10">
        <f t="shared" si="247"/>
        <v>7450</v>
      </c>
    </row>
    <row r="598" spans="2:19" x14ac:dyDescent="0.25">
      <c r="B598" s="73">
        <f t="shared" si="240"/>
        <v>23</v>
      </c>
      <c r="C598" s="21"/>
      <c r="D598" s="21"/>
      <c r="E598" s="21"/>
      <c r="F598" s="42" t="s">
        <v>302</v>
      </c>
      <c r="G598" s="97">
        <v>640</v>
      </c>
      <c r="H598" s="21" t="s">
        <v>230</v>
      </c>
      <c r="I598" s="15">
        <v>2460</v>
      </c>
      <c r="J598" s="15"/>
      <c r="K598" s="15">
        <f t="shared" si="245"/>
        <v>2460</v>
      </c>
      <c r="L598" s="130"/>
      <c r="M598" s="15"/>
      <c r="N598" s="15"/>
      <c r="O598" s="15">
        <f t="shared" si="241"/>
        <v>0</v>
      </c>
      <c r="Q598" s="15">
        <f t="shared" si="243"/>
        <v>2460</v>
      </c>
      <c r="R598" s="15">
        <f t="shared" si="246"/>
        <v>0</v>
      </c>
      <c r="S598" s="15">
        <f t="shared" si="247"/>
        <v>2460</v>
      </c>
    </row>
    <row r="599" spans="2:19" x14ac:dyDescent="0.25">
      <c r="B599" s="73">
        <f t="shared" si="240"/>
        <v>24</v>
      </c>
      <c r="C599" s="38"/>
      <c r="D599" s="38"/>
      <c r="E599" s="38">
        <v>4</v>
      </c>
      <c r="F599" s="38"/>
      <c r="G599" s="95"/>
      <c r="H599" s="38" t="s">
        <v>83</v>
      </c>
      <c r="I599" s="39">
        <f>I600+I603+I611+I620+I631+I644+I653+I665+I677+I686+I694+I706+I715+I723+I732+I744</f>
        <v>2762827</v>
      </c>
      <c r="J599" s="39">
        <f>J600+J603+J611+J620+J631+J644+J653+J665+J677+J686+J694+J706+J715+J723+J732+J744</f>
        <v>1389</v>
      </c>
      <c r="K599" s="39">
        <f t="shared" si="245"/>
        <v>2764216</v>
      </c>
      <c r="L599" s="138"/>
      <c r="M599" s="39">
        <f>M603+M611+M620+M631+M644+M653+M665+M677+M686+M694+M706+M715+M723+M732+M744</f>
        <v>246100</v>
      </c>
      <c r="N599" s="39">
        <f t="shared" ref="N599" si="248">N603+N611+N620+N631+N644+N653+N665+N677+N686+N694+N706+N715+N723+N732+N744</f>
        <v>0</v>
      </c>
      <c r="O599" s="39">
        <f t="shared" si="241"/>
        <v>246100</v>
      </c>
      <c r="Q599" s="39">
        <f t="shared" si="243"/>
        <v>3008927</v>
      </c>
      <c r="R599" s="39">
        <f t="shared" si="246"/>
        <v>1389</v>
      </c>
      <c r="S599" s="39">
        <f t="shared" si="247"/>
        <v>3010316</v>
      </c>
    </row>
    <row r="600" spans="2:19" x14ac:dyDescent="0.25">
      <c r="B600" s="73">
        <f t="shared" si="240"/>
        <v>25</v>
      </c>
      <c r="C600" s="21"/>
      <c r="D600" s="21"/>
      <c r="E600" s="21"/>
      <c r="F600" s="42" t="s">
        <v>302</v>
      </c>
      <c r="G600" s="97">
        <v>630</v>
      </c>
      <c r="H600" s="21" t="s">
        <v>218</v>
      </c>
      <c r="I600" s="15">
        <f>I601</f>
        <v>2600</v>
      </c>
      <c r="J600" s="15">
        <f>SUM(J601:J602)</f>
        <v>1389</v>
      </c>
      <c r="K600" s="15">
        <f t="shared" si="245"/>
        <v>3989</v>
      </c>
      <c r="L600" s="130"/>
      <c r="M600" s="15"/>
      <c r="N600" s="15"/>
      <c r="O600" s="15">
        <f t="shared" si="241"/>
        <v>0</v>
      </c>
      <c r="Q600" s="15">
        <f t="shared" si="243"/>
        <v>2600</v>
      </c>
      <c r="R600" s="15">
        <f t="shared" si="246"/>
        <v>1389</v>
      </c>
      <c r="S600" s="15">
        <f t="shared" si="247"/>
        <v>3989</v>
      </c>
    </row>
    <row r="601" spans="2:19" x14ac:dyDescent="0.25">
      <c r="B601" s="73">
        <f t="shared" si="240"/>
        <v>26</v>
      </c>
      <c r="C601" s="9"/>
      <c r="D601" s="9"/>
      <c r="E601" s="9"/>
      <c r="F601" s="43" t="s">
        <v>302</v>
      </c>
      <c r="G601" s="98">
        <v>637</v>
      </c>
      <c r="H601" s="9" t="s">
        <v>469</v>
      </c>
      <c r="I601" s="10">
        <v>2600</v>
      </c>
      <c r="J601" s="10"/>
      <c r="K601" s="10">
        <f t="shared" si="245"/>
        <v>2600</v>
      </c>
      <c r="L601" s="131"/>
      <c r="M601" s="10"/>
      <c r="N601" s="10"/>
      <c r="O601" s="10">
        <f t="shared" si="241"/>
        <v>0</v>
      </c>
      <c r="Q601" s="10">
        <f t="shared" si="243"/>
        <v>2600</v>
      </c>
      <c r="R601" s="10">
        <f t="shared" si="246"/>
        <v>0</v>
      </c>
      <c r="S601" s="10">
        <f t="shared" si="247"/>
        <v>2600</v>
      </c>
    </row>
    <row r="602" spans="2:19" x14ac:dyDescent="0.25">
      <c r="B602" s="73">
        <f t="shared" si="240"/>
        <v>27</v>
      </c>
      <c r="C602" s="9"/>
      <c r="D602" s="9"/>
      <c r="E602" s="9"/>
      <c r="F602" s="43" t="s">
        <v>302</v>
      </c>
      <c r="G602" s="98">
        <v>630</v>
      </c>
      <c r="H602" s="9" t="s">
        <v>660</v>
      </c>
      <c r="I602" s="10">
        <v>0</v>
      </c>
      <c r="J602" s="10">
        <v>1389</v>
      </c>
      <c r="K602" s="10">
        <f t="shared" si="245"/>
        <v>1389</v>
      </c>
      <c r="L602" s="131"/>
      <c r="M602" s="10"/>
      <c r="N602" s="10"/>
      <c r="O602" s="10">
        <f t="shared" ref="O602" si="249">M602+N602</f>
        <v>0</v>
      </c>
      <c r="Q602" s="10">
        <f t="shared" ref="Q602" si="250">I602+M602</f>
        <v>0</v>
      </c>
      <c r="R602" s="10">
        <f t="shared" ref="R602" si="251">J602+N602</f>
        <v>1389</v>
      </c>
      <c r="S602" s="10">
        <f t="shared" ref="S602" si="252">K602+O602</f>
        <v>1389</v>
      </c>
    </row>
    <row r="603" spans="2:19" x14ac:dyDescent="0.25">
      <c r="B603" s="73">
        <f t="shared" si="240"/>
        <v>28</v>
      </c>
      <c r="C603" s="40"/>
      <c r="D603" s="40"/>
      <c r="E603" s="40" t="s">
        <v>85</v>
      </c>
      <c r="F603" s="40"/>
      <c r="G603" s="96"/>
      <c r="H603" s="40" t="s">
        <v>86</v>
      </c>
      <c r="I603" s="41">
        <f>I604+I605+I606</f>
        <v>133838</v>
      </c>
      <c r="J603" s="41">
        <f t="shared" ref="J603" si="253">J604+J605+J606</f>
        <v>0</v>
      </c>
      <c r="K603" s="41">
        <f t="shared" si="245"/>
        <v>133838</v>
      </c>
      <c r="L603" s="130"/>
      <c r="M603" s="41">
        <v>0</v>
      </c>
      <c r="N603" s="41">
        <v>0</v>
      </c>
      <c r="O603" s="41">
        <f t="shared" si="241"/>
        <v>0</v>
      </c>
      <c r="Q603" s="41">
        <f t="shared" si="243"/>
        <v>133838</v>
      </c>
      <c r="R603" s="41">
        <f t="shared" si="246"/>
        <v>0</v>
      </c>
      <c r="S603" s="41">
        <f t="shared" si="247"/>
        <v>133838</v>
      </c>
    </row>
    <row r="604" spans="2:19" x14ac:dyDescent="0.25">
      <c r="B604" s="73">
        <f t="shared" si="240"/>
        <v>29</v>
      </c>
      <c r="C604" s="21"/>
      <c r="D604" s="21"/>
      <c r="E604" s="21"/>
      <c r="F604" s="42" t="s">
        <v>302</v>
      </c>
      <c r="G604" s="97">
        <v>610</v>
      </c>
      <c r="H604" s="21" t="s">
        <v>245</v>
      </c>
      <c r="I604" s="15">
        <f>78700+900</f>
        <v>79600</v>
      </c>
      <c r="J604" s="15"/>
      <c r="K604" s="15">
        <f t="shared" si="245"/>
        <v>79600</v>
      </c>
      <c r="L604" s="130"/>
      <c r="M604" s="15"/>
      <c r="N604" s="15"/>
      <c r="O604" s="15">
        <f t="shared" si="241"/>
        <v>0</v>
      </c>
      <c r="Q604" s="15">
        <f t="shared" si="243"/>
        <v>79600</v>
      </c>
      <c r="R604" s="15">
        <f t="shared" si="246"/>
        <v>0</v>
      </c>
      <c r="S604" s="15">
        <f t="shared" si="247"/>
        <v>79600</v>
      </c>
    </row>
    <row r="605" spans="2:19" x14ac:dyDescent="0.25">
      <c r="B605" s="73">
        <f t="shared" si="240"/>
        <v>30</v>
      </c>
      <c r="C605" s="21"/>
      <c r="D605" s="21"/>
      <c r="E605" s="21"/>
      <c r="F605" s="42" t="s">
        <v>302</v>
      </c>
      <c r="G605" s="97">
        <v>620</v>
      </c>
      <c r="H605" s="21" t="s">
        <v>228</v>
      </c>
      <c r="I605" s="15">
        <f>29042+315</f>
        <v>29357</v>
      </c>
      <c r="J605" s="15"/>
      <c r="K605" s="15">
        <f t="shared" si="245"/>
        <v>29357</v>
      </c>
      <c r="L605" s="130"/>
      <c r="M605" s="15"/>
      <c r="N605" s="15"/>
      <c r="O605" s="15">
        <f t="shared" si="241"/>
        <v>0</v>
      </c>
      <c r="Q605" s="15">
        <f t="shared" si="243"/>
        <v>29357</v>
      </c>
      <c r="R605" s="15">
        <f t="shared" si="246"/>
        <v>0</v>
      </c>
      <c r="S605" s="15">
        <f t="shared" si="247"/>
        <v>29357</v>
      </c>
    </row>
    <row r="606" spans="2:19" x14ac:dyDescent="0.25">
      <c r="B606" s="73">
        <f t="shared" si="240"/>
        <v>31</v>
      </c>
      <c r="C606" s="21"/>
      <c r="D606" s="21"/>
      <c r="E606" s="21"/>
      <c r="F606" s="42" t="s">
        <v>302</v>
      </c>
      <c r="G606" s="97">
        <v>630</v>
      </c>
      <c r="H606" s="21" t="s">
        <v>218</v>
      </c>
      <c r="I606" s="15">
        <f>I607+I608+I609+I610</f>
        <v>24881</v>
      </c>
      <c r="J606" s="15">
        <f t="shared" ref="J606" si="254">J607+J608+J609+J610</f>
        <v>0</v>
      </c>
      <c r="K606" s="15">
        <f t="shared" si="245"/>
        <v>24881</v>
      </c>
      <c r="L606" s="130"/>
      <c r="M606" s="15"/>
      <c r="N606" s="15"/>
      <c r="O606" s="15">
        <f t="shared" si="241"/>
        <v>0</v>
      </c>
      <c r="Q606" s="15">
        <f t="shared" si="243"/>
        <v>24881</v>
      </c>
      <c r="R606" s="15">
        <f t="shared" si="246"/>
        <v>0</v>
      </c>
      <c r="S606" s="15">
        <f t="shared" si="247"/>
        <v>24881</v>
      </c>
    </row>
    <row r="607" spans="2:19" x14ac:dyDescent="0.25">
      <c r="B607" s="73">
        <f t="shared" si="240"/>
        <v>32</v>
      </c>
      <c r="C607" s="9"/>
      <c r="D607" s="9"/>
      <c r="E607" s="9"/>
      <c r="F607" s="43" t="s">
        <v>302</v>
      </c>
      <c r="G607" s="98">
        <v>632</v>
      </c>
      <c r="H607" s="9" t="s">
        <v>229</v>
      </c>
      <c r="I607" s="10">
        <v>14780</v>
      </c>
      <c r="J607" s="10"/>
      <c r="K607" s="10">
        <f t="shared" si="245"/>
        <v>14780</v>
      </c>
      <c r="L607" s="131"/>
      <c r="M607" s="10"/>
      <c r="N607" s="10"/>
      <c r="O607" s="10">
        <f t="shared" si="241"/>
        <v>0</v>
      </c>
      <c r="Q607" s="10">
        <f t="shared" si="243"/>
        <v>14780</v>
      </c>
      <c r="R607" s="10">
        <f t="shared" si="246"/>
        <v>0</v>
      </c>
      <c r="S607" s="10">
        <f t="shared" si="247"/>
        <v>14780</v>
      </c>
    </row>
    <row r="608" spans="2:19" x14ac:dyDescent="0.25">
      <c r="B608" s="73">
        <f t="shared" si="240"/>
        <v>33</v>
      </c>
      <c r="C608" s="9"/>
      <c r="D608" s="9"/>
      <c r="E608" s="9"/>
      <c r="F608" s="43" t="s">
        <v>302</v>
      </c>
      <c r="G608" s="98">
        <v>633</v>
      </c>
      <c r="H608" s="9" t="s">
        <v>220</v>
      </c>
      <c r="I608" s="10">
        <v>5946</v>
      </c>
      <c r="J608" s="10"/>
      <c r="K608" s="10">
        <f t="shared" si="245"/>
        <v>5946</v>
      </c>
      <c r="L608" s="131"/>
      <c r="M608" s="10"/>
      <c r="N608" s="10"/>
      <c r="O608" s="10">
        <f t="shared" si="241"/>
        <v>0</v>
      </c>
      <c r="Q608" s="10">
        <f t="shared" si="243"/>
        <v>5946</v>
      </c>
      <c r="R608" s="10">
        <f t="shared" si="246"/>
        <v>0</v>
      </c>
      <c r="S608" s="10">
        <f t="shared" si="247"/>
        <v>5946</v>
      </c>
    </row>
    <row r="609" spans="2:19" x14ac:dyDescent="0.25">
      <c r="B609" s="73">
        <f t="shared" si="240"/>
        <v>34</v>
      </c>
      <c r="C609" s="9"/>
      <c r="D609" s="9"/>
      <c r="E609" s="9"/>
      <c r="F609" s="43" t="s">
        <v>302</v>
      </c>
      <c r="G609" s="98">
        <v>635</v>
      </c>
      <c r="H609" s="9" t="s">
        <v>234</v>
      </c>
      <c r="I609" s="10">
        <v>1600</v>
      </c>
      <c r="J609" s="10"/>
      <c r="K609" s="10">
        <f t="shared" si="245"/>
        <v>1600</v>
      </c>
      <c r="L609" s="131"/>
      <c r="M609" s="10"/>
      <c r="N609" s="10"/>
      <c r="O609" s="10">
        <f t="shared" si="241"/>
        <v>0</v>
      </c>
      <c r="Q609" s="10">
        <f t="shared" si="243"/>
        <v>1600</v>
      </c>
      <c r="R609" s="10">
        <f t="shared" si="246"/>
        <v>0</v>
      </c>
      <c r="S609" s="10">
        <f t="shared" si="247"/>
        <v>1600</v>
      </c>
    </row>
    <row r="610" spans="2:19" x14ac:dyDescent="0.25">
      <c r="B610" s="73">
        <f t="shared" si="240"/>
        <v>35</v>
      </c>
      <c r="C610" s="9"/>
      <c r="D610" s="9"/>
      <c r="E610" s="9"/>
      <c r="F610" s="43" t="s">
        <v>302</v>
      </c>
      <c r="G610" s="98">
        <v>637</v>
      </c>
      <c r="H610" s="9" t="s">
        <v>223</v>
      </c>
      <c r="I610" s="10">
        <v>2555</v>
      </c>
      <c r="J610" s="10"/>
      <c r="K610" s="10">
        <f t="shared" si="245"/>
        <v>2555</v>
      </c>
      <c r="L610" s="131"/>
      <c r="M610" s="10"/>
      <c r="N610" s="10"/>
      <c r="O610" s="10">
        <f t="shared" si="241"/>
        <v>0</v>
      </c>
      <c r="Q610" s="10">
        <f t="shared" si="243"/>
        <v>2555</v>
      </c>
      <c r="R610" s="10">
        <f t="shared" si="246"/>
        <v>0</v>
      </c>
      <c r="S610" s="10">
        <f t="shared" si="247"/>
        <v>2555</v>
      </c>
    </row>
    <row r="611" spans="2:19" x14ac:dyDescent="0.25">
      <c r="B611" s="73">
        <f t="shared" si="240"/>
        <v>36</v>
      </c>
      <c r="C611" s="40"/>
      <c r="D611" s="40"/>
      <c r="E611" s="40" t="s">
        <v>87</v>
      </c>
      <c r="F611" s="40"/>
      <c r="G611" s="96"/>
      <c r="H611" s="40" t="s">
        <v>88</v>
      </c>
      <c r="I611" s="41">
        <f>I612+I613+I614+I619</f>
        <v>217027</v>
      </c>
      <c r="J611" s="41">
        <f t="shared" ref="J611" si="255">J612+J613+J614+J619</f>
        <v>0</v>
      </c>
      <c r="K611" s="41">
        <f t="shared" si="245"/>
        <v>217027</v>
      </c>
      <c r="L611" s="130"/>
      <c r="M611" s="41">
        <v>0</v>
      </c>
      <c r="N611" s="41">
        <v>0</v>
      </c>
      <c r="O611" s="41">
        <f t="shared" si="241"/>
        <v>0</v>
      </c>
      <c r="Q611" s="41">
        <f t="shared" si="243"/>
        <v>217027</v>
      </c>
      <c r="R611" s="41">
        <f t="shared" si="246"/>
        <v>0</v>
      </c>
      <c r="S611" s="41">
        <f t="shared" si="247"/>
        <v>217027</v>
      </c>
    </row>
    <row r="612" spans="2:19" x14ac:dyDescent="0.25">
      <c r="B612" s="73">
        <f t="shared" si="240"/>
        <v>37</v>
      </c>
      <c r="C612" s="21"/>
      <c r="D612" s="21"/>
      <c r="E612" s="21"/>
      <c r="F612" s="42" t="s">
        <v>302</v>
      </c>
      <c r="G612" s="97">
        <v>610</v>
      </c>
      <c r="H612" s="21" t="s">
        <v>245</v>
      </c>
      <c r="I612" s="15">
        <f>116669+1080</f>
        <v>117749</v>
      </c>
      <c r="J612" s="15"/>
      <c r="K612" s="15">
        <f t="shared" si="245"/>
        <v>117749</v>
      </c>
      <c r="L612" s="130"/>
      <c r="M612" s="15"/>
      <c r="N612" s="15"/>
      <c r="O612" s="15">
        <f t="shared" si="241"/>
        <v>0</v>
      </c>
      <c r="Q612" s="15">
        <f t="shared" si="243"/>
        <v>117749</v>
      </c>
      <c r="R612" s="15">
        <f t="shared" si="246"/>
        <v>0</v>
      </c>
      <c r="S612" s="15">
        <f t="shared" si="247"/>
        <v>117749</v>
      </c>
    </row>
    <row r="613" spans="2:19" x14ac:dyDescent="0.25">
      <c r="B613" s="73">
        <f t="shared" si="240"/>
        <v>38</v>
      </c>
      <c r="C613" s="21"/>
      <c r="D613" s="21"/>
      <c r="E613" s="21"/>
      <c r="F613" s="42" t="s">
        <v>302</v>
      </c>
      <c r="G613" s="97">
        <v>620</v>
      </c>
      <c r="H613" s="21" t="s">
        <v>228</v>
      </c>
      <c r="I613" s="15">
        <f>43046+378</f>
        <v>43424</v>
      </c>
      <c r="J613" s="15"/>
      <c r="K613" s="15">
        <f t="shared" si="245"/>
        <v>43424</v>
      </c>
      <c r="L613" s="130"/>
      <c r="M613" s="15"/>
      <c r="N613" s="15"/>
      <c r="O613" s="15">
        <f t="shared" si="241"/>
        <v>0</v>
      </c>
      <c r="Q613" s="15">
        <f t="shared" si="243"/>
        <v>43424</v>
      </c>
      <c r="R613" s="15">
        <f t="shared" si="246"/>
        <v>0</v>
      </c>
      <c r="S613" s="15">
        <f t="shared" si="247"/>
        <v>43424</v>
      </c>
    </row>
    <row r="614" spans="2:19" x14ac:dyDescent="0.25">
      <c r="B614" s="73">
        <f t="shared" si="240"/>
        <v>39</v>
      </c>
      <c r="C614" s="21"/>
      <c r="D614" s="21"/>
      <c r="E614" s="21"/>
      <c r="F614" s="42" t="s">
        <v>302</v>
      </c>
      <c r="G614" s="97">
        <v>630</v>
      </c>
      <c r="H614" s="21" t="s">
        <v>218</v>
      </c>
      <c r="I614" s="15">
        <f>SUM(I615:I618)</f>
        <v>52774</v>
      </c>
      <c r="J614" s="15">
        <f t="shared" ref="J614" si="256">SUM(J615:J618)</f>
        <v>0</v>
      </c>
      <c r="K614" s="15">
        <f t="shared" si="245"/>
        <v>52774</v>
      </c>
      <c r="L614" s="130"/>
      <c r="M614" s="15"/>
      <c r="N614" s="15"/>
      <c r="O614" s="15">
        <f t="shared" si="241"/>
        <v>0</v>
      </c>
      <c r="Q614" s="15">
        <f t="shared" si="243"/>
        <v>52774</v>
      </c>
      <c r="R614" s="15">
        <f t="shared" si="246"/>
        <v>0</v>
      </c>
      <c r="S614" s="15">
        <f t="shared" si="247"/>
        <v>52774</v>
      </c>
    </row>
    <row r="615" spans="2:19" x14ac:dyDescent="0.25">
      <c r="B615" s="73">
        <f t="shared" si="240"/>
        <v>40</v>
      </c>
      <c r="C615" s="9"/>
      <c r="D615" s="9"/>
      <c r="E615" s="9"/>
      <c r="F615" s="43" t="s">
        <v>302</v>
      </c>
      <c r="G615" s="98">
        <v>632</v>
      </c>
      <c r="H615" s="9" t="s">
        <v>229</v>
      </c>
      <c r="I615" s="10">
        <v>32380</v>
      </c>
      <c r="J615" s="10"/>
      <c r="K615" s="10">
        <f t="shared" si="245"/>
        <v>32380</v>
      </c>
      <c r="L615" s="131"/>
      <c r="M615" s="10"/>
      <c r="N615" s="10"/>
      <c r="O615" s="10">
        <f t="shared" si="241"/>
        <v>0</v>
      </c>
      <c r="Q615" s="10">
        <f t="shared" si="243"/>
        <v>32380</v>
      </c>
      <c r="R615" s="10">
        <f t="shared" si="246"/>
        <v>0</v>
      </c>
      <c r="S615" s="10">
        <f t="shared" si="247"/>
        <v>32380</v>
      </c>
    </row>
    <row r="616" spans="2:19" x14ac:dyDescent="0.25">
      <c r="B616" s="73">
        <f t="shared" si="240"/>
        <v>41</v>
      </c>
      <c r="C616" s="9"/>
      <c r="D616" s="9"/>
      <c r="E616" s="9"/>
      <c r="F616" s="43" t="s">
        <v>302</v>
      </c>
      <c r="G616" s="98">
        <v>633</v>
      </c>
      <c r="H616" s="9" t="s">
        <v>220</v>
      </c>
      <c r="I616" s="10">
        <f>14275+814</f>
        <v>15089</v>
      </c>
      <c r="J616" s="10"/>
      <c r="K616" s="10">
        <f t="shared" si="245"/>
        <v>15089</v>
      </c>
      <c r="L616" s="131"/>
      <c r="M616" s="10"/>
      <c r="N616" s="10"/>
      <c r="O616" s="10">
        <f t="shared" si="241"/>
        <v>0</v>
      </c>
      <c r="Q616" s="10">
        <f t="shared" si="243"/>
        <v>15089</v>
      </c>
      <c r="R616" s="10">
        <f t="shared" si="246"/>
        <v>0</v>
      </c>
      <c r="S616" s="10">
        <f t="shared" si="247"/>
        <v>15089</v>
      </c>
    </row>
    <row r="617" spans="2:19" x14ac:dyDescent="0.25">
      <c r="B617" s="73">
        <f t="shared" si="240"/>
        <v>42</v>
      </c>
      <c r="C617" s="9"/>
      <c r="D617" s="9"/>
      <c r="E617" s="9"/>
      <c r="F617" s="43" t="s">
        <v>302</v>
      </c>
      <c r="G617" s="98">
        <v>635</v>
      </c>
      <c r="H617" s="9" t="s">
        <v>234</v>
      </c>
      <c r="I617" s="10">
        <v>600</v>
      </c>
      <c r="J617" s="10"/>
      <c r="K617" s="10">
        <f t="shared" si="245"/>
        <v>600</v>
      </c>
      <c r="L617" s="131"/>
      <c r="M617" s="10"/>
      <c r="N617" s="10"/>
      <c r="O617" s="10">
        <f t="shared" si="241"/>
        <v>0</v>
      </c>
      <c r="Q617" s="10">
        <f t="shared" si="243"/>
        <v>600</v>
      </c>
      <c r="R617" s="10">
        <f t="shared" si="246"/>
        <v>0</v>
      </c>
      <c r="S617" s="10">
        <f t="shared" si="247"/>
        <v>600</v>
      </c>
    </row>
    <row r="618" spans="2:19" x14ac:dyDescent="0.25">
      <c r="B618" s="73">
        <f t="shared" si="240"/>
        <v>43</v>
      </c>
      <c r="C618" s="9"/>
      <c r="D618" s="9"/>
      <c r="E618" s="9"/>
      <c r="F618" s="43" t="s">
        <v>302</v>
      </c>
      <c r="G618" s="98">
        <v>637</v>
      </c>
      <c r="H618" s="9" t="s">
        <v>223</v>
      </c>
      <c r="I618" s="10">
        <v>4705</v>
      </c>
      <c r="J618" s="10"/>
      <c r="K618" s="10">
        <f t="shared" si="245"/>
        <v>4705</v>
      </c>
      <c r="L618" s="131"/>
      <c r="M618" s="10"/>
      <c r="N618" s="10"/>
      <c r="O618" s="10">
        <f t="shared" si="241"/>
        <v>0</v>
      </c>
      <c r="Q618" s="10">
        <f t="shared" si="243"/>
        <v>4705</v>
      </c>
      <c r="R618" s="10">
        <f t="shared" si="246"/>
        <v>0</v>
      </c>
      <c r="S618" s="10">
        <f t="shared" si="247"/>
        <v>4705</v>
      </c>
    </row>
    <row r="619" spans="2:19" x14ac:dyDescent="0.25">
      <c r="B619" s="73">
        <f t="shared" si="240"/>
        <v>44</v>
      </c>
      <c r="C619" s="21"/>
      <c r="D619" s="21"/>
      <c r="E619" s="21"/>
      <c r="F619" s="42" t="s">
        <v>302</v>
      </c>
      <c r="G619" s="97">
        <v>640</v>
      </c>
      <c r="H619" s="21" t="s">
        <v>230</v>
      </c>
      <c r="I619" s="15">
        <v>3080</v>
      </c>
      <c r="J619" s="15"/>
      <c r="K619" s="15">
        <f t="shared" si="245"/>
        <v>3080</v>
      </c>
      <c r="L619" s="130"/>
      <c r="M619" s="15"/>
      <c r="N619" s="15"/>
      <c r="O619" s="15">
        <f t="shared" si="241"/>
        <v>0</v>
      </c>
      <c r="Q619" s="15">
        <f t="shared" si="243"/>
        <v>3080</v>
      </c>
      <c r="R619" s="15">
        <f t="shared" si="246"/>
        <v>0</v>
      </c>
      <c r="S619" s="15">
        <f t="shared" si="247"/>
        <v>3080</v>
      </c>
    </row>
    <row r="620" spans="2:19" x14ac:dyDescent="0.25">
      <c r="B620" s="73">
        <f t="shared" si="240"/>
        <v>45</v>
      </c>
      <c r="C620" s="40"/>
      <c r="D620" s="40"/>
      <c r="E620" s="40" t="s">
        <v>89</v>
      </c>
      <c r="F620" s="40"/>
      <c r="G620" s="96"/>
      <c r="H620" s="40" t="s">
        <v>90</v>
      </c>
      <c r="I620" s="41">
        <f>I621+I622+I623</f>
        <v>138166</v>
      </c>
      <c r="J620" s="41">
        <f t="shared" ref="J620" si="257">J621+J622+J623</f>
        <v>0</v>
      </c>
      <c r="K620" s="41">
        <f t="shared" si="245"/>
        <v>138166</v>
      </c>
      <c r="L620" s="130"/>
      <c r="M620" s="41">
        <f>M628</f>
        <v>22500</v>
      </c>
      <c r="N620" s="41">
        <f t="shared" ref="N620" si="258">N628</f>
        <v>0</v>
      </c>
      <c r="O620" s="41">
        <f t="shared" si="241"/>
        <v>22500</v>
      </c>
      <c r="Q620" s="41">
        <f t="shared" si="243"/>
        <v>160666</v>
      </c>
      <c r="R620" s="41">
        <f t="shared" si="246"/>
        <v>0</v>
      </c>
      <c r="S620" s="41">
        <f t="shared" si="247"/>
        <v>160666</v>
      </c>
    </row>
    <row r="621" spans="2:19" x14ac:dyDescent="0.25">
      <c r="B621" s="73">
        <f t="shared" si="240"/>
        <v>46</v>
      </c>
      <c r="C621" s="21"/>
      <c r="D621" s="21"/>
      <c r="E621" s="21"/>
      <c r="F621" s="42" t="s">
        <v>302</v>
      </c>
      <c r="G621" s="97">
        <v>610</v>
      </c>
      <c r="H621" s="21" t="s">
        <v>245</v>
      </c>
      <c r="I621" s="15">
        <f>79669+540</f>
        <v>80209</v>
      </c>
      <c r="J621" s="15"/>
      <c r="K621" s="15">
        <f t="shared" si="245"/>
        <v>80209</v>
      </c>
      <c r="L621" s="130"/>
      <c r="M621" s="15"/>
      <c r="N621" s="15"/>
      <c r="O621" s="15">
        <f t="shared" si="241"/>
        <v>0</v>
      </c>
      <c r="Q621" s="15">
        <f t="shared" si="243"/>
        <v>80209</v>
      </c>
      <c r="R621" s="15">
        <f t="shared" si="246"/>
        <v>0</v>
      </c>
      <c r="S621" s="15">
        <f t="shared" si="247"/>
        <v>80209</v>
      </c>
    </row>
    <row r="622" spans="2:19" x14ac:dyDescent="0.25">
      <c r="B622" s="73">
        <f t="shared" si="240"/>
        <v>47</v>
      </c>
      <c r="C622" s="21"/>
      <c r="D622" s="21"/>
      <c r="E622" s="21"/>
      <c r="F622" s="42" t="s">
        <v>302</v>
      </c>
      <c r="G622" s="97">
        <v>620</v>
      </c>
      <c r="H622" s="21" t="s">
        <v>228</v>
      </c>
      <c r="I622" s="15">
        <f>29552+189</f>
        <v>29741</v>
      </c>
      <c r="J622" s="15"/>
      <c r="K622" s="15">
        <f t="shared" si="245"/>
        <v>29741</v>
      </c>
      <c r="L622" s="130"/>
      <c r="M622" s="15"/>
      <c r="N622" s="15"/>
      <c r="O622" s="15">
        <f t="shared" si="241"/>
        <v>0</v>
      </c>
      <c r="Q622" s="15">
        <f t="shared" si="243"/>
        <v>29741</v>
      </c>
      <c r="R622" s="15">
        <f t="shared" si="246"/>
        <v>0</v>
      </c>
      <c r="S622" s="15">
        <f t="shared" si="247"/>
        <v>29741</v>
      </c>
    </row>
    <row r="623" spans="2:19" x14ac:dyDescent="0.25">
      <c r="B623" s="73">
        <f t="shared" si="240"/>
        <v>48</v>
      </c>
      <c r="C623" s="21"/>
      <c r="D623" s="21"/>
      <c r="E623" s="21"/>
      <c r="F623" s="42" t="s">
        <v>302</v>
      </c>
      <c r="G623" s="97">
        <v>630</v>
      </c>
      <c r="H623" s="21" t="s">
        <v>218</v>
      </c>
      <c r="I623" s="15">
        <f>SUM(I624:I627)</f>
        <v>28216</v>
      </c>
      <c r="J623" s="15">
        <f t="shared" ref="J623" si="259">SUM(J624:J627)</f>
        <v>0</v>
      </c>
      <c r="K623" s="15">
        <f t="shared" si="245"/>
        <v>28216</v>
      </c>
      <c r="L623" s="130"/>
      <c r="M623" s="15"/>
      <c r="N623" s="15"/>
      <c r="O623" s="15">
        <f t="shared" si="241"/>
        <v>0</v>
      </c>
      <c r="Q623" s="15">
        <f t="shared" si="243"/>
        <v>28216</v>
      </c>
      <c r="R623" s="15">
        <f t="shared" si="246"/>
        <v>0</v>
      </c>
      <c r="S623" s="15">
        <f t="shared" si="247"/>
        <v>28216</v>
      </c>
    </row>
    <row r="624" spans="2:19" x14ac:dyDescent="0.25">
      <c r="B624" s="73">
        <f t="shared" si="240"/>
        <v>49</v>
      </c>
      <c r="C624" s="9"/>
      <c r="D624" s="9"/>
      <c r="E624" s="9"/>
      <c r="F624" s="43" t="s">
        <v>302</v>
      </c>
      <c r="G624" s="98">
        <v>632</v>
      </c>
      <c r="H624" s="9" t="s">
        <v>229</v>
      </c>
      <c r="I624" s="10">
        <v>18300</v>
      </c>
      <c r="J624" s="10"/>
      <c r="K624" s="10">
        <f t="shared" si="245"/>
        <v>18300</v>
      </c>
      <c r="L624" s="131"/>
      <c r="M624" s="10"/>
      <c r="N624" s="10"/>
      <c r="O624" s="10">
        <f t="shared" si="241"/>
        <v>0</v>
      </c>
      <c r="Q624" s="10">
        <f t="shared" si="243"/>
        <v>18300</v>
      </c>
      <c r="R624" s="10">
        <f t="shared" si="246"/>
        <v>0</v>
      </c>
      <c r="S624" s="10">
        <f t="shared" si="247"/>
        <v>18300</v>
      </c>
    </row>
    <row r="625" spans="2:19" x14ac:dyDescent="0.25">
      <c r="B625" s="73">
        <f t="shared" si="240"/>
        <v>50</v>
      </c>
      <c r="C625" s="9"/>
      <c r="D625" s="9"/>
      <c r="E625" s="9"/>
      <c r="F625" s="43" t="s">
        <v>302</v>
      </c>
      <c r="G625" s="98">
        <v>633</v>
      </c>
      <c r="H625" s="9" t="s">
        <v>220</v>
      </c>
      <c r="I625" s="10">
        <v>6446</v>
      </c>
      <c r="J625" s="10"/>
      <c r="K625" s="10">
        <f t="shared" si="245"/>
        <v>6446</v>
      </c>
      <c r="L625" s="131"/>
      <c r="M625" s="10"/>
      <c r="N625" s="10"/>
      <c r="O625" s="10">
        <f t="shared" si="241"/>
        <v>0</v>
      </c>
      <c r="Q625" s="10">
        <f t="shared" si="243"/>
        <v>6446</v>
      </c>
      <c r="R625" s="10">
        <f t="shared" si="246"/>
        <v>0</v>
      </c>
      <c r="S625" s="10">
        <f t="shared" si="247"/>
        <v>6446</v>
      </c>
    </row>
    <row r="626" spans="2:19" ht="15.75" customHeight="1" x14ac:dyDescent="0.25">
      <c r="B626" s="73">
        <f t="shared" si="240"/>
        <v>51</v>
      </c>
      <c r="C626" s="9"/>
      <c r="D626" s="9"/>
      <c r="E626" s="9"/>
      <c r="F626" s="43" t="s">
        <v>302</v>
      </c>
      <c r="G626" s="98">
        <v>635</v>
      </c>
      <c r="H626" s="9" t="s">
        <v>234</v>
      </c>
      <c r="I626" s="10">
        <v>960</v>
      </c>
      <c r="J626" s="10"/>
      <c r="K626" s="10">
        <f t="shared" si="245"/>
        <v>960</v>
      </c>
      <c r="L626" s="131"/>
      <c r="M626" s="10"/>
      <c r="N626" s="10"/>
      <c r="O626" s="10">
        <f t="shared" si="241"/>
        <v>0</v>
      </c>
      <c r="Q626" s="10">
        <f t="shared" si="243"/>
        <v>960</v>
      </c>
      <c r="R626" s="10">
        <f t="shared" si="246"/>
        <v>0</v>
      </c>
      <c r="S626" s="10">
        <f t="shared" si="247"/>
        <v>960</v>
      </c>
    </row>
    <row r="627" spans="2:19" ht="12.75" customHeight="1" x14ac:dyDescent="0.25">
      <c r="B627" s="73">
        <f t="shared" si="240"/>
        <v>52</v>
      </c>
      <c r="C627" s="9"/>
      <c r="D627" s="9"/>
      <c r="E627" s="9"/>
      <c r="F627" s="43" t="s">
        <v>302</v>
      </c>
      <c r="G627" s="98">
        <v>637</v>
      </c>
      <c r="H627" s="9" t="s">
        <v>223</v>
      </c>
      <c r="I627" s="10">
        <v>2510</v>
      </c>
      <c r="J627" s="10"/>
      <c r="K627" s="10">
        <f t="shared" si="245"/>
        <v>2510</v>
      </c>
      <c r="L627" s="131"/>
      <c r="M627" s="10"/>
      <c r="N627" s="10"/>
      <c r="O627" s="10">
        <f t="shared" si="241"/>
        <v>0</v>
      </c>
      <c r="Q627" s="10">
        <f t="shared" si="243"/>
        <v>2510</v>
      </c>
      <c r="R627" s="10">
        <f t="shared" si="246"/>
        <v>0</v>
      </c>
      <c r="S627" s="10">
        <f t="shared" si="247"/>
        <v>2510</v>
      </c>
    </row>
    <row r="628" spans="2:19" x14ac:dyDescent="0.25">
      <c r="B628" s="73">
        <f t="shared" si="240"/>
        <v>53</v>
      </c>
      <c r="C628" s="21"/>
      <c r="D628" s="21"/>
      <c r="E628" s="21"/>
      <c r="F628" s="42" t="s">
        <v>302</v>
      </c>
      <c r="G628" s="97">
        <v>710</v>
      </c>
      <c r="H628" s="21" t="s">
        <v>235</v>
      </c>
      <c r="I628" s="15"/>
      <c r="J628" s="15"/>
      <c r="K628" s="15">
        <f t="shared" si="245"/>
        <v>0</v>
      </c>
      <c r="L628" s="130"/>
      <c r="M628" s="15">
        <f>M629</f>
        <v>22500</v>
      </c>
      <c r="N628" s="15">
        <f t="shared" ref="N628:N629" si="260">N629</f>
        <v>0</v>
      </c>
      <c r="O628" s="15">
        <f t="shared" si="241"/>
        <v>22500</v>
      </c>
      <c r="Q628" s="15">
        <f t="shared" si="243"/>
        <v>22500</v>
      </c>
      <c r="R628" s="15">
        <f t="shared" si="246"/>
        <v>0</v>
      </c>
      <c r="S628" s="15">
        <f t="shared" si="247"/>
        <v>22500</v>
      </c>
    </row>
    <row r="629" spans="2:19" x14ac:dyDescent="0.25">
      <c r="B629" s="73">
        <f t="shared" si="240"/>
        <v>54</v>
      </c>
      <c r="C629" s="9"/>
      <c r="D629" s="9"/>
      <c r="E629" s="9"/>
      <c r="F629" s="43" t="s">
        <v>302</v>
      </c>
      <c r="G629" s="98">
        <v>717</v>
      </c>
      <c r="H629" s="9" t="s">
        <v>240</v>
      </c>
      <c r="I629" s="10"/>
      <c r="J629" s="10"/>
      <c r="K629" s="10">
        <f t="shared" si="245"/>
        <v>0</v>
      </c>
      <c r="L629" s="131"/>
      <c r="M629" s="10">
        <f>M630</f>
        <v>22500</v>
      </c>
      <c r="N629" s="10">
        <f t="shared" si="260"/>
        <v>0</v>
      </c>
      <c r="O629" s="10">
        <f t="shared" si="241"/>
        <v>22500</v>
      </c>
      <c r="Q629" s="10">
        <f t="shared" si="243"/>
        <v>22500</v>
      </c>
      <c r="R629" s="10">
        <f t="shared" si="246"/>
        <v>0</v>
      </c>
      <c r="S629" s="10">
        <f t="shared" si="247"/>
        <v>22500</v>
      </c>
    </row>
    <row r="630" spans="2:19" x14ac:dyDescent="0.25">
      <c r="B630" s="73">
        <f t="shared" si="240"/>
        <v>55</v>
      </c>
      <c r="C630" s="12"/>
      <c r="D630" s="12"/>
      <c r="E630" s="12"/>
      <c r="F630" s="12"/>
      <c r="G630" s="99"/>
      <c r="H630" s="12" t="s">
        <v>534</v>
      </c>
      <c r="I630" s="13"/>
      <c r="J630" s="13"/>
      <c r="K630" s="13">
        <f t="shared" si="245"/>
        <v>0</v>
      </c>
      <c r="L630" s="132"/>
      <c r="M630" s="13">
        <f>12500+10000</f>
        <v>22500</v>
      </c>
      <c r="N630" s="13"/>
      <c r="O630" s="13">
        <f t="shared" si="241"/>
        <v>22500</v>
      </c>
      <c r="Q630" s="13">
        <f t="shared" si="243"/>
        <v>22500</v>
      </c>
      <c r="R630" s="13">
        <f t="shared" si="246"/>
        <v>0</v>
      </c>
      <c r="S630" s="13">
        <f t="shared" si="247"/>
        <v>22500</v>
      </c>
    </row>
    <row r="631" spans="2:19" x14ac:dyDescent="0.25">
      <c r="B631" s="73">
        <f t="shared" si="240"/>
        <v>56</v>
      </c>
      <c r="C631" s="40"/>
      <c r="D631" s="40"/>
      <c r="E631" s="40" t="s">
        <v>91</v>
      </c>
      <c r="F631" s="40"/>
      <c r="G631" s="96"/>
      <c r="H631" s="40" t="s">
        <v>92</v>
      </c>
      <c r="I631" s="41">
        <f>I632+I633+I634</f>
        <v>178254</v>
      </c>
      <c r="J631" s="41">
        <f t="shared" ref="J631" si="261">J632+J633+J634</f>
        <v>0</v>
      </c>
      <c r="K631" s="41">
        <f t="shared" si="245"/>
        <v>178254</v>
      </c>
      <c r="L631" s="130"/>
      <c r="M631" s="41">
        <f>M639</f>
        <v>9900</v>
      </c>
      <c r="N631" s="41">
        <f t="shared" ref="N631" si="262">N639</f>
        <v>0</v>
      </c>
      <c r="O631" s="41">
        <f t="shared" si="241"/>
        <v>9900</v>
      </c>
      <c r="Q631" s="41">
        <f t="shared" si="243"/>
        <v>188154</v>
      </c>
      <c r="R631" s="41">
        <f t="shared" si="246"/>
        <v>0</v>
      </c>
      <c r="S631" s="41">
        <f t="shared" si="247"/>
        <v>188154</v>
      </c>
    </row>
    <row r="632" spans="2:19" x14ac:dyDescent="0.25">
      <c r="B632" s="73">
        <f t="shared" si="240"/>
        <v>57</v>
      </c>
      <c r="C632" s="21"/>
      <c r="D632" s="21"/>
      <c r="E632" s="21"/>
      <c r="F632" s="42" t="s">
        <v>302</v>
      </c>
      <c r="G632" s="97">
        <v>610</v>
      </c>
      <c r="H632" s="21" t="s">
        <v>245</v>
      </c>
      <c r="I632" s="15">
        <f>96610+720</f>
        <v>97330</v>
      </c>
      <c r="J632" s="15"/>
      <c r="K632" s="15">
        <f t="shared" si="245"/>
        <v>97330</v>
      </c>
      <c r="L632" s="130"/>
      <c r="M632" s="15"/>
      <c r="N632" s="15"/>
      <c r="O632" s="15">
        <f t="shared" si="241"/>
        <v>0</v>
      </c>
      <c r="Q632" s="15">
        <f t="shared" si="243"/>
        <v>97330</v>
      </c>
      <c r="R632" s="15">
        <f t="shared" si="246"/>
        <v>0</v>
      </c>
      <c r="S632" s="15">
        <f t="shared" si="247"/>
        <v>97330</v>
      </c>
    </row>
    <row r="633" spans="2:19" ht="15.75" customHeight="1" x14ac:dyDescent="0.25">
      <c r="B633" s="73">
        <f t="shared" si="240"/>
        <v>58</v>
      </c>
      <c r="C633" s="21"/>
      <c r="D633" s="21"/>
      <c r="E633" s="21"/>
      <c r="F633" s="42" t="s">
        <v>302</v>
      </c>
      <c r="G633" s="97">
        <v>620</v>
      </c>
      <c r="H633" s="21" t="s">
        <v>228</v>
      </c>
      <c r="I633" s="15">
        <f>35835+252</f>
        <v>36087</v>
      </c>
      <c r="J633" s="15"/>
      <c r="K633" s="15">
        <f t="shared" si="245"/>
        <v>36087</v>
      </c>
      <c r="L633" s="130"/>
      <c r="M633" s="15"/>
      <c r="N633" s="15"/>
      <c r="O633" s="15">
        <f t="shared" si="241"/>
        <v>0</v>
      </c>
      <c r="Q633" s="15">
        <f t="shared" si="243"/>
        <v>36087</v>
      </c>
      <c r="R633" s="15">
        <f t="shared" si="246"/>
        <v>0</v>
      </c>
      <c r="S633" s="15">
        <f t="shared" si="247"/>
        <v>36087</v>
      </c>
    </row>
    <row r="634" spans="2:19" ht="21" customHeight="1" x14ac:dyDescent="0.25">
      <c r="B634" s="73">
        <f t="shared" si="240"/>
        <v>59</v>
      </c>
      <c r="C634" s="21"/>
      <c r="D634" s="21"/>
      <c r="E634" s="21"/>
      <c r="F634" s="42" t="s">
        <v>302</v>
      </c>
      <c r="G634" s="97">
        <v>630</v>
      </c>
      <c r="H634" s="21" t="s">
        <v>218</v>
      </c>
      <c r="I634" s="15">
        <f>SUM(I635:I638)</f>
        <v>44837</v>
      </c>
      <c r="J634" s="15">
        <f t="shared" ref="J634" si="263">SUM(J635:J638)</f>
        <v>0</v>
      </c>
      <c r="K634" s="15">
        <f t="shared" si="245"/>
        <v>44837</v>
      </c>
      <c r="L634" s="130"/>
      <c r="M634" s="15"/>
      <c r="N634" s="15"/>
      <c r="O634" s="15">
        <f t="shared" si="241"/>
        <v>0</v>
      </c>
      <c r="Q634" s="15">
        <f t="shared" si="243"/>
        <v>44837</v>
      </c>
      <c r="R634" s="15">
        <f t="shared" si="246"/>
        <v>0</v>
      </c>
      <c r="S634" s="15">
        <f t="shared" si="247"/>
        <v>44837</v>
      </c>
    </row>
    <row r="635" spans="2:19" ht="14.25" customHeight="1" x14ac:dyDescent="0.25">
      <c r="B635" s="73">
        <f t="shared" si="240"/>
        <v>60</v>
      </c>
      <c r="C635" s="9"/>
      <c r="D635" s="9"/>
      <c r="E635" s="9"/>
      <c r="F635" s="43" t="s">
        <v>302</v>
      </c>
      <c r="G635" s="98">
        <v>632</v>
      </c>
      <c r="H635" s="9" t="s">
        <v>229</v>
      </c>
      <c r="I635" s="10">
        <v>31700</v>
      </c>
      <c r="J635" s="10"/>
      <c r="K635" s="10">
        <f t="shared" si="245"/>
        <v>31700</v>
      </c>
      <c r="L635" s="131"/>
      <c r="M635" s="10"/>
      <c r="N635" s="10"/>
      <c r="O635" s="10">
        <f t="shared" si="241"/>
        <v>0</v>
      </c>
      <c r="Q635" s="10">
        <f t="shared" si="243"/>
        <v>31700</v>
      </c>
      <c r="R635" s="10">
        <f t="shared" si="246"/>
        <v>0</v>
      </c>
      <c r="S635" s="10">
        <f t="shared" si="247"/>
        <v>31700</v>
      </c>
    </row>
    <row r="636" spans="2:19" x14ac:dyDescent="0.25">
      <c r="B636" s="73">
        <f t="shared" si="240"/>
        <v>61</v>
      </c>
      <c r="C636" s="9"/>
      <c r="D636" s="9"/>
      <c r="E636" s="9"/>
      <c r="F636" s="43" t="s">
        <v>302</v>
      </c>
      <c r="G636" s="98">
        <v>633</v>
      </c>
      <c r="H636" s="9" t="s">
        <v>220</v>
      </c>
      <c r="I636" s="10">
        <v>7727</v>
      </c>
      <c r="J636" s="10"/>
      <c r="K636" s="10">
        <f t="shared" si="245"/>
        <v>7727</v>
      </c>
      <c r="L636" s="131"/>
      <c r="M636" s="10"/>
      <c r="N636" s="10"/>
      <c r="O636" s="10">
        <f t="shared" si="241"/>
        <v>0</v>
      </c>
      <c r="Q636" s="10">
        <f t="shared" si="243"/>
        <v>7727</v>
      </c>
      <c r="R636" s="10">
        <f t="shared" si="246"/>
        <v>0</v>
      </c>
      <c r="S636" s="10">
        <f t="shared" si="247"/>
        <v>7727</v>
      </c>
    </row>
    <row r="637" spans="2:19" x14ac:dyDescent="0.25">
      <c r="B637" s="73">
        <f t="shared" si="240"/>
        <v>62</v>
      </c>
      <c r="C637" s="9"/>
      <c r="D637" s="9"/>
      <c r="E637" s="9"/>
      <c r="F637" s="43" t="s">
        <v>302</v>
      </c>
      <c r="G637" s="98">
        <v>635</v>
      </c>
      <c r="H637" s="9" t="s">
        <v>234</v>
      </c>
      <c r="I637" s="10">
        <v>2450</v>
      </c>
      <c r="J637" s="10"/>
      <c r="K637" s="10">
        <f t="shared" si="245"/>
        <v>2450</v>
      </c>
      <c r="L637" s="131"/>
      <c r="M637" s="10"/>
      <c r="N637" s="10"/>
      <c r="O637" s="10">
        <f t="shared" si="241"/>
        <v>0</v>
      </c>
      <c r="Q637" s="10">
        <f t="shared" si="243"/>
        <v>2450</v>
      </c>
      <c r="R637" s="10">
        <f t="shared" si="246"/>
        <v>0</v>
      </c>
      <c r="S637" s="10">
        <f t="shared" si="247"/>
        <v>2450</v>
      </c>
    </row>
    <row r="638" spans="2:19" ht="14.25" customHeight="1" x14ac:dyDescent="0.25">
      <c r="B638" s="73">
        <f t="shared" si="240"/>
        <v>63</v>
      </c>
      <c r="C638" s="9"/>
      <c r="D638" s="9"/>
      <c r="E638" s="9"/>
      <c r="F638" s="43" t="s">
        <v>302</v>
      </c>
      <c r="G638" s="98">
        <v>637</v>
      </c>
      <c r="H638" s="9" t="s">
        <v>223</v>
      </c>
      <c r="I638" s="10">
        <v>2960</v>
      </c>
      <c r="J638" s="10"/>
      <c r="K638" s="10">
        <f t="shared" si="245"/>
        <v>2960</v>
      </c>
      <c r="L638" s="131"/>
      <c r="M638" s="10"/>
      <c r="N638" s="10"/>
      <c r="O638" s="10">
        <f t="shared" si="241"/>
        <v>0</v>
      </c>
      <c r="Q638" s="10">
        <f t="shared" si="243"/>
        <v>2960</v>
      </c>
      <c r="R638" s="10">
        <f t="shared" si="246"/>
        <v>0</v>
      </c>
      <c r="S638" s="10">
        <f t="shared" si="247"/>
        <v>2960</v>
      </c>
    </row>
    <row r="639" spans="2:19" ht="19.5" customHeight="1" x14ac:dyDescent="0.25">
      <c r="B639" s="73">
        <f t="shared" si="240"/>
        <v>64</v>
      </c>
      <c r="C639" s="21"/>
      <c r="D639" s="21"/>
      <c r="E639" s="21"/>
      <c r="F639" s="42" t="s">
        <v>302</v>
      </c>
      <c r="G639" s="97">
        <v>710</v>
      </c>
      <c r="H639" s="21" t="s">
        <v>235</v>
      </c>
      <c r="I639" s="15"/>
      <c r="J639" s="15"/>
      <c r="K639" s="15">
        <f t="shared" si="245"/>
        <v>0</v>
      </c>
      <c r="L639" s="130"/>
      <c r="M639" s="15">
        <f>M642+M640</f>
        <v>9900</v>
      </c>
      <c r="N639" s="15">
        <f t="shared" ref="N639" si="264">N642+N640</f>
        <v>0</v>
      </c>
      <c r="O639" s="15">
        <f t="shared" si="241"/>
        <v>9900</v>
      </c>
      <c r="Q639" s="15">
        <f t="shared" si="243"/>
        <v>9900</v>
      </c>
      <c r="R639" s="15">
        <f t="shared" si="246"/>
        <v>0</v>
      </c>
      <c r="S639" s="15">
        <f t="shared" si="247"/>
        <v>9900</v>
      </c>
    </row>
    <row r="640" spans="2:19" ht="15" customHeight="1" x14ac:dyDescent="0.25">
      <c r="B640" s="73">
        <f t="shared" si="240"/>
        <v>65</v>
      </c>
      <c r="C640" s="21"/>
      <c r="D640" s="21"/>
      <c r="E640" s="21"/>
      <c r="F640" s="44" t="s">
        <v>302</v>
      </c>
      <c r="G640" s="98">
        <v>716</v>
      </c>
      <c r="H640" s="9" t="s">
        <v>237</v>
      </c>
      <c r="I640" s="15"/>
      <c r="J640" s="15"/>
      <c r="K640" s="15">
        <f t="shared" si="245"/>
        <v>0</v>
      </c>
      <c r="L640" s="130"/>
      <c r="M640" s="16">
        <f>M641</f>
        <v>900</v>
      </c>
      <c r="N640" s="16">
        <f t="shared" ref="N640" si="265">N641</f>
        <v>0</v>
      </c>
      <c r="O640" s="16">
        <f t="shared" si="241"/>
        <v>900</v>
      </c>
      <c r="Q640" s="16">
        <f t="shared" ref="Q640:Q703" si="266">I640+M640</f>
        <v>900</v>
      </c>
      <c r="R640" s="16">
        <f t="shared" si="246"/>
        <v>0</v>
      </c>
      <c r="S640" s="16">
        <f t="shared" si="247"/>
        <v>900</v>
      </c>
    </row>
    <row r="641" spans="2:19" ht="15.75" customHeight="1" x14ac:dyDescent="0.25">
      <c r="B641" s="73">
        <f t="shared" ref="B641:B704" si="267">B640+1</f>
        <v>66</v>
      </c>
      <c r="C641" s="21"/>
      <c r="D641" s="21"/>
      <c r="E641" s="21"/>
      <c r="F641" s="12"/>
      <c r="G641" s="99"/>
      <c r="H641" s="12" t="s">
        <v>609</v>
      </c>
      <c r="I641" s="13"/>
      <c r="J641" s="13"/>
      <c r="K641" s="13">
        <f t="shared" si="245"/>
        <v>0</v>
      </c>
      <c r="L641" s="132"/>
      <c r="M641" s="13">
        <v>900</v>
      </c>
      <c r="N641" s="13"/>
      <c r="O641" s="13">
        <f t="shared" ref="O641:O704" si="268">M641+N641</f>
        <v>900</v>
      </c>
      <c r="Q641" s="13">
        <f t="shared" si="266"/>
        <v>900</v>
      </c>
      <c r="R641" s="13">
        <f t="shared" si="246"/>
        <v>0</v>
      </c>
      <c r="S641" s="13">
        <f t="shared" si="247"/>
        <v>900</v>
      </c>
    </row>
    <row r="642" spans="2:19" x14ac:dyDescent="0.25">
      <c r="B642" s="73">
        <f t="shared" si="267"/>
        <v>67</v>
      </c>
      <c r="C642" s="12"/>
      <c r="D642" s="12"/>
      <c r="E642" s="12"/>
      <c r="F642" s="43" t="s">
        <v>302</v>
      </c>
      <c r="G642" s="98">
        <v>717</v>
      </c>
      <c r="H642" s="9" t="s">
        <v>240</v>
      </c>
      <c r="I642" s="10"/>
      <c r="J642" s="10"/>
      <c r="K642" s="10">
        <f t="shared" si="245"/>
        <v>0</v>
      </c>
      <c r="L642" s="131"/>
      <c r="M642" s="10">
        <f>M643+M644</f>
        <v>9000</v>
      </c>
      <c r="N642" s="10">
        <f t="shared" ref="N642" si="269">N643+N644</f>
        <v>0</v>
      </c>
      <c r="O642" s="10">
        <f t="shared" si="268"/>
        <v>9000</v>
      </c>
      <c r="Q642" s="10">
        <f t="shared" si="266"/>
        <v>9000</v>
      </c>
      <c r="R642" s="10">
        <f t="shared" si="246"/>
        <v>0</v>
      </c>
      <c r="S642" s="10">
        <f t="shared" si="247"/>
        <v>9000</v>
      </c>
    </row>
    <row r="643" spans="2:19" x14ac:dyDescent="0.25">
      <c r="B643" s="73">
        <f t="shared" si="267"/>
        <v>68</v>
      </c>
      <c r="C643" s="12"/>
      <c r="D643" s="12"/>
      <c r="E643" s="12"/>
      <c r="F643" s="12"/>
      <c r="G643" s="99"/>
      <c r="H643" s="12" t="s">
        <v>577</v>
      </c>
      <c r="I643" s="13"/>
      <c r="J643" s="13"/>
      <c r="K643" s="13">
        <f t="shared" ref="K643:K706" si="270">I643+J643</f>
        <v>0</v>
      </c>
      <c r="L643" s="132"/>
      <c r="M643" s="13">
        <v>9000</v>
      </c>
      <c r="N643" s="13"/>
      <c r="O643" s="13">
        <f t="shared" si="268"/>
        <v>9000</v>
      </c>
      <c r="Q643" s="13">
        <f t="shared" si="266"/>
        <v>9000</v>
      </c>
      <c r="R643" s="13">
        <f t="shared" si="246"/>
        <v>0</v>
      </c>
      <c r="S643" s="13">
        <f t="shared" si="247"/>
        <v>9000</v>
      </c>
    </row>
    <row r="644" spans="2:19" x14ac:dyDescent="0.25">
      <c r="B644" s="73">
        <f t="shared" si="267"/>
        <v>69</v>
      </c>
      <c r="C644" s="40"/>
      <c r="D644" s="40"/>
      <c r="E644" s="40" t="s">
        <v>93</v>
      </c>
      <c r="F644" s="40"/>
      <c r="G644" s="96"/>
      <c r="H644" s="40" t="s">
        <v>94</v>
      </c>
      <c r="I644" s="41">
        <f>I645+I646+I647+I652</f>
        <v>176774</v>
      </c>
      <c r="J644" s="41">
        <f t="shared" ref="J644" si="271">J645+J646+J647+J652</f>
        <v>0</v>
      </c>
      <c r="K644" s="41">
        <f t="shared" si="270"/>
        <v>176774</v>
      </c>
      <c r="L644" s="130"/>
      <c r="M644" s="41"/>
      <c r="N644" s="41"/>
      <c r="O644" s="41">
        <f t="shared" si="268"/>
        <v>0</v>
      </c>
      <c r="Q644" s="41">
        <f t="shared" si="266"/>
        <v>176774</v>
      </c>
      <c r="R644" s="41">
        <f t="shared" si="246"/>
        <v>0</v>
      </c>
      <c r="S644" s="41">
        <f t="shared" si="247"/>
        <v>176774</v>
      </c>
    </row>
    <row r="645" spans="2:19" x14ac:dyDescent="0.25">
      <c r="B645" s="73">
        <f t="shared" si="267"/>
        <v>70</v>
      </c>
      <c r="C645" s="21"/>
      <c r="D645" s="21"/>
      <c r="E645" s="21"/>
      <c r="F645" s="42" t="s">
        <v>302</v>
      </c>
      <c r="G645" s="97">
        <v>610</v>
      </c>
      <c r="H645" s="21" t="s">
        <v>245</v>
      </c>
      <c r="I645" s="15">
        <f>96929+720</f>
        <v>97649</v>
      </c>
      <c r="J645" s="15"/>
      <c r="K645" s="15">
        <f t="shared" si="270"/>
        <v>97649</v>
      </c>
      <c r="L645" s="130"/>
      <c r="M645" s="15"/>
      <c r="N645" s="15"/>
      <c r="O645" s="15">
        <f t="shared" si="268"/>
        <v>0</v>
      </c>
      <c r="Q645" s="15">
        <f t="shared" si="266"/>
        <v>97649</v>
      </c>
      <c r="R645" s="15">
        <f t="shared" si="246"/>
        <v>0</v>
      </c>
      <c r="S645" s="15">
        <f t="shared" si="247"/>
        <v>97649</v>
      </c>
    </row>
    <row r="646" spans="2:19" x14ac:dyDescent="0.25">
      <c r="B646" s="73">
        <f t="shared" si="267"/>
        <v>71</v>
      </c>
      <c r="C646" s="21"/>
      <c r="D646" s="21"/>
      <c r="E646" s="21"/>
      <c r="F646" s="42" t="s">
        <v>302</v>
      </c>
      <c r="G646" s="97">
        <v>620</v>
      </c>
      <c r="H646" s="21" t="s">
        <v>228</v>
      </c>
      <c r="I646" s="15">
        <f>36868+252</f>
        <v>37120</v>
      </c>
      <c r="J646" s="15"/>
      <c r="K646" s="15">
        <f t="shared" si="270"/>
        <v>37120</v>
      </c>
      <c r="L646" s="130"/>
      <c r="M646" s="15"/>
      <c r="N646" s="15"/>
      <c r="O646" s="15">
        <f t="shared" si="268"/>
        <v>0</v>
      </c>
      <c r="Q646" s="15">
        <f t="shared" si="266"/>
        <v>37120</v>
      </c>
      <c r="R646" s="15">
        <f t="shared" si="246"/>
        <v>0</v>
      </c>
      <c r="S646" s="15">
        <f t="shared" si="247"/>
        <v>37120</v>
      </c>
    </row>
    <row r="647" spans="2:19" x14ac:dyDescent="0.25">
      <c r="B647" s="73">
        <f t="shared" si="267"/>
        <v>72</v>
      </c>
      <c r="C647" s="21"/>
      <c r="D647" s="21"/>
      <c r="E647" s="21"/>
      <c r="F647" s="42" t="s">
        <v>302</v>
      </c>
      <c r="G647" s="97">
        <v>630</v>
      </c>
      <c r="H647" s="21" t="s">
        <v>218</v>
      </c>
      <c r="I647" s="15">
        <f>SUM(I648:I651)</f>
        <v>40465</v>
      </c>
      <c r="J647" s="15">
        <f t="shared" ref="J647" si="272">SUM(J648:J651)</f>
        <v>0</v>
      </c>
      <c r="K647" s="15">
        <f t="shared" si="270"/>
        <v>40465</v>
      </c>
      <c r="L647" s="130"/>
      <c r="M647" s="15"/>
      <c r="N647" s="15"/>
      <c r="O647" s="15">
        <f t="shared" si="268"/>
        <v>0</v>
      </c>
      <c r="Q647" s="15">
        <f t="shared" si="266"/>
        <v>40465</v>
      </c>
      <c r="R647" s="15">
        <f t="shared" si="246"/>
        <v>0</v>
      </c>
      <c r="S647" s="15">
        <f t="shared" si="247"/>
        <v>40465</v>
      </c>
    </row>
    <row r="648" spans="2:19" x14ac:dyDescent="0.25">
      <c r="B648" s="73">
        <f t="shared" si="267"/>
        <v>73</v>
      </c>
      <c r="C648" s="9"/>
      <c r="D648" s="9"/>
      <c r="E648" s="9"/>
      <c r="F648" s="43" t="s">
        <v>302</v>
      </c>
      <c r="G648" s="98">
        <v>632</v>
      </c>
      <c r="H648" s="9" t="s">
        <v>229</v>
      </c>
      <c r="I648" s="10">
        <v>27580</v>
      </c>
      <c r="J648" s="10"/>
      <c r="K648" s="10">
        <f t="shared" si="270"/>
        <v>27580</v>
      </c>
      <c r="L648" s="131"/>
      <c r="M648" s="10"/>
      <c r="N648" s="10"/>
      <c r="O648" s="10">
        <f t="shared" si="268"/>
        <v>0</v>
      </c>
      <c r="Q648" s="10">
        <f t="shared" si="266"/>
        <v>27580</v>
      </c>
      <c r="R648" s="10">
        <f t="shared" si="246"/>
        <v>0</v>
      </c>
      <c r="S648" s="10">
        <f t="shared" si="247"/>
        <v>27580</v>
      </c>
    </row>
    <row r="649" spans="2:19" x14ac:dyDescent="0.25">
      <c r="B649" s="73">
        <f t="shared" si="267"/>
        <v>74</v>
      </c>
      <c r="C649" s="9"/>
      <c r="D649" s="9"/>
      <c r="E649" s="9"/>
      <c r="F649" s="43" t="s">
        <v>302</v>
      </c>
      <c r="G649" s="98">
        <v>633</v>
      </c>
      <c r="H649" s="9" t="s">
        <v>220</v>
      </c>
      <c r="I649" s="10">
        <f>7938-163</f>
        <v>7775</v>
      </c>
      <c r="J649" s="10"/>
      <c r="K649" s="10">
        <f t="shared" si="270"/>
        <v>7775</v>
      </c>
      <c r="L649" s="131"/>
      <c r="M649" s="10"/>
      <c r="N649" s="10"/>
      <c r="O649" s="10">
        <f t="shared" si="268"/>
        <v>0</v>
      </c>
      <c r="Q649" s="10">
        <f t="shared" si="266"/>
        <v>7775</v>
      </c>
      <c r="R649" s="10">
        <f t="shared" si="246"/>
        <v>0</v>
      </c>
      <c r="S649" s="10">
        <f t="shared" si="247"/>
        <v>7775</v>
      </c>
    </row>
    <row r="650" spans="2:19" x14ac:dyDescent="0.25">
      <c r="B650" s="73">
        <f t="shared" si="267"/>
        <v>75</v>
      </c>
      <c r="C650" s="9"/>
      <c r="D650" s="9"/>
      <c r="E650" s="9"/>
      <c r="F650" s="43" t="s">
        <v>302</v>
      </c>
      <c r="G650" s="98">
        <v>635</v>
      </c>
      <c r="H650" s="9" t="s">
        <v>234</v>
      </c>
      <c r="I650" s="10">
        <v>2100</v>
      </c>
      <c r="J650" s="10"/>
      <c r="K650" s="10">
        <f t="shared" si="270"/>
        <v>2100</v>
      </c>
      <c r="L650" s="131"/>
      <c r="M650" s="10"/>
      <c r="N650" s="10"/>
      <c r="O650" s="10">
        <f t="shared" si="268"/>
        <v>0</v>
      </c>
      <c r="Q650" s="10">
        <f t="shared" si="266"/>
        <v>2100</v>
      </c>
      <c r="R650" s="10">
        <f t="shared" si="246"/>
        <v>0</v>
      </c>
      <c r="S650" s="10">
        <f t="shared" si="247"/>
        <v>2100</v>
      </c>
    </row>
    <row r="651" spans="2:19" x14ac:dyDescent="0.25">
      <c r="B651" s="73">
        <f t="shared" si="267"/>
        <v>76</v>
      </c>
      <c r="C651" s="9"/>
      <c r="D651" s="9"/>
      <c r="E651" s="9"/>
      <c r="F651" s="43" t="s">
        <v>302</v>
      </c>
      <c r="G651" s="98">
        <v>637</v>
      </c>
      <c r="H651" s="9" t="s">
        <v>223</v>
      </c>
      <c r="I651" s="10">
        <v>3010</v>
      </c>
      <c r="J651" s="10"/>
      <c r="K651" s="10">
        <f t="shared" si="270"/>
        <v>3010</v>
      </c>
      <c r="L651" s="131"/>
      <c r="M651" s="10"/>
      <c r="N651" s="10"/>
      <c r="O651" s="10">
        <f t="shared" si="268"/>
        <v>0</v>
      </c>
      <c r="Q651" s="10">
        <f t="shared" si="266"/>
        <v>3010</v>
      </c>
      <c r="R651" s="10">
        <f t="shared" si="246"/>
        <v>0</v>
      </c>
      <c r="S651" s="10">
        <f t="shared" si="247"/>
        <v>3010</v>
      </c>
    </row>
    <row r="652" spans="2:19" x14ac:dyDescent="0.25">
      <c r="B652" s="73">
        <f t="shared" si="267"/>
        <v>77</v>
      </c>
      <c r="C652" s="21"/>
      <c r="D652" s="21"/>
      <c r="E652" s="21"/>
      <c r="F652" s="42" t="s">
        <v>302</v>
      </c>
      <c r="G652" s="97">
        <v>640</v>
      </c>
      <c r="H652" s="21" t="s">
        <v>230</v>
      </c>
      <c r="I652" s="15">
        <v>1540</v>
      </c>
      <c r="J652" s="15"/>
      <c r="K652" s="15">
        <f t="shared" si="270"/>
        <v>1540</v>
      </c>
      <c r="L652" s="130"/>
      <c r="M652" s="15"/>
      <c r="N652" s="15"/>
      <c r="O652" s="15">
        <f t="shared" si="268"/>
        <v>0</v>
      </c>
      <c r="Q652" s="15">
        <f t="shared" si="266"/>
        <v>1540</v>
      </c>
      <c r="R652" s="15">
        <f t="shared" si="246"/>
        <v>0</v>
      </c>
      <c r="S652" s="15">
        <f t="shared" si="247"/>
        <v>1540</v>
      </c>
    </row>
    <row r="653" spans="2:19" x14ac:dyDescent="0.25">
      <c r="B653" s="73">
        <f t="shared" si="267"/>
        <v>78</v>
      </c>
      <c r="C653" s="40"/>
      <c r="D653" s="40"/>
      <c r="E653" s="40" t="s">
        <v>95</v>
      </c>
      <c r="F653" s="40"/>
      <c r="G653" s="96"/>
      <c r="H653" s="40" t="s">
        <v>96</v>
      </c>
      <c r="I653" s="41">
        <f>I654+I655+I656+I661</f>
        <v>261783</v>
      </c>
      <c r="J653" s="41">
        <f t="shared" ref="J653" si="273">J654+J655+J656+J661</f>
        <v>0</v>
      </c>
      <c r="K653" s="41">
        <f t="shared" si="270"/>
        <v>261783</v>
      </c>
      <c r="L653" s="130"/>
      <c r="M653" s="41">
        <f>M662</f>
        <v>200000</v>
      </c>
      <c r="N653" s="41">
        <f t="shared" ref="N653" si="274">N662</f>
        <v>0</v>
      </c>
      <c r="O653" s="41">
        <f t="shared" si="268"/>
        <v>200000</v>
      </c>
      <c r="Q653" s="41">
        <f t="shared" si="266"/>
        <v>461783</v>
      </c>
      <c r="R653" s="41">
        <f t="shared" si="246"/>
        <v>0</v>
      </c>
      <c r="S653" s="41">
        <f t="shared" si="247"/>
        <v>461783</v>
      </c>
    </row>
    <row r="654" spans="2:19" x14ac:dyDescent="0.25">
      <c r="B654" s="73">
        <f t="shared" si="267"/>
        <v>79</v>
      </c>
      <c r="C654" s="21"/>
      <c r="D654" s="21"/>
      <c r="E654" s="21"/>
      <c r="F654" s="42" t="s">
        <v>302</v>
      </c>
      <c r="G654" s="97">
        <v>610</v>
      </c>
      <c r="H654" s="21" t="s">
        <v>245</v>
      </c>
      <c r="I654" s="15">
        <f>145571+1080</f>
        <v>146651</v>
      </c>
      <c r="J654" s="15"/>
      <c r="K654" s="15">
        <f t="shared" si="270"/>
        <v>146651</v>
      </c>
      <c r="L654" s="130"/>
      <c r="M654" s="15"/>
      <c r="N654" s="15"/>
      <c r="O654" s="15">
        <f t="shared" si="268"/>
        <v>0</v>
      </c>
      <c r="Q654" s="15">
        <f t="shared" si="266"/>
        <v>146651</v>
      </c>
      <c r="R654" s="15">
        <f t="shared" si="246"/>
        <v>0</v>
      </c>
      <c r="S654" s="15">
        <f t="shared" si="247"/>
        <v>146651</v>
      </c>
    </row>
    <row r="655" spans="2:19" x14ac:dyDescent="0.25">
      <c r="B655" s="73">
        <f t="shared" si="267"/>
        <v>80</v>
      </c>
      <c r="C655" s="21"/>
      <c r="D655" s="21"/>
      <c r="E655" s="21"/>
      <c r="F655" s="42" t="s">
        <v>302</v>
      </c>
      <c r="G655" s="97">
        <v>620</v>
      </c>
      <c r="H655" s="21" t="s">
        <v>228</v>
      </c>
      <c r="I655" s="15">
        <f>54929+378</f>
        <v>55307</v>
      </c>
      <c r="J655" s="15"/>
      <c r="K655" s="15">
        <f t="shared" si="270"/>
        <v>55307</v>
      </c>
      <c r="L655" s="130"/>
      <c r="M655" s="15"/>
      <c r="N655" s="15"/>
      <c r="O655" s="15">
        <f t="shared" si="268"/>
        <v>0</v>
      </c>
      <c r="Q655" s="15">
        <f t="shared" si="266"/>
        <v>55307</v>
      </c>
      <c r="R655" s="15">
        <f t="shared" si="246"/>
        <v>0</v>
      </c>
      <c r="S655" s="15">
        <f t="shared" si="247"/>
        <v>55307</v>
      </c>
    </row>
    <row r="656" spans="2:19" x14ac:dyDescent="0.25">
      <c r="B656" s="73">
        <f t="shared" si="267"/>
        <v>81</v>
      </c>
      <c r="C656" s="21"/>
      <c r="D656" s="21"/>
      <c r="E656" s="21"/>
      <c r="F656" s="42" t="s">
        <v>302</v>
      </c>
      <c r="G656" s="97">
        <v>630</v>
      </c>
      <c r="H656" s="21" t="s">
        <v>218</v>
      </c>
      <c r="I656" s="15">
        <f>SUM(I657:I660)</f>
        <v>57529</v>
      </c>
      <c r="J656" s="15">
        <f t="shared" ref="J656" si="275">SUM(J657:J660)</f>
        <v>0</v>
      </c>
      <c r="K656" s="15">
        <f t="shared" si="270"/>
        <v>57529</v>
      </c>
      <c r="L656" s="130"/>
      <c r="M656" s="15"/>
      <c r="N656" s="15"/>
      <c r="O656" s="15">
        <f t="shared" si="268"/>
        <v>0</v>
      </c>
      <c r="Q656" s="15">
        <f t="shared" si="266"/>
        <v>57529</v>
      </c>
      <c r="R656" s="15">
        <f t="shared" ref="R656:R719" si="276">J656+N656</f>
        <v>0</v>
      </c>
      <c r="S656" s="15">
        <f t="shared" ref="S656:S719" si="277">K656+O656</f>
        <v>57529</v>
      </c>
    </row>
    <row r="657" spans="2:19" s="80" customFormat="1" x14ac:dyDescent="0.25">
      <c r="B657" s="73">
        <f t="shared" si="267"/>
        <v>82</v>
      </c>
      <c r="C657" s="9"/>
      <c r="D657" s="9"/>
      <c r="E657" s="9"/>
      <c r="F657" s="43" t="s">
        <v>302</v>
      </c>
      <c r="G657" s="98">
        <v>632</v>
      </c>
      <c r="H657" s="9" t="s">
        <v>229</v>
      </c>
      <c r="I657" s="10">
        <v>39800</v>
      </c>
      <c r="J657" s="10"/>
      <c r="K657" s="10">
        <f t="shared" si="270"/>
        <v>39800</v>
      </c>
      <c r="L657" s="131"/>
      <c r="M657" s="10"/>
      <c r="N657" s="10"/>
      <c r="O657" s="10">
        <f t="shared" si="268"/>
        <v>0</v>
      </c>
      <c r="P657"/>
      <c r="Q657" s="10">
        <f t="shared" si="266"/>
        <v>39800</v>
      </c>
      <c r="R657" s="10">
        <f t="shared" si="276"/>
        <v>0</v>
      </c>
      <c r="S657" s="10">
        <f t="shared" si="277"/>
        <v>39800</v>
      </c>
    </row>
    <row r="658" spans="2:19" s="80" customFormat="1" x14ac:dyDescent="0.25">
      <c r="B658" s="73">
        <f t="shared" si="267"/>
        <v>83</v>
      </c>
      <c r="C658" s="9"/>
      <c r="D658" s="9"/>
      <c r="E658" s="9"/>
      <c r="F658" s="43" t="s">
        <v>302</v>
      </c>
      <c r="G658" s="98">
        <v>633</v>
      </c>
      <c r="H658" s="9" t="s">
        <v>220</v>
      </c>
      <c r="I658" s="10">
        <f>11104-325</f>
        <v>10779</v>
      </c>
      <c r="J658" s="10"/>
      <c r="K658" s="10">
        <f t="shared" si="270"/>
        <v>10779</v>
      </c>
      <c r="L658" s="131"/>
      <c r="M658" s="10"/>
      <c r="N658" s="10"/>
      <c r="O658" s="10">
        <f t="shared" si="268"/>
        <v>0</v>
      </c>
      <c r="P658"/>
      <c r="Q658" s="10">
        <f t="shared" si="266"/>
        <v>10779</v>
      </c>
      <c r="R658" s="10">
        <f t="shared" si="276"/>
        <v>0</v>
      </c>
      <c r="S658" s="10">
        <f t="shared" si="277"/>
        <v>10779</v>
      </c>
    </row>
    <row r="659" spans="2:19" x14ac:dyDescent="0.25">
      <c r="B659" s="73">
        <f t="shared" si="267"/>
        <v>84</v>
      </c>
      <c r="C659" s="9"/>
      <c r="D659" s="9"/>
      <c r="E659" s="9"/>
      <c r="F659" s="43" t="s">
        <v>302</v>
      </c>
      <c r="G659" s="98">
        <v>635</v>
      </c>
      <c r="H659" s="9" t="s">
        <v>234</v>
      </c>
      <c r="I659" s="10">
        <v>2600</v>
      </c>
      <c r="J659" s="10"/>
      <c r="K659" s="10">
        <f t="shared" si="270"/>
        <v>2600</v>
      </c>
      <c r="L659" s="131"/>
      <c r="M659" s="10"/>
      <c r="N659" s="10"/>
      <c r="O659" s="10">
        <f t="shared" si="268"/>
        <v>0</v>
      </c>
      <c r="Q659" s="10">
        <f t="shared" si="266"/>
        <v>2600</v>
      </c>
      <c r="R659" s="10">
        <f t="shared" si="276"/>
        <v>0</v>
      </c>
      <c r="S659" s="10">
        <f t="shared" si="277"/>
        <v>2600</v>
      </c>
    </row>
    <row r="660" spans="2:19" x14ac:dyDescent="0.25">
      <c r="B660" s="73">
        <f t="shared" si="267"/>
        <v>85</v>
      </c>
      <c r="C660" s="9"/>
      <c r="D660" s="9"/>
      <c r="E660" s="9"/>
      <c r="F660" s="43" t="s">
        <v>302</v>
      </c>
      <c r="G660" s="98">
        <v>637</v>
      </c>
      <c r="H660" s="9" t="s">
        <v>223</v>
      </c>
      <c r="I660" s="10">
        <v>4350</v>
      </c>
      <c r="J660" s="10"/>
      <c r="K660" s="10">
        <f t="shared" si="270"/>
        <v>4350</v>
      </c>
      <c r="L660" s="131"/>
      <c r="M660" s="10"/>
      <c r="N660" s="10"/>
      <c r="O660" s="10">
        <f t="shared" si="268"/>
        <v>0</v>
      </c>
      <c r="Q660" s="10">
        <f t="shared" si="266"/>
        <v>4350</v>
      </c>
      <c r="R660" s="10">
        <f t="shared" si="276"/>
        <v>0</v>
      </c>
      <c r="S660" s="10">
        <f t="shared" si="277"/>
        <v>4350</v>
      </c>
    </row>
    <row r="661" spans="2:19" ht="15" customHeight="1" x14ac:dyDescent="0.25">
      <c r="B661" s="73">
        <f t="shared" si="267"/>
        <v>86</v>
      </c>
      <c r="C661" s="21"/>
      <c r="D661" s="21"/>
      <c r="E661" s="21"/>
      <c r="F661" s="42" t="s">
        <v>302</v>
      </c>
      <c r="G661" s="97">
        <v>640</v>
      </c>
      <c r="H661" s="21" t="s">
        <v>230</v>
      </c>
      <c r="I661" s="15">
        <v>2296</v>
      </c>
      <c r="J661" s="15"/>
      <c r="K661" s="15">
        <f t="shared" si="270"/>
        <v>2296</v>
      </c>
      <c r="L661" s="130"/>
      <c r="M661" s="15"/>
      <c r="N661" s="15"/>
      <c r="O661" s="15">
        <f t="shared" si="268"/>
        <v>0</v>
      </c>
      <c r="Q661" s="15">
        <f t="shared" si="266"/>
        <v>2296</v>
      </c>
      <c r="R661" s="15">
        <f t="shared" si="276"/>
        <v>0</v>
      </c>
      <c r="S661" s="15">
        <f t="shared" si="277"/>
        <v>2296</v>
      </c>
    </row>
    <row r="662" spans="2:19" x14ac:dyDescent="0.25">
      <c r="B662" s="73">
        <f t="shared" si="267"/>
        <v>87</v>
      </c>
      <c r="C662" s="21"/>
      <c r="D662" s="21"/>
      <c r="E662" s="21"/>
      <c r="F662" s="42" t="s">
        <v>302</v>
      </c>
      <c r="G662" s="97">
        <v>710</v>
      </c>
      <c r="H662" s="21" t="s">
        <v>235</v>
      </c>
      <c r="I662" s="15"/>
      <c r="J662" s="15"/>
      <c r="K662" s="15">
        <f t="shared" si="270"/>
        <v>0</v>
      </c>
      <c r="L662" s="130"/>
      <c r="M662" s="15">
        <f>M663</f>
        <v>200000</v>
      </c>
      <c r="N662" s="15">
        <f t="shared" ref="N662:N663" si="278">N663</f>
        <v>0</v>
      </c>
      <c r="O662" s="15">
        <f t="shared" si="268"/>
        <v>200000</v>
      </c>
      <c r="Q662" s="15">
        <f t="shared" si="266"/>
        <v>200000</v>
      </c>
      <c r="R662" s="15">
        <f t="shared" si="276"/>
        <v>0</v>
      </c>
      <c r="S662" s="15">
        <f t="shared" si="277"/>
        <v>200000</v>
      </c>
    </row>
    <row r="663" spans="2:19" x14ac:dyDescent="0.25">
      <c r="B663" s="73">
        <f t="shared" si="267"/>
        <v>88</v>
      </c>
      <c r="C663" s="21"/>
      <c r="D663" s="21"/>
      <c r="E663" s="21"/>
      <c r="F663" s="43" t="s">
        <v>302</v>
      </c>
      <c r="G663" s="98">
        <v>717</v>
      </c>
      <c r="H663" s="9" t="s">
        <v>240</v>
      </c>
      <c r="I663" s="15"/>
      <c r="J663" s="15"/>
      <c r="K663" s="15">
        <f t="shared" si="270"/>
        <v>0</v>
      </c>
      <c r="L663" s="130"/>
      <c r="M663" s="15">
        <f>M664</f>
        <v>200000</v>
      </c>
      <c r="N663" s="15">
        <f t="shared" si="278"/>
        <v>0</v>
      </c>
      <c r="O663" s="15">
        <f t="shared" si="268"/>
        <v>200000</v>
      </c>
      <c r="Q663" s="15">
        <f t="shared" si="266"/>
        <v>200000</v>
      </c>
      <c r="R663" s="15">
        <f t="shared" si="276"/>
        <v>0</v>
      </c>
      <c r="S663" s="15">
        <f t="shared" si="277"/>
        <v>200000</v>
      </c>
    </row>
    <row r="664" spans="2:19" x14ac:dyDescent="0.25">
      <c r="B664" s="73">
        <f t="shared" si="267"/>
        <v>89</v>
      </c>
      <c r="C664" s="12"/>
      <c r="D664" s="12"/>
      <c r="E664" s="12"/>
      <c r="F664" s="12"/>
      <c r="G664" s="99"/>
      <c r="H664" s="67" t="s">
        <v>509</v>
      </c>
      <c r="I664" s="13"/>
      <c r="J664" s="13"/>
      <c r="K664" s="13">
        <f t="shared" si="270"/>
        <v>0</v>
      </c>
      <c r="L664" s="132"/>
      <c r="M664" s="13">
        <v>200000</v>
      </c>
      <c r="N664" s="13"/>
      <c r="O664" s="13">
        <f t="shared" si="268"/>
        <v>200000</v>
      </c>
      <c r="Q664" s="13">
        <f t="shared" si="266"/>
        <v>200000</v>
      </c>
      <c r="R664" s="13">
        <f t="shared" si="276"/>
        <v>0</v>
      </c>
      <c r="S664" s="13">
        <f t="shared" si="277"/>
        <v>200000</v>
      </c>
    </row>
    <row r="665" spans="2:19" x14ac:dyDescent="0.25">
      <c r="B665" s="73">
        <f t="shared" si="267"/>
        <v>90</v>
      </c>
      <c r="C665" s="40"/>
      <c r="D665" s="40"/>
      <c r="E665" s="40" t="s">
        <v>97</v>
      </c>
      <c r="F665" s="40"/>
      <c r="G665" s="96"/>
      <c r="H665" s="40" t="s">
        <v>98</v>
      </c>
      <c r="I665" s="41">
        <f>I666+I667+I668+I673</f>
        <v>269414</v>
      </c>
      <c r="J665" s="41">
        <f t="shared" ref="J665" si="279">J666+J667+J668+J673</f>
        <v>0</v>
      </c>
      <c r="K665" s="41">
        <f t="shared" si="270"/>
        <v>269414</v>
      </c>
      <c r="L665" s="130"/>
      <c r="M665" s="41">
        <f>M674</f>
        <v>200</v>
      </c>
      <c r="N665" s="41">
        <f t="shared" ref="N665" si="280">N674</f>
        <v>0</v>
      </c>
      <c r="O665" s="41">
        <f t="shared" si="268"/>
        <v>200</v>
      </c>
      <c r="Q665" s="41">
        <f t="shared" si="266"/>
        <v>269614</v>
      </c>
      <c r="R665" s="41">
        <f t="shared" si="276"/>
        <v>0</v>
      </c>
      <c r="S665" s="41">
        <f t="shared" si="277"/>
        <v>269614</v>
      </c>
    </row>
    <row r="666" spans="2:19" x14ac:dyDescent="0.25">
      <c r="B666" s="73">
        <f t="shared" si="267"/>
        <v>91</v>
      </c>
      <c r="C666" s="21"/>
      <c r="D666" s="21"/>
      <c r="E666" s="21"/>
      <c r="F666" s="42" t="s">
        <v>302</v>
      </c>
      <c r="G666" s="97">
        <v>610</v>
      </c>
      <c r="H666" s="21" t="s">
        <v>245</v>
      </c>
      <c r="I666" s="15">
        <f>142591+1080</f>
        <v>143671</v>
      </c>
      <c r="J666" s="15"/>
      <c r="K666" s="15">
        <f t="shared" si="270"/>
        <v>143671</v>
      </c>
      <c r="L666" s="130"/>
      <c r="M666" s="15"/>
      <c r="N666" s="15"/>
      <c r="O666" s="15">
        <f t="shared" si="268"/>
        <v>0</v>
      </c>
      <c r="Q666" s="15">
        <f t="shared" si="266"/>
        <v>143671</v>
      </c>
      <c r="R666" s="15">
        <f t="shared" si="276"/>
        <v>0</v>
      </c>
      <c r="S666" s="15">
        <f t="shared" si="277"/>
        <v>143671</v>
      </c>
    </row>
    <row r="667" spans="2:19" x14ac:dyDescent="0.25">
      <c r="B667" s="73">
        <f t="shared" si="267"/>
        <v>92</v>
      </c>
      <c r="C667" s="21"/>
      <c r="D667" s="21"/>
      <c r="E667" s="21"/>
      <c r="F667" s="42" t="s">
        <v>302</v>
      </c>
      <c r="G667" s="97">
        <v>620</v>
      </c>
      <c r="H667" s="21" t="s">
        <v>228</v>
      </c>
      <c r="I667" s="15">
        <f>54760+378</f>
        <v>55138</v>
      </c>
      <c r="J667" s="15"/>
      <c r="K667" s="15">
        <f t="shared" si="270"/>
        <v>55138</v>
      </c>
      <c r="L667" s="130"/>
      <c r="M667" s="15"/>
      <c r="N667" s="15"/>
      <c r="O667" s="15">
        <f t="shared" si="268"/>
        <v>0</v>
      </c>
      <c r="Q667" s="15">
        <f t="shared" si="266"/>
        <v>55138</v>
      </c>
      <c r="R667" s="15">
        <f t="shared" si="276"/>
        <v>0</v>
      </c>
      <c r="S667" s="15">
        <f t="shared" si="277"/>
        <v>55138</v>
      </c>
    </row>
    <row r="668" spans="2:19" x14ac:dyDescent="0.25">
      <c r="B668" s="73">
        <f t="shared" si="267"/>
        <v>93</v>
      </c>
      <c r="C668" s="21"/>
      <c r="D668" s="21"/>
      <c r="E668" s="21"/>
      <c r="F668" s="42" t="s">
        <v>302</v>
      </c>
      <c r="G668" s="97">
        <v>630</v>
      </c>
      <c r="H668" s="21" t="s">
        <v>218</v>
      </c>
      <c r="I668" s="15">
        <f>SUM(I669:I672)</f>
        <v>68236</v>
      </c>
      <c r="J668" s="15">
        <f t="shared" ref="J668" si="281">SUM(J669:J672)</f>
        <v>0</v>
      </c>
      <c r="K668" s="15">
        <f t="shared" si="270"/>
        <v>68236</v>
      </c>
      <c r="L668" s="130"/>
      <c r="M668" s="15"/>
      <c r="N668" s="15"/>
      <c r="O668" s="15">
        <f t="shared" si="268"/>
        <v>0</v>
      </c>
      <c r="Q668" s="15">
        <f t="shared" si="266"/>
        <v>68236</v>
      </c>
      <c r="R668" s="15">
        <f t="shared" si="276"/>
        <v>0</v>
      </c>
      <c r="S668" s="15">
        <f t="shared" si="277"/>
        <v>68236</v>
      </c>
    </row>
    <row r="669" spans="2:19" x14ac:dyDescent="0.25">
      <c r="B669" s="73">
        <f t="shared" si="267"/>
        <v>94</v>
      </c>
      <c r="C669" s="9"/>
      <c r="D669" s="9"/>
      <c r="E669" s="9"/>
      <c r="F669" s="43" t="s">
        <v>302</v>
      </c>
      <c r="G669" s="98">
        <v>632</v>
      </c>
      <c r="H669" s="9" t="s">
        <v>229</v>
      </c>
      <c r="I669" s="10">
        <v>48710</v>
      </c>
      <c r="J669" s="10"/>
      <c r="K669" s="10">
        <f t="shared" si="270"/>
        <v>48710</v>
      </c>
      <c r="L669" s="131"/>
      <c r="M669" s="10"/>
      <c r="N669" s="10"/>
      <c r="O669" s="10">
        <f t="shared" si="268"/>
        <v>0</v>
      </c>
      <c r="Q669" s="10">
        <f t="shared" si="266"/>
        <v>48710</v>
      </c>
      <c r="R669" s="10">
        <f t="shared" si="276"/>
        <v>0</v>
      </c>
      <c r="S669" s="10">
        <f t="shared" si="277"/>
        <v>48710</v>
      </c>
    </row>
    <row r="670" spans="2:19" x14ac:dyDescent="0.25">
      <c r="B670" s="73">
        <f t="shared" si="267"/>
        <v>95</v>
      </c>
      <c r="C670" s="9"/>
      <c r="D670" s="9"/>
      <c r="E670" s="9"/>
      <c r="F670" s="43" t="s">
        <v>302</v>
      </c>
      <c r="G670" s="98">
        <v>633</v>
      </c>
      <c r="H670" s="9" t="s">
        <v>220</v>
      </c>
      <c r="I670" s="10">
        <f>12061-325</f>
        <v>11736</v>
      </c>
      <c r="J670" s="10"/>
      <c r="K670" s="10">
        <f t="shared" si="270"/>
        <v>11736</v>
      </c>
      <c r="L670" s="131"/>
      <c r="M670" s="10"/>
      <c r="N670" s="10"/>
      <c r="O670" s="10">
        <f t="shared" si="268"/>
        <v>0</v>
      </c>
      <c r="Q670" s="10">
        <f t="shared" si="266"/>
        <v>11736</v>
      </c>
      <c r="R670" s="10">
        <f t="shared" si="276"/>
        <v>0</v>
      </c>
      <c r="S670" s="10">
        <f t="shared" si="277"/>
        <v>11736</v>
      </c>
    </row>
    <row r="671" spans="2:19" x14ac:dyDescent="0.25">
      <c r="B671" s="73">
        <f t="shared" si="267"/>
        <v>96</v>
      </c>
      <c r="C671" s="9"/>
      <c r="D671" s="9"/>
      <c r="E671" s="9"/>
      <c r="F671" s="43" t="s">
        <v>302</v>
      </c>
      <c r="G671" s="98">
        <v>635</v>
      </c>
      <c r="H671" s="9" t="s">
        <v>234</v>
      </c>
      <c r="I671" s="10">
        <v>3100</v>
      </c>
      <c r="J671" s="10"/>
      <c r="K671" s="10">
        <f t="shared" si="270"/>
        <v>3100</v>
      </c>
      <c r="L671" s="131"/>
      <c r="M671" s="10"/>
      <c r="N671" s="10"/>
      <c r="O671" s="10">
        <f t="shared" si="268"/>
        <v>0</v>
      </c>
      <c r="Q671" s="10">
        <f t="shared" si="266"/>
        <v>3100</v>
      </c>
      <c r="R671" s="10">
        <f t="shared" si="276"/>
        <v>0</v>
      </c>
      <c r="S671" s="10">
        <f t="shared" si="277"/>
        <v>3100</v>
      </c>
    </row>
    <row r="672" spans="2:19" x14ac:dyDescent="0.25">
      <c r="B672" s="73">
        <f t="shared" si="267"/>
        <v>97</v>
      </c>
      <c r="C672" s="9"/>
      <c r="D672" s="9"/>
      <c r="E672" s="9"/>
      <c r="F672" s="43" t="s">
        <v>302</v>
      </c>
      <c r="G672" s="98">
        <v>637</v>
      </c>
      <c r="H672" s="9" t="s">
        <v>223</v>
      </c>
      <c r="I672" s="10">
        <v>4690</v>
      </c>
      <c r="J672" s="10"/>
      <c r="K672" s="10">
        <f t="shared" si="270"/>
        <v>4690</v>
      </c>
      <c r="L672" s="131"/>
      <c r="M672" s="10"/>
      <c r="N672" s="10"/>
      <c r="O672" s="10">
        <f t="shared" si="268"/>
        <v>0</v>
      </c>
      <c r="Q672" s="10">
        <f t="shared" si="266"/>
        <v>4690</v>
      </c>
      <c r="R672" s="10">
        <f t="shared" si="276"/>
        <v>0</v>
      </c>
      <c r="S672" s="10">
        <f t="shared" si="277"/>
        <v>4690</v>
      </c>
    </row>
    <row r="673" spans="2:19" ht="15" customHeight="1" x14ac:dyDescent="0.25">
      <c r="B673" s="73">
        <f t="shared" si="267"/>
        <v>98</v>
      </c>
      <c r="C673" s="21"/>
      <c r="D673" s="21"/>
      <c r="E673" s="21"/>
      <c r="F673" s="42" t="s">
        <v>302</v>
      </c>
      <c r="G673" s="97">
        <v>640</v>
      </c>
      <c r="H673" s="21" t="s">
        <v>230</v>
      </c>
      <c r="I673" s="15">
        <v>2369</v>
      </c>
      <c r="J673" s="15"/>
      <c r="K673" s="15">
        <f t="shared" si="270"/>
        <v>2369</v>
      </c>
      <c r="L673" s="130"/>
      <c r="M673" s="15"/>
      <c r="N673" s="15"/>
      <c r="O673" s="15">
        <f t="shared" si="268"/>
        <v>0</v>
      </c>
      <c r="Q673" s="15">
        <f t="shared" si="266"/>
        <v>2369</v>
      </c>
      <c r="R673" s="15">
        <f t="shared" si="276"/>
        <v>0</v>
      </c>
      <c r="S673" s="15">
        <f t="shared" si="277"/>
        <v>2369</v>
      </c>
    </row>
    <row r="674" spans="2:19" ht="15" customHeight="1" x14ac:dyDescent="0.25">
      <c r="B674" s="73">
        <f t="shared" si="267"/>
        <v>99</v>
      </c>
      <c r="C674" s="21"/>
      <c r="D674" s="21"/>
      <c r="E674" s="21"/>
      <c r="F674" s="42" t="s">
        <v>302</v>
      </c>
      <c r="G674" s="97">
        <v>710</v>
      </c>
      <c r="H674" s="21" t="s">
        <v>235</v>
      </c>
      <c r="I674" s="15"/>
      <c r="J674" s="15"/>
      <c r="K674" s="15">
        <f t="shared" si="270"/>
        <v>0</v>
      </c>
      <c r="L674" s="130"/>
      <c r="M674" s="15">
        <f>M675+M678</f>
        <v>200</v>
      </c>
      <c r="N674" s="15">
        <f t="shared" ref="N674" si="282">N675+N678</f>
        <v>0</v>
      </c>
      <c r="O674" s="15">
        <f t="shared" si="268"/>
        <v>200</v>
      </c>
      <c r="Q674" s="15">
        <f t="shared" si="266"/>
        <v>200</v>
      </c>
      <c r="R674" s="15">
        <f t="shared" si="276"/>
        <v>0</v>
      </c>
      <c r="S674" s="15">
        <f t="shared" si="277"/>
        <v>200</v>
      </c>
    </row>
    <row r="675" spans="2:19" ht="13.5" customHeight="1" x14ac:dyDescent="0.25">
      <c r="B675" s="73">
        <f t="shared" si="267"/>
        <v>100</v>
      </c>
      <c r="C675" s="21"/>
      <c r="D675" s="21"/>
      <c r="E675" s="21"/>
      <c r="F675" s="44" t="s">
        <v>302</v>
      </c>
      <c r="G675" s="98">
        <v>716</v>
      </c>
      <c r="H675" s="9" t="s">
        <v>237</v>
      </c>
      <c r="I675" s="15"/>
      <c r="J675" s="15"/>
      <c r="K675" s="15">
        <f t="shared" si="270"/>
        <v>0</v>
      </c>
      <c r="L675" s="130"/>
      <c r="M675" s="16">
        <f>M676+M677</f>
        <v>200</v>
      </c>
      <c r="N675" s="16">
        <f t="shared" ref="N675" si="283">N676+N677</f>
        <v>0</v>
      </c>
      <c r="O675" s="16">
        <f t="shared" si="268"/>
        <v>200</v>
      </c>
      <c r="Q675" s="16">
        <f t="shared" si="266"/>
        <v>200</v>
      </c>
      <c r="R675" s="16">
        <f t="shared" si="276"/>
        <v>0</v>
      </c>
      <c r="S675" s="16">
        <f t="shared" si="277"/>
        <v>200</v>
      </c>
    </row>
    <row r="676" spans="2:19" x14ac:dyDescent="0.25">
      <c r="B676" s="73">
        <f t="shared" si="267"/>
        <v>101</v>
      </c>
      <c r="C676" s="21"/>
      <c r="D676" s="21"/>
      <c r="E676" s="21"/>
      <c r="F676" s="12"/>
      <c r="G676" s="99"/>
      <c r="H676" s="12" t="s">
        <v>608</v>
      </c>
      <c r="I676" s="13"/>
      <c r="J676" s="13"/>
      <c r="K676" s="13">
        <f t="shared" si="270"/>
        <v>0</v>
      </c>
      <c r="L676" s="132"/>
      <c r="M676" s="13">
        <v>200</v>
      </c>
      <c r="N676" s="13"/>
      <c r="O676" s="13">
        <f t="shared" si="268"/>
        <v>200</v>
      </c>
      <c r="Q676" s="13">
        <f t="shared" si="266"/>
        <v>200</v>
      </c>
      <c r="R676" s="13">
        <f t="shared" si="276"/>
        <v>0</v>
      </c>
      <c r="S676" s="13">
        <f t="shared" si="277"/>
        <v>200</v>
      </c>
    </row>
    <row r="677" spans="2:19" x14ac:dyDescent="0.25">
      <c r="B677" s="73">
        <f t="shared" si="267"/>
        <v>102</v>
      </c>
      <c r="C677" s="40"/>
      <c r="D677" s="40"/>
      <c r="E677" s="40" t="s">
        <v>99</v>
      </c>
      <c r="F677" s="40"/>
      <c r="G677" s="96"/>
      <c r="H677" s="40" t="s">
        <v>100</v>
      </c>
      <c r="I677" s="41">
        <f>I678+I679+I680+I685</f>
        <v>180696</v>
      </c>
      <c r="J677" s="41">
        <f t="shared" ref="J677" si="284">J678+J679+J680+J685</f>
        <v>0</v>
      </c>
      <c r="K677" s="41">
        <f t="shared" si="270"/>
        <v>180696</v>
      </c>
      <c r="L677" s="130"/>
      <c r="M677" s="41">
        <v>0</v>
      </c>
      <c r="N677" s="41">
        <v>0</v>
      </c>
      <c r="O677" s="41">
        <f t="shared" si="268"/>
        <v>0</v>
      </c>
      <c r="Q677" s="41">
        <f t="shared" si="266"/>
        <v>180696</v>
      </c>
      <c r="R677" s="41">
        <f t="shared" si="276"/>
        <v>0</v>
      </c>
      <c r="S677" s="41">
        <f t="shared" si="277"/>
        <v>180696</v>
      </c>
    </row>
    <row r="678" spans="2:19" x14ac:dyDescent="0.25">
      <c r="B678" s="73">
        <f t="shared" si="267"/>
        <v>103</v>
      </c>
      <c r="C678" s="21"/>
      <c r="D678" s="21"/>
      <c r="E678" s="21"/>
      <c r="F678" s="42" t="s">
        <v>302</v>
      </c>
      <c r="G678" s="97">
        <v>610</v>
      </c>
      <c r="H678" s="21" t="s">
        <v>245</v>
      </c>
      <c r="I678" s="15">
        <f>106400+900</f>
        <v>107300</v>
      </c>
      <c r="J678" s="15"/>
      <c r="K678" s="15">
        <f t="shared" si="270"/>
        <v>107300</v>
      </c>
      <c r="L678" s="130"/>
      <c r="M678" s="15"/>
      <c r="N678" s="15"/>
      <c r="O678" s="15">
        <f t="shared" si="268"/>
        <v>0</v>
      </c>
      <c r="Q678" s="15">
        <f t="shared" si="266"/>
        <v>107300</v>
      </c>
      <c r="R678" s="15">
        <f t="shared" si="276"/>
        <v>0</v>
      </c>
      <c r="S678" s="15">
        <f t="shared" si="277"/>
        <v>107300</v>
      </c>
    </row>
    <row r="679" spans="2:19" x14ac:dyDescent="0.25">
      <c r="B679" s="73">
        <f t="shared" si="267"/>
        <v>104</v>
      </c>
      <c r="C679" s="21"/>
      <c r="D679" s="21"/>
      <c r="E679" s="21"/>
      <c r="F679" s="42" t="s">
        <v>302</v>
      </c>
      <c r="G679" s="97">
        <v>620</v>
      </c>
      <c r="H679" s="21" t="s">
        <v>228</v>
      </c>
      <c r="I679" s="15">
        <f>40085+315</f>
        <v>40400</v>
      </c>
      <c r="J679" s="15"/>
      <c r="K679" s="15">
        <f t="shared" si="270"/>
        <v>40400</v>
      </c>
      <c r="L679" s="130"/>
      <c r="M679" s="15"/>
      <c r="N679" s="15"/>
      <c r="O679" s="15">
        <f t="shared" si="268"/>
        <v>0</v>
      </c>
      <c r="Q679" s="15">
        <f t="shared" si="266"/>
        <v>40400</v>
      </c>
      <c r="R679" s="15">
        <f t="shared" si="276"/>
        <v>0</v>
      </c>
      <c r="S679" s="15">
        <f t="shared" si="277"/>
        <v>40400</v>
      </c>
    </row>
    <row r="680" spans="2:19" x14ac:dyDescent="0.25">
      <c r="B680" s="73">
        <f t="shared" si="267"/>
        <v>105</v>
      </c>
      <c r="C680" s="21"/>
      <c r="D680" s="21"/>
      <c r="E680" s="21"/>
      <c r="F680" s="42" t="s">
        <v>302</v>
      </c>
      <c r="G680" s="97">
        <v>630</v>
      </c>
      <c r="H680" s="21" t="s">
        <v>218</v>
      </c>
      <c r="I680" s="15">
        <f>SUM(I681:I684)</f>
        <v>31456</v>
      </c>
      <c r="J680" s="15">
        <f t="shared" ref="J680" si="285">SUM(J681:J684)</f>
        <v>0</v>
      </c>
      <c r="K680" s="15">
        <f t="shared" si="270"/>
        <v>31456</v>
      </c>
      <c r="L680" s="130"/>
      <c r="M680" s="15"/>
      <c r="N680" s="15"/>
      <c r="O680" s="15">
        <f t="shared" si="268"/>
        <v>0</v>
      </c>
      <c r="Q680" s="15">
        <f t="shared" si="266"/>
        <v>31456</v>
      </c>
      <c r="R680" s="15">
        <f t="shared" si="276"/>
        <v>0</v>
      </c>
      <c r="S680" s="15">
        <f t="shared" si="277"/>
        <v>31456</v>
      </c>
    </row>
    <row r="681" spans="2:19" x14ac:dyDescent="0.25">
      <c r="B681" s="73">
        <f t="shared" si="267"/>
        <v>106</v>
      </c>
      <c r="C681" s="9"/>
      <c r="D681" s="9"/>
      <c r="E681" s="9"/>
      <c r="F681" s="43" t="s">
        <v>302</v>
      </c>
      <c r="G681" s="98">
        <v>632</v>
      </c>
      <c r="H681" s="9" t="s">
        <v>229</v>
      </c>
      <c r="I681" s="10">
        <v>14660</v>
      </c>
      <c r="J681" s="10"/>
      <c r="K681" s="10">
        <f t="shared" si="270"/>
        <v>14660</v>
      </c>
      <c r="L681" s="131"/>
      <c r="M681" s="10"/>
      <c r="N681" s="10"/>
      <c r="O681" s="10">
        <f t="shared" si="268"/>
        <v>0</v>
      </c>
      <c r="Q681" s="10">
        <f t="shared" si="266"/>
        <v>14660</v>
      </c>
      <c r="R681" s="10">
        <f t="shared" si="276"/>
        <v>0</v>
      </c>
      <c r="S681" s="10">
        <f t="shared" si="277"/>
        <v>14660</v>
      </c>
    </row>
    <row r="682" spans="2:19" x14ac:dyDescent="0.25">
      <c r="B682" s="73">
        <f t="shared" si="267"/>
        <v>107</v>
      </c>
      <c r="C682" s="9"/>
      <c r="D682" s="9"/>
      <c r="E682" s="9"/>
      <c r="F682" s="43" t="s">
        <v>302</v>
      </c>
      <c r="G682" s="98">
        <v>633</v>
      </c>
      <c r="H682" s="9" t="s">
        <v>220</v>
      </c>
      <c r="I682" s="10">
        <f>7430+651</f>
        <v>8081</v>
      </c>
      <c r="J682" s="10"/>
      <c r="K682" s="10">
        <f t="shared" si="270"/>
        <v>8081</v>
      </c>
      <c r="L682" s="131"/>
      <c r="M682" s="10"/>
      <c r="N682" s="10"/>
      <c r="O682" s="10">
        <f t="shared" si="268"/>
        <v>0</v>
      </c>
      <c r="Q682" s="10">
        <f t="shared" si="266"/>
        <v>8081</v>
      </c>
      <c r="R682" s="10">
        <f t="shared" si="276"/>
        <v>0</v>
      </c>
      <c r="S682" s="10">
        <f t="shared" si="277"/>
        <v>8081</v>
      </c>
    </row>
    <row r="683" spans="2:19" x14ac:dyDescent="0.25">
      <c r="B683" s="73">
        <f t="shared" si="267"/>
        <v>108</v>
      </c>
      <c r="C683" s="9"/>
      <c r="D683" s="9"/>
      <c r="E683" s="9"/>
      <c r="F683" s="43" t="s">
        <v>302</v>
      </c>
      <c r="G683" s="98">
        <v>635</v>
      </c>
      <c r="H683" s="9" t="s">
        <v>234</v>
      </c>
      <c r="I683" s="10">
        <v>4850</v>
      </c>
      <c r="J683" s="10"/>
      <c r="K683" s="10">
        <f t="shared" si="270"/>
        <v>4850</v>
      </c>
      <c r="L683" s="131"/>
      <c r="M683" s="10"/>
      <c r="N683" s="10"/>
      <c r="O683" s="10">
        <f t="shared" si="268"/>
        <v>0</v>
      </c>
      <c r="Q683" s="10">
        <f t="shared" si="266"/>
        <v>4850</v>
      </c>
      <c r="R683" s="10">
        <f t="shared" si="276"/>
        <v>0</v>
      </c>
      <c r="S683" s="10">
        <f t="shared" si="277"/>
        <v>4850</v>
      </c>
    </row>
    <row r="684" spans="2:19" x14ac:dyDescent="0.25">
      <c r="B684" s="73">
        <f t="shared" si="267"/>
        <v>109</v>
      </c>
      <c r="C684" s="9"/>
      <c r="D684" s="9"/>
      <c r="E684" s="9"/>
      <c r="F684" s="43" t="s">
        <v>302</v>
      </c>
      <c r="G684" s="98">
        <v>637</v>
      </c>
      <c r="H684" s="9" t="s">
        <v>223</v>
      </c>
      <c r="I684" s="10">
        <v>3865</v>
      </c>
      <c r="J684" s="10"/>
      <c r="K684" s="10">
        <f t="shared" si="270"/>
        <v>3865</v>
      </c>
      <c r="L684" s="131"/>
      <c r="M684" s="10"/>
      <c r="N684" s="10"/>
      <c r="O684" s="10">
        <f t="shared" si="268"/>
        <v>0</v>
      </c>
      <c r="Q684" s="10">
        <f t="shared" si="266"/>
        <v>3865</v>
      </c>
      <c r="R684" s="10">
        <f t="shared" si="276"/>
        <v>0</v>
      </c>
      <c r="S684" s="10">
        <f t="shared" si="277"/>
        <v>3865</v>
      </c>
    </row>
    <row r="685" spans="2:19" x14ac:dyDescent="0.25">
      <c r="B685" s="73">
        <f t="shared" si="267"/>
        <v>110</v>
      </c>
      <c r="C685" s="21"/>
      <c r="D685" s="21"/>
      <c r="E685" s="21"/>
      <c r="F685" s="42" t="s">
        <v>302</v>
      </c>
      <c r="G685" s="97">
        <v>640</v>
      </c>
      <c r="H685" s="21" t="s">
        <v>230</v>
      </c>
      <c r="I685" s="15">
        <v>1540</v>
      </c>
      <c r="J685" s="15"/>
      <c r="K685" s="15">
        <f t="shared" si="270"/>
        <v>1540</v>
      </c>
      <c r="L685" s="130"/>
      <c r="M685" s="15"/>
      <c r="N685" s="15"/>
      <c r="O685" s="15">
        <f t="shared" si="268"/>
        <v>0</v>
      </c>
      <c r="Q685" s="15">
        <f t="shared" si="266"/>
        <v>1540</v>
      </c>
      <c r="R685" s="15">
        <f t="shared" si="276"/>
        <v>0</v>
      </c>
      <c r="S685" s="15">
        <f t="shared" si="277"/>
        <v>1540</v>
      </c>
    </row>
    <row r="686" spans="2:19" x14ac:dyDescent="0.25">
      <c r="B686" s="73">
        <f t="shared" si="267"/>
        <v>111</v>
      </c>
      <c r="C686" s="40"/>
      <c r="D686" s="40"/>
      <c r="E686" s="40" t="s">
        <v>101</v>
      </c>
      <c r="F686" s="40"/>
      <c r="G686" s="96"/>
      <c r="H686" s="40" t="s">
        <v>102</v>
      </c>
      <c r="I686" s="41">
        <f>I687+I688+I689</f>
        <v>242226</v>
      </c>
      <c r="J686" s="41">
        <f t="shared" ref="J686" si="286">J687+J688+J689</f>
        <v>0</v>
      </c>
      <c r="K686" s="41">
        <f t="shared" si="270"/>
        <v>242226</v>
      </c>
      <c r="L686" s="130"/>
      <c r="M686" s="41">
        <v>0</v>
      </c>
      <c r="N686" s="41">
        <v>0</v>
      </c>
      <c r="O686" s="41">
        <f t="shared" si="268"/>
        <v>0</v>
      </c>
      <c r="Q686" s="41">
        <f t="shared" si="266"/>
        <v>242226</v>
      </c>
      <c r="R686" s="41">
        <f t="shared" si="276"/>
        <v>0</v>
      </c>
      <c r="S686" s="41">
        <f t="shared" si="277"/>
        <v>242226</v>
      </c>
    </row>
    <row r="687" spans="2:19" x14ac:dyDescent="0.25">
      <c r="B687" s="73">
        <f t="shared" si="267"/>
        <v>112</v>
      </c>
      <c r="C687" s="21"/>
      <c r="D687" s="21"/>
      <c r="E687" s="21"/>
      <c r="F687" s="42" t="s">
        <v>302</v>
      </c>
      <c r="G687" s="97">
        <v>610</v>
      </c>
      <c r="H687" s="21" t="s">
        <v>245</v>
      </c>
      <c r="I687" s="15">
        <f>131218+1080</f>
        <v>132298</v>
      </c>
      <c r="J687" s="15"/>
      <c r="K687" s="15">
        <f t="shared" si="270"/>
        <v>132298</v>
      </c>
      <c r="L687" s="130"/>
      <c r="M687" s="15"/>
      <c r="N687" s="15"/>
      <c r="O687" s="15">
        <f t="shared" si="268"/>
        <v>0</v>
      </c>
      <c r="Q687" s="15">
        <f t="shared" si="266"/>
        <v>132298</v>
      </c>
      <c r="R687" s="15">
        <f t="shared" si="276"/>
        <v>0</v>
      </c>
      <c r="S687" s="15">
        <f t="shared" si="277"/>
        <v>132298</v>
      </c>
    </row>
    <row r="688" spans="2:19" x14ac:dyDescent="0.25">
      <c r="B688" s="73">
        <f t="shared" si="267"/>
        <v>113</v>
      </c>
      <c r="C688" s="21"/>
      <c r="D688" s="21"/>
      <c r="E688" s="21"/>
      <c r="F688" s="42" t="s">
        <v>302</v>
      </c>
      <c r="G688" s="97">
        <v>620</v>
      </c>
      <c r="H688" s="21" t="s">
        <v>228</v>
      </c>
      <c r="I688" s="15">
        <f>48695+378</f>
        <v>49073</v>
      </c>
      <c r="J688" s="15"/>
      <c r="K688" s="15">
        <f t="shared" si="270"/>
        <v>49073</v>
      </c>
      <c r="L688" s="130"/>
      <c r="M688" s="15"/>
      <c r="N688" s="15"/>
      <c r="O688" s="15">
        <f t="shared" si="268"/>
        <v>0</v>
      </c>
      <c r="Q688" s="15">
        <f t="shared" si="266"/>
        <v>49073</v>
      </c>
      <c r="R688" s="15">
        <f t="shared" si="276"/>
        <v>0</v>
      </c>
      <c r="S688" s="15">
        <f t="shared" si="277"/>
        <v>49073</v>
      </c>
    </row>
    <row r="689" spans="2:19" x14ac:dyDescent="0.25">
      <c r="B689" s="73">
        <f t="shared" si="267"/>
        <v>114</v>
      </c>
      <c r="C689" s="21"/>
      <c r="D689" s="21"/>
      <c r="E689" s="21"/>
      <c r="F689" s="42" t="s">
        <v>302</v>
      </c>
      <c r="G689" s="97">
        <v>630</v>
      </c>
      <c r="H689" s="21" t="s">
        <v>218</v>
      </c>
      <c r="I689" s="15">
        <f>SUM(I690:I693)</f>
        <v>60855</v>
      </c>
      <c r="J689" s="15">
        <f t="shared" ref="J689" si="287">SUM(J690:J693)</f>
        <v>0</v>
      </c>
      <c r="K689" s="15">
        <f t="shared" si="270"/>
        <v>60855</v>
      </c>
      <c r="L689" s="130"/>
      <c r="M689" s="15"/>
      <c r="N689" s="15"/>
      <c r="O689" s="15">
        <f t="shared" si="268"/>
        <v>0</v>
      </c>
      <c r="Q689" s="15">
        <f t="shared" si="266"/>
        <v>60855</v>
      </c>
      <c r="R689" s="15">
        <f t="shared" si="276"/>
        <v>0</v>
      </c>
      <c r="S689" s="15">
        <f t="shared" si="277"/>
        <v>60855</v>
      </c>
    </row>
    <row r="690" spans="2:19" x14ac:dyDescent="0.25">
      <c r="B690" s="73">
        <f t="shared" si="267"/>
        <v>115</v>
      </c>
      <c r="C690" s="9"/>
      <c r="D690" s="9"/>
      <c r="E690" s="9"/>
      <c r="F690" s="43" t="s">
        <v>302</v>
      </c>
      <c r="G690" s="98">
        <v>632</v>
      </c>
      <c r="H690" s="9" t="s">
        <v>229</v>
      </c>
      <c r="I690" s="10">
        <v>39100</v>
      </c>
      <c r="J690" s="10"/>
      <c r="K690" s="10">
        <f t="shared" si="270"/>
        <v>39100</v>
      </c>
      <c r="L690" s="131"/>
      <c r="M690" s="10"/>
      <c r="N690" s="10"/>
      <c r="O690" s="10">
        <f t="shared" si="268"/>
        <v>0</v>
      </c>
      <c r="Q690" s="10">
        <f t="shared" si="266"/>
        <v>39100</v>
      </c>
      <c r="R690" s="10">
        <f t="shared" si="276"/>
        <v>0</v>
      </c>
      <c r="S690" s="10">
        <f t="shared" si="277"/>
        <v>39100</v>
      </c>
    </row>
    <row r="691" spans="2:19" x14ac:dyDescent="0.25">
      <c r="B691" s="73">
        <f t="shared" si="267"/>
        <v>116</v>
      </c>
      <c r="C691" s="9"/>
      <c r="D691" s="9"/>
      <c r="E691" s="9"/>
      <c r="F691" s="43" t="s">
        <v>302</v>
      </c>
      <c r="G691" s="98">
        <v>633</v>
      </c>
      <c r="H691" s="9" t="s">
        <v>220</v>
      </c>
      <c r="I691" s="10">
        <f>15058-163</f>
        <v>14895</v>
      </c>
      <c r="J691" s="10"/>
      <c r="K691" s="10">
        <f t="shared" si="270"/>
        <v>14895</v>
      </c>
      <c r="L691" s="131"/>
      <c r="M691" s="10"/>
      <c r="N691" s="10"/>
      <c r="O691" s="10">
        <f t="shared" si="268"/>
        <v>0</v>
      </c>
      <c r="Q691" s="10">
        <f t="shared" si="266"/>
        <v>14895</v>
      </c>
      <c r="R691" s="10">
        <f t="shared" si="276"/>
        <v>0</v>
      </c>
      <c r="S691" s="10">
        <f t="shared" si="277"/>
        <v>14895</v>
      </c>
    </row>
    <row r="692" spans="2:19" x14ac:dyDescent="0.25">
      <c r="B692" s="73">
        <f t="shared" si="267"/>
        <v>117</v>
      </c>
      <c r="C692" s="9"/>
      <c r="D692" s="9"/>
      <c r="E692" s="9"/>
      <c r="F692" s="43" t="s">
        <v>302</v>
      </c>
      <c r="G692" s="98">
        <v>635</v>
      </c>
      <c r="H692" s="9" t="s">
        <v>234</v>
      </c>
      <c r="I692" s="10">
        <v>3150</v>
      </c>
      <c r="J692" s="10"/>
      <c r="K692" s="10">
        <f t="shared" si="270"/>
        <v>3150</v>
      </c>
      <c r="L692" s="131"/>
      <c r="M692" s="10"/>
      <c r="N692" s="10"/>
      <c r="O692" s="10">
        <f t="shared" si="268"/>
        <v>0</v>
      </c>
      <c r="Q692" s="10">
        <f t="shared" si="266"/>
        <v>3150</v>
      </c>
      <c r="R692" s="10">
        <f t="shared" si="276"/>
        <v>0</v>
      </c>
      <c r="S692" s="10">
        <f t="shared" si="277"/>
        <v>3150</v>
      </c>
    </row>
    <row r="693" spans="2:19" x14ac:dyDescent="0.25">
      <c r="B693" s="73">
        <f t="shared" si="267"/>
        <v>118</v>
      </c>
      <c r="C693" s="9"/>
      <c r="D693" s="9"/>
      <c r="E693" s="9"/>
      <c r="F693" s="43" t="s">
        <v>302</v>
      </c>
      <c r="G693" s="98">
        <v>637</v>
      </c>
      <c r="H693" s="9" t="s">
        <v>223</v>
      </c>
      <c r="I693" s="10">
        <v>3710</v>
      </c>
      <c r="J693" s="10"/>
      <c r="K693" s="10">
        <f t="shared" si="270"/>
        <v>3710</v>
      </c>
      <c r="L693" s="131"/>
      <c r="M693" s="10"/>
      <c r="N693" s="10"/>
      <c r="O693" s="10">
        <f t="shared" si="268"/>
        <v>0</v>
      </c>
      <c r="Q693" s="10">
        <f t="shared" si="266"/>
        <v>3710</v>
      </c>
      <c r="R693" s="10">
        <f t="shared" si="276"/>
        <v>0</v>
      </c>
      <c r="S693" s="10">
        <f t="shared" si="277"/>
        <v>3710</v>
      </c>
    </row>
    <row r="694" spans="2:19" x14ac:dyDescent="0.25">
      <c r="B694" s="73">
        <f t="shared" si="267"/>
        <v>119</v>
      </c>
      <c r="C694" s="40"/>
      <c r="D694" s="40"/>
      <c r="E694" s="40" t="s">
        <v>103</v>
      </c>
      <c r="F694" s="40"/>
      <c r="G694" s="96"/>
      <c r="H694" s="40" t="s">
        <v>104</v>
      </c>
      <c r="I694" s="41">
        <f>I695+I696+I697+I702</f>
        <v>256362</v>
      </c>
      <c r="J694" s="41">
        <f t="shared" ref="J694" si="288">J695+J696+J697+J702</f>
        <v>0</v>
      </c>
      <c r="K694" s="41">
        <f t="shared" si="270"/>
        <v>256362</v>
      </c>
      <c r="L694" s="130"/>
      <c r="M694" s="41">
        <f>M703</f>
        <v>3500</v>
      </c>
      <c r="N694" s="41">
        <f t="shared" ref="N694" si="289">N703</f>
        <v>0</v>
      </c>
      <c r="O694" s="41">
        <f t="shared" si="268"/>
        <v>3500</v>
      </c>
      <c r="Q694" s="41">
        <f t="shared" si="266"/>
        <v>259862</v>
      </c>
      <c r="R694" s="41">
        <f t="shared" si="276"/>
        <v>0</v>
      </c>
      <c r="S694" s="41">
        <f t="shared" si="277"/>
        <v>259862</v>
      </c>
    </row>
    <row r="695" spans="2:19" x14ac:dyDescent="0.25">
      <c r="B695" s="73">
        <f t="shared" si="267"/>
        <v>120</v>
      </c>
      <c r="C695" s="21"/>
      <c r="D695" s="21"/>
      <c r="E695" s="21"/>
      <c r="F695" s="42" t="s">
        <v>302</v>
      </c>
      <c r="G695" s="97">
        <v>610</v>
      </c>
      <c r="H695" s="21" t="s">
        <v>245</v>
      </c>
      <c r="I695" s="15">
        <f>148588+1440</f>
        <v>150028</v>
      </c>
      <c r="J695" s="15"/>
      <c r="K695" s="15">
        <f t="shared" si="270"/>
        <v>150028</v>
      </c>
      <c r="L695" s="130"/>
      <c r="M695" s="15"/>
      <c r="N695" s="15"/>
      <c r="O695" s="15">
        <f t="shared" si="268"/>
        <v>0</v>
      </c>
      <c r="Q695" s="15">
        <f t="shared" si="266"/>
        <v>150028</v>
      </c>
      <c r="R695" s="15">
        <f t="shared" si="276"/>
        <v>0</v>
      </c>
      <c r="S695" s="15">
        <f t="shared" si="277"/>
        <v>150028</v>
      </c>
    </row>
    <row r="696" spans="2:19" x14ac:dyDescent="0.25">
      <c r="B696" s="73">
        <f t="shared" si="267"/>
        <v>121</v>
      </c>
      <c r="C696" s="21"/>
      <c r="D696" s="21"/>
      <c r="E696" s="21"/>
      <c r="F696" s="42" t="s">
        <v>302</v>
      </c>
      <c r="G696" s="97">
        <v>620</v>
      </c>
      <c r="H696" s="21" t="s">
        <v>228</v>
      </c>
      <c r="I696" s="15">
        <f>55744+504</f>
        <v>56248</v>
      </c>
      <c r="J696" s="15"/>
      <c r="K696" s="15">
        <f t="shared" si="270"/>
        <v>56248</v>
      </c>
      <c r="L696" s="130"/>
      <c r="M696" s="15"/>
      <c r="N696" s="15"/>
      <c r="O696" s="15">
        <f t="shared" si="268"/>
        <v>0</v>
      </c>
      <c r="Q696" s="15">
        <f t="shared" si="266"/>
        <v>56248</v>
      </c>
      <c r="R696" s="15">
        <f t="shared" si="276"/>
        <v>0</v>
      </c>
      <c r="S696" s="15">
        <f t="shared" si="277"/>
        <v>56248</v>
      </c>
    </row>
    <row r="697" spans="2:19" x14ac:dyDescent="0.25">
      <c r="B697" s="73">
        <f t="shared" si="267"/>
        <v>122</v>
      </c>
      <c r="C697" s="21"/>
      <c r="D697" s="21"/>
      <c r="E697" s="21"/>
      <c r="F697" s="42" t="s">
        <v>302</v>
      </c>
      <c r="G697" s="97">
        <v>630</v>
      </c>
      <c r="H697" s="21" t="s">
        <v>218</v>
      </c>
      <c r="I697" s="15">
        <f>SUM(I698:I701)</f>
        <v>48546</v>
      </c>
      <c r="J697" s="15">
        <f t="shared" ref="J697" si="290">SUM(J698:J701)</f>
        <v>0</v>
      </c>
      <c r="K697" s="15">
        <f t="shared" si="270"/>
        <v>48546</v>
      </c>
      <c r="L697" s="130"/>
      <c r="M697" s="15"/>
      <c r="N697" s="15"/>
      <c r="O697" s="15">
        <f t="shared" si="268"/>
        <v>0</v>
      </c>
      <c r="Q697" s="15">
        <f t="shared" si="266"/>
        <v>48546</v>
      </c>
      <c r="R697" s="15">
        <f t="shared" si="276"/>
        <v>0</v>
      </c>
      <c r="S697" s="15">
        <f t="shared" si="277"/>
        <v>48546</v>
      </c>
    </row>
    <row r="698" spans="2:19" x14ac:dyDescent="0.25">
      <c r="B698" s="73">
        <f t="shared" si="267"/>
        <v>123</v>
      </c>
      <c r="C698" s="9"/>
      <c r="D698" s="9"/>
      <c r="E698" s="9"/>
      <c r="F698" s="43" t="s">
        <v>302</v>
      </c>
      <c r="G698" s="98">
        <v>632</v>
      </c>
      <c r="H698" s="9" t="s">
        <v>229</v>
      </c>
      <c r="I698" s="10">
        <v>28780</v>
      </c>
      <c r="J698" s="10"/>
      <c r="K698" s="10">
        <f t="shared" si="270"/>
        <v>28780</v>
      </c>
      <c r="L698" s="131"/>
      <c r="M698" s="10"/>
      <c r="N698" s="10"/>
      <c r="O698" s="10">
        <f t="shared" si="268"/>
        <v>0</v>
      </c>
      <c r="Q698" s="10">
        <f t="shared" si="266"/>
        <v>28780</v>
      </c>
      <c r="R698" s="10">
        <f t="shared" si="276"/>
        <v>0</v>
      </c>
      <c r="S698" s="10">
        <f t="shared" si="277"/>
        <v>28780</v>
      </c>
    </row>
    <row r="699" spans="2:19" x14ac:dyDescent="0.25">
      <c r="B699" s="73">
        <f t="shared" si="267"/>
        <v>124</v>
      </c>
      <c r="C699" s="9"/>
      <c r="D699" s="9"/>
      <c r="E699" s="9"/>
      <c r="F699" s="43" t="s">
        <v>302</v>
      </c>
      <c r="G699" s="98">
        <v>633</v>
      </c>
      <c r="H699" s="9" t="s">
        <v>220</v>
      </c>
      <c r="I699" s="10">
        <f>12078-162</f>
        <v>11916</v>
      </c>
      <c r="J699" s="10"/>
      <c r="K699" s="10">
        <f t="shared" si="270"/>
        <v>11916</v>
      </c>
      <c r="L699" s="131"/>
      <c r="M699" s="10"/>
      <c r="N699" s="10"/>
      <c r="O699" s="10">
        <f t="shared" si="268"/>
        <v>0</v>
      </c>
      <c r="Q699" s="10">
        <f t="shared" si="266"/>
        <v>11916</v>
      </c>
      <c r="R699" s="10">
        <f t="shared" si="276"/>
        <v>0</v>
      </c>
      <c r="S699" s="10">
        <f t="shared" si="277"/>
        <v>11916</v>
      </c>
    </row>
    <row r="700" spans="2:19" x14ac:dyDescent="0.25">
      <c r="B700" s="73">
        <f t="shared" si="267"/>
        <v>125</v>
      </c>
      <c r="C700" s="9"/>
      <c r="D700" s="9"/>
      <c r="E700" s="9"/>
      <c r="F700" s="43" t="s">
        <v>302</v>
      </c>
      <c r="G700" s="98">
        <v>635</v>
      </c>
      <c r="H700" s="9" t="s">
        <v>234</v>
      </c>
      <c r="I700" s="10">
        <v>3150</v>
      </c>
      <c r="J700" s="10"/>
      <c r="K700" s="10">
        <f t="shared" si="270"/>
        <v>3150</v>
      </c>
      <c r="L700" s="131"/>
      <c r="M700" s="10"/>
      <c r="N700" s="10"/>
      <c r="O700" s="10">
        <f t="shared" si="268"/>
        <v>0</v>
      </c>
      <c r="Q700" s="10">
        <f t="shared" si="266"/>
        <v>3150</v>
      </c>
      <c r="R700" s="10">
        <f t="shared" si="276"/>
        <v>0</v>
      </c>
      <c r="S700" s="10">
        <f t="shared" si="277"/>
        <v>3150</v>
      </c>
    </row>
    <row r="701" spans="2:19" x14ac:dyDescent="0.25">
      <c r="B701" s="73">
        <f t="shared" si="267"/>
        <v>126</v>
      </c>
      <c r="C701" s="9"/>
      <c r="D701" s="9"/>
      <c r="E701" s="9"/>
      <c r="F701" s="43" t="s">
        <v>302</v>
      </c>
      <c r="G701" s="98">
        <v>637</v>
      </c>
      <c r="H701" s="9" t="s">
        <v>223</v>
      </c>
      <c r="I701" s="10">
        <v>4700</v>
      </c>
      <c r="J701" s="10"/>
      <c r="K701" s="10">
        <f t="shared" si="270"/>
        <v>4700</v>
      </c>
      <c r="L701" s="131"/>
      <c r="M701" s="10"/>
      <c r="N701" s="10"/>
      <c r="O701" s="10">
        <f t="shared" si="268"/>
        <v>0</v>
      </c>
      <c r="Q701" s="10">
        <f t="shared" si="266"/>
        <v>4700</v>
      </c>
      <c r="R701" s="10">
        <f t="shared" si="276"/>
        <v>0</v>
      </c>
      <c r="S701" s="10">
        <f t="shared" si="277"/>
        <v>4700</v>
      </c>
    </row>
    <row r="702" spans="2:19" x14ac:dyDescent="0.25">
      <c r="B702" s="73">
        <f t="shared" si="267"/>
        <v>127</v>
      </c>
      <c r="C702" s="21"/>
      <c r="D702" s="21"/>
      <c r="E702" s="21"/>
      <c r="F702" s="42" t="s">
        <v>302</v>
      </c>
      <c r="G702" s="97">
        <v>640</v>
      </c>
      <c r="H702" s="21" t="s">
        <v>230</v>
      </c>
      <c r="I702" s="15">
        <v>1540</v>
      </c>
      <c r="J702" s="15"/>
      <c r="K702" s="15">
        <f t="shared" si="270"/>
        <v>1540</v>
      </c>
      <c r="L702" s="130"/>
      <c r="M702" s="15"/>
      <c r="N702" s="15"/>
      <c r="O702" s="15">
        <f t="shared" si="268"/>
        <v>0</v>
      </c>
      <c r="Q702" s="15">
        <f t="shared" si="266"/>
        <v>1540</v>
      </c>
      <c r="R702" s="15">
        <f t="shared" si="276"/>
        <v>0</v>
      </c>
      <c r="S702" s="15">
        <f t="shared" si="277"/>
        <v>1540</v>
      </c>
    </row>
    <row r="703" spans="2:19" x14ac:dyDescent="0.25">
      <c r="B703" s="73">
        <f t="shared" si="267"/>
        <v>128</v>
      </c>
      <c r="C703" s="21"/>
      <c r="D703" s="21"/>
      <c r="E703" s="21"/>
      <c r="F703" s="42" t="s">
        <v>302</v>
      </c>
      <c r="G703" s="97">
        <v>710</v>
      </c>
      <c r="H703" s="21" t="s">
        <v>235</v>
      </c>
      <c r="I703" s="15"/>
      <c r="J703" s="15"/>
      <c r="K703" s="15">
        <f t="shared" si="270"/>
        <v>0</v>
      </c>
      <c r="L703" s="130"/>
      <c r="M703" s="15">
        <f>M704</f>
        <v>3500</v>
      </c>
      <c r="N703" s="15">
        <f t="shared" ref="N703:N704" si="291">N704</f>
        <v>0</v>
      </c>
      <c r="O703" s="15">
        <f t="shared" si="268"/>
        <v>3500</v>
      </c>
      <c r="Q703" s="15">
        <f t="shared" si="266"/>
        <v>3500</v>
      </c>
      <c r="R703" s="15">
        <f t="shared" si="276"/>
        <v>0</v>
      </c>
      <c r="S703" s="15">
        <f t="shared" si="277"/>
        <v>3500</v>
      </c>
    </row>
    <row r="704" spans="2:19" x14ac:dyDescent="0.25">
      <c r="B704" s="73">
        <f t="shared" si="267"/>
        <v>129</v>
      </c>
      <c r="C704" s="9"/>
      <c r="D704" s="9"/>
      <c r="E704" s="9"/>
      <c r="F704" s="43" t="s">
        <v>302</v>
      </c>
      <c r="G704" s="98">
        <v>717</v>
      </c>
      <c r="H704" s="9" t="s">
        <v>240</v>
      </c>
      <c r="I704" s="10"/>
      <c r="J704" s="10"/>
      <c r="K704" s="10">
        <f t="shared" si="270"/>
        <v>0</v>
      </c>
      <c r="L704" s="131"/>
      <c r="M704" s="10">
        <f>M705</f>
        <v>3500</v>
      </c>
      <c r="N704" s="10">
        <f t="shared" si="291"/>
        <v>0</v>
      </c>
      <c r="O704" s="10">
        <f t="shared" si="268"/>
        <v>3500</v>
      </c>
      <c r="Q704" s="10">
        <f t="shared" ref="Q704:Q766" si="292">I704+M704</f>
        <v>3500</v>
      </c>
      <c r="R704" s="10">
        <f t="shared" si="276"/>
        <v>0</v>
      </c>
      <c r="S704" s="10">
        <f t="shared" si="277"/>
        <v>3500</v>
      </c>
    </row>
    <row r="705" spans="2:19" x14ac:dyDescent="0.25">
      <c r="B705" s="73">
        <f t="shared" ref="B705:B768" si="293">B704+1</f>
        <v>130</v>
      </c>
      <c r="C705" s="12"/>
      <c r="D705" s="12"/>
      <c r="E705" s="12"/>
      <c r="F705" s="12"/>
      <c r="G705" s="99"/>
      <c r="H705" s="12" t="s">
        <v>534</v>
      </c>
      <c r="I705" s="13"/>
      <c r="J705" s="13"/>
      <c r="K705" s="13">
        <f t="shared" si="270"/>
        <v>0</v>
      </c>
      <c r="L705" s="132"/>
      <c r="M705" s="13">
        <v>3500</v>
      </c>
      <c r="N705" s="13"/>
      <c r="O705" s="13">
        <f t="shared" ref="O705:O768" si="294">M705+N705</f>
        <v>3500</v>
      </c>
      <c r="Q705" s="13">
        <f t="shared" si="292"/>
        <v>3500</v>
      </c>
      <c r="R705" s="13">
        <f t="shared" si="276"/>
        <v>0</v>
      </c>
      <c r="S705" s="13">
        <f t="shared" si="277"/>
        <v>3500</v>
      </c>
    </row>
    <row r="706" spans="2:19" x14ac:dyDescent="0.25">
      <c r="B706" s="73">
        <f t="shared" si="293"/>
        <v>131</v>
      </c>
      <c r="C706" s="40"/>
      <c r="D706" s="40"/>
      <c r="E706" s="40" t="s">
        <v>105</v>
      </c>
      <c r="F706" s="40"/>
      <c r="G706" s="96"/>
      <c r="H706" s="40" t="s">
        <v>106</v>
      </c>
      <c r="I706" s="41">
        <f>I707+I708+I709</f>
        <v>163052</v>
      </c>
      <c r="J706" s="41">
        <f t="shared" ref="J706" si="295">J707+J708+J709</f>
        <v>0</v>
      </c>
      <c r="K706" s="41">
        <f t="shared" si="270"/>
        <v>163052</v>
      </c>
      <c r="L706" s="130"/>
      <c r="M706" s="41">
        <v>0</v>
      </c>
      <c r="N706" s="41">
        <v>0</v>
      </c>
      <c r="O706" s="41">
        <f t="shared" si="294"/>
        <v>0</v>
      </c>
      <c r="Q706" s="41">
        <f t="shared" si="292"/>
        <v>163052</v>
      </c>
      <c r="R706" s="41">
        <f t="shared" si="276"/>
        <v>0</v>
      </c>
      <c r="S706" s="41">
        <f t="shared" si="277"/>
        <v>163052</v>
      </c>
    </row>
    <row r="707" spans="2:19" x14ac:dyDescent="0.25">
      <c r="B707" s="73">
        <f t="shared" si="293"/>
        <v>132</v>
      </c>
      <c r="C707" s="21"/>
      <c r="D707" s="21"/>
      <c r="E707" s="21"/>
      <c r="F707" s="42" t="s">
        <v>302</v>
      </c>
      <c r="G707" s="97">
        <v>610</v>
      </c>
      <c r="H707" s="21" t="s">
        <v>245</v>
      </c>
      <c r="I707" s="15">
        <f>96192+720</f>
        <v>96912</v>
      </c>
      <c r="J707" s="15"/>
      <c r="K707" s="15">
        <f t="shared" ref="K707:K770" si="296">I707+J707</f>
        <v>96912</v>
      </c>
      <c r="L707" s="130"/>
      <c r="M707" s="15"/>
      <c r="N707" s="15"/>
      <c r="O707" s="15">
        <f t="shared" si="294"/>
        <v>0</v>
      </c>
      <c r="Q707" s="15">
        <f t="shared" si="292"/>
        <v>96912</v>
      </c>
      <c r="R707" s="15">
        <f t="shared" si="276"/>
        <v>0</v>
      </c>
      <c r="S707" s="15">
        <f t="shared" si="277"/>
        <v>96912</v>
      </c>
    </row>
    <row r="708" spans="2:19" x14ac:dyDescent="0.25">
      <c r="B708" s="73">
        <f t="shared" si="293"/>
        <v>133</v>
      </c>
      <c r="C708" s="21"/>
      <c r="D708" s="21"/>
      <c r="E708" s="21"/>
      <c r="F708" s="42" t="s">
        <v>302</v>
      </c>
      <c r="G708" s="97">
        <v>620</v>
      </c>
      <c r="H708" s="21" t="s">
        <v>228</v>
      </c>
      <c r="I708" s="15">
        <f>35678+252</f>
        <v>35930</v>
      </c>
      <c r="J708" s="15"/>
      <c r="K708" s="15">
        <f t="shared" si="296"/>
        <v>35930</v>
      </c>
      <c r="L708" s="130"/>
      <c r="M708" s="15"/>
      <c r="N708" s="15"/>
      <c r="O708" s="15">
        <f t="shared" si="294"/>
        <v>0</v>
      </c>
      <c r="Q708" s="15">
        <f t="shared" si="292"/>
        <v>35930</v>
      </c>
      <c r="R708" s="15">
        <f t="shared" si="276"/>
        <v>0</v>
      </c>
      <c r="S708" s="15">
        <f t="shared" si="277"/>
        <v>35930</v>
      </c>
    </row>
    <row r="709" spans="2:19" x14ac:dyDescent="0.25">
      <c r="B709" s="73">
        <f t="shared" si="293"/>
        <v>134</v>
      </c>
      <c r="C709" s="21"/>
      <c r="D709" s="21"/>
      <c r="E709" s="21"/>
      <c r="F709" s="42" t="s">
        <v>302</v>
      </c>
      <c r="G709" s="97">
        <v>630</v>
      </c>
      <c r="H709" s="21" t="s">
        <v>218</v>
      </c>
      <c r="I709" s="15">
        <f>SUM(I710:I714)</f>
        <v>30210</v>
      </c>
      <c r="J709" s="15">
        <f t="shared" ref="J709" si="297">SUM(J710:J714)</f>
        <v>0</v>
      </c>
      <c r="K709" s="15">
        <f t="shared" si="296"/>
        <v>30210</v>
      </c>
      <c r="L709" s="130"/>
      <c r="M709" s="15"/>
      <c r="N709" s="15"/>
      <c r="O709" s="15">
        <f t="shared" si="294"/>
        <v>0</v>
      </c>
      <c r="Q709" s="15">
        <f t="shared" si="292"/>
        <v>30210</v>
      </c>
      <c r="R709" s="15">
        <f t="shared" si="276"/>
        <v>0</v>
      </c>
      <c r="S709" s="15">
        <f t="shared" si="277"/>
        <v>30210</v>
      </c>
    </row>
    <row r="710" spans="2:19" x14ac:dyDescent="0.25">
      <c r="B710" s="73">
        <f t="shared" si="293"/>
        <v>135</v>
      </c>
      <c r="C710" s="9"/>
      <c r="D710" s="9"/>
      <c r="E710" s="9"/>
      <c r="F710" s="43" t="s">
        <v>302</v>
      </c>
      <c r="G710" s="98">
        <v>632</v>
      </c>
      <c r="H710" s="9" t="s">
        <v>229</v>
      </c>
      <c r="I710" s="10">
        <v>13640</v>
      </c>
      <c r="J710" s="10"/>
      <c r="K710" s="10">
        <f t="shared" si="296"/>
        <v>13640</v>
      </c>
      <c r="L710" s="131"/>
      <c r="M710" s="10"/>
      <c r="N710" s="10"/>
      <c r="O710" s="10">
        <f t="shared" si="294"/>
        <v>0</v>
      </c>
      <c r="Q710" s="10">
        <f t="shared" si="292"/>
        <v>13640</v>
      </c>
      <c r="R710" s="10">
        <f t="shared" si="276"/>
        <v>0</v>
      </c>
      <c r="S710" s="10">
        <f t="shared" si="277"/>
        <v>13640</v>
      </c>
    </row>
    <row r="711" spans="2:19" x14ac:dyDescent="0.25">
      <c r="B711" s="73">
        <f t="shared" si="293"/>
        <v>136</v>
      </c>
      <c r="C711" s="9"/>
      <c r="D711" s="9"/>
      <c r="E711" s="9"/>
      <c r="F711" s="43" t="s">
        <v>302</v>
      </c>
      <c r="G711" s="98">
        <v>633</v>
      </c>
      <c r="H711" s="9" t="s">
        <v>220</v>
      </c>
      <c r="I711" s="10">
        <f>6468+162</f>
        <v>6630</v>
      </c>
      <c r="J711" s="10"/>
      <c r="K711" s="10">
        <f t="shared" si="296"/>
        <v>6630</v>
      </c>
      <c r="L711" s="131"/>
      <c r="M711" s="10"/>
      <c r="N711" s="10"/>
      <c r="O711" s="10">
        <f t="shared" si="294"/>
        <v>0</v>
      </c>
      <c r="Q711" s="10">
        <f t="shared" si="292"/>
        <v>6630</v>
      </c>
      <c r="R711" s="10">
        <f t="shared" si="276"/>
        <v>0</v>
      </c>
      <c r="S711" s="10">
        <f t="shared" si="277"/>
        <v>6630</v>
      </c>
    </row>
    <row r="712" spans="2:19" x14ac:dyDescent="0.25">
      <c r="B712" s="73">
        <f t="shared" si="293"/>
        <v>137</v>
      </c>
      <c r="C712" s="9"/>
      <c r="D712" s="9"/>
      <c r="E712" s="9"/>
      <c r="F712" s="43" t="s">
        <v>302</v>
      </c>
      <c r="G712" s="98">
        <v>635</v>
      </c>
      <c r="H712" s="9" t="s">
        <v>234</v>
      </c>
      <c r="I712" s="10">
        <v>2000</v>
      </c>
      <c r="J712" s="10"/>
      <c r="K712" s="10">
        <f t="shared" si="296"/>
        <v>2000</v>
      </c>
      <c r="L712" s="131"/>
      <c r="M712" s="10"/>
      <c r="N712" s="10"/>
      <c r="O712" s="10">
        <f t="shared" si="294"/>
        <v>0</v>
      </c>
      <c r="Q712" s="10">
        <f t="shared" si="292"/>
        <v>2000</v>
      </c>
      <c r="R712" s="10">
        <f t="shared" si="276"/>
        <v>0</v>
      </c>
      <c r="S712" s="10">
        <f t="shared" si="277"/>
        <v>2000</v>
      </c>
    </row>
    <row r="713" spans="2:19" x14ac:dyDescent="0.25">
      <c r="B713" s="73">
        <f t="shared" si="293"/>
        <v>138</v>
      </c>
      <c r="C713" s="9"/>
      <c r="D713" s="9"/>
      <c r="E713" s="9"/>
      <c r="F713" s="43" t="s">
        <v>302</v>
      </c>
      <c r="G713" s="98">
        <v>635</v>
      </c>
      <c r="H713" s="9" t="s">
        <v>523</v>
      </c>
      <c r="I713" s="10">
        <v>5000</v>
      </c>
      <c r="J713" s="10"/>
      <c r="K713" s="10">
        <f t="shared" si="296"/>
        <v>5000</v>
      </c>
      <c r="L713" s="131"/>
      <c r="M713" s="10"/>
      <c r="N713" s="10"/>
      <c r="O713" s="10">
        <f t="shared" si="294"/>
        <v>0</v>
      </c>
      <c r="Q713" s="10">
        <f t="shared" si="292"/>
        <v>5000</v>
      </c>
      <c r="R713" s="10">
        <f t="shared" si="276"/>
        <v>0</v>
      </c>
      <c r="S713" s="10">
        <f t="shared" si="277"/>
        <v>5000</v>
      </c>
    </row>
    <row r="714" spans="2:19" x14ac:dyDescent="0.25">
      <c r="B714" s="73">
        <f t="shared" si="293"/>
        <v>139</v>
      </c>
      <c r="C714" s="9"/>
      <c r="D714" s="9"/>
      <c r="E714" s="9"/>
      <c r="F714" s="43" t="s">
        <v>302</v>
      </c>
      <c r="G714" s="98">
        <v>637</v>
      </c>
      <c r="H714" s="9" t="s">
        <v>223</v>
      </c>
      <c r="I714" s="10">
        <v>2940</v>
      </c>
      <c r="J714" s="10"/>
      <c r="K714" s="10">
        <f t="shared" si="296"/>
        <v>2940</v>
      </c>
      <c r="L714" s="131"/>
      <c r="M714" s="10"/>
      <c r="N714" s="10"/>
      <c r="O714" s="10">
        <f t="shared" si="294"/>
        <v>0</v>
      </c>
      <c r="Q714" s="10">
        <f t="shared" si="292"/>
        <v>2940</v>
      </c>
      <c r="R714" s="10">
        <f t="shared" si="276"/>
        <v>0</v>
      </c>
      <c r="S714" s="10">
        <f t="shared" si="277"/>
        <v>2940</v>
      </c>
    </row>
    <row r="715" spans="2:19" x14ac:dyDescent="0.25">
      <c r="B715" s="73">
        <f t="shared" si="293"/>
        <v>140</v>
      </c>
      <c r="C715" s="40"/>
      <c r="D715" s="40"/>
      <c r="E715" s="40" t="s">
        <v>107</v>
      </c>
      <c r="F715" s="40"/>
      <c r="G715" s="96"/>
      <c r="H715" s="40" t="s">
        <v>108</v>
      </c>
      <c r="I715" s="41">
        <f>I716+I717+I718</f>
        <v>79188</v>
      </c>
      <c r="J715" s="41">
        <f t="shared" ref="J715" si="298">J716+J717+J718</f>
        <v>0</v>
      </c>
      <c r="K715" s="41">
        <f t="shared" si="296"/>
        <v>79188</v>
      </c>
      <c r="L715" s="130"/>
      <c r="M715" s="41">
        <v>0</v>
      </c>
      <c r="N715" s="41">
        <v>0</v>
      </c>
      <c r="O715" s="41">
        <f t="shared" si="294"/>
        <v>0</v>
      </c>
      <c r="Q715" s="41">
        <f t="shared" si="292"/>
        <v>79188</v>
      </c>
      <c r="R715" s="41">
        <f t="shared" si="276"/>
        <v>0</v>
      </c>
      <c r="S715" s="41">
        <f t="shared" si="277"/>
        <v>79188</v>
      </c>
    </row>
    <row r="716" spans="2:19" x14ac:dyDescent="0.25">
      <c r="B716" s="73">
        <f t="shared" si="293"/>
        <v>141</v>
      </c>
      <c r="C716" s="21"/>
      <c r="D716" s="21"/>
      <c r="E716" s="21"/>
      <c r="F716" s="42" t="s">
        <v>302</v>
      </c>
      <c r="G716" s="97">
        <v>610</v>
      </c>
      <c r="H716" s="21" t="s">
        <v>245</v>
      </c>
      <c r="I716" s="15">
        <f>47413+360</f>
        <v>47773</v>
      </c>
      <c r="J716" s="15"/>
      <c r="K716" s="15">
        <f t="shared" si="296"/>
        <v>47773</v>
      </c>
      <c r="L716" s="130"/>
      <c r="M716" s="15"/>
      <c r="N716" s="15"/>
      <c r="O716" s="15">
        <f t="shared" si="294"/>
        <v>0</v>
      </c>
      <c r="Q716" s="15">
        <f t="shared" si="292"/>
        <v>47773</v>
      </c>
      <c r="R716" s="15">
        <f t="shared" si="276"/>
        <v>0</v>
      </c>
      <c r="S716" s="15">
        <f t="shared" si="277"/>
        <v>47773</v>
      </c>
    </row>
    <row r="717" spans="2:19" x14ac:dyDescent="0.25">
      <c r="B717" s="73">
        <f t="shared" si="293"/>
        <v>142</v>
      </c>
      <c r="C717" s="21"/>
      <c r="D717" s="21"/>
      <c r="E717" s="21"/>
      <c r="F717" s="42" t="s">
        <v>302</v>
      </c>
      <c r="G717" s="97">
        <v>620</v>
      </c>
      <c r="H717" s="21" t="s">
        <v>228</v>
      </c>
      <c r="I717" s="15">
        <f>17590+126</f>
        <v>17716</v>
      </c>
      <c r="J717" s="15"/>
      <c r="K717" s="15">
        <f t="shared" si="296"/>
        <v>17716</v>
      </c>
      <c r="L717" s="130"/>
      <c r="M717" s="15"/>
      <c r="N717" s="15"/>
      <c r="O717" s="15">
        <f t="shared" si="294"/>
        <v>0</v>
      </c>
      <c r="Q717" s="15">
        <f t="shared" si="292"/>
        <v>17716</v>
      </c>
      <c r="R717" s="15">
        <f t="shared" si="276"/>
        <v>0</v>
      </c>
      <c r="S717" s="15">
        <f t="shared" si="277"/>
        <v>17716</v>
      </c>
    </row>
    <row r="718" spans="2:19" x14ac:dyDescent="0.25">
      <c r="B718" s="73">
        <f t="shared" si="293"/>
        <v>143</v>
      </c>
      <c r="C718" s="21"/>
      <c r="D718" s="21"/>
      <c r="E718" s="21"/>
      <c r="F718" s="42" t="s">
        <v>302</v>
      </c>
      <c r="G718" s="97">
        <v>630</v>
      </c>
      <c r="H718" s="21" t="s">
        <v>218</v>
      </c>
      <c r="I718" s="15">
        <f>SUM(I719:I722)</f>
        <v>13699</v>
      </c>
      <c r="J718" s="15">
        <f t="shared" ref="J718" si="299">SUM(J719:J722)</f>
        <v>0</v>
      </c>
      <c r="K718" s="15">
        <f t="shared" si="296"/>
        <v>13699</v>
      </c>
      <c r="L718" s="130"/>
      <c r="M718" s="15"/>
      <c r="N718" s="15"/>
      <c r="O718" s="15">
        <f t="shared" si="294"/>
        <v>0</v>
      </c>
      <c r="Q718" s="15">
        <f t="shared" si="292"/>
        <v>13699</v>
      </c>
      <c r="R718" s="15">
        <f t="shared" si="276"/>
        <v>0</v>
      </c>
      <c r="S718" s="15">
        <f t="shared" si="277"/>
        <v>13699</v>
      </c>
    </row>
    <row r="719" spans="2:19" x14ac:dyDescent="0.25">
      <c r="B719" s="73">
        <f t="shared" si="293"/>
        <v>144</v>
      </c>
      <c r="C719" s="9"/>
      <c r="D719" s="9"/>
      <c r="E719" s="9"/>
      <c r="F719" s="43" t="s">
        <v>302</v>
      </c>
      <c r="G719" s="98">
        <v>632</v>
      </c>
      <c r="H719" s="9" t="s">
        <v>229</v>
      </c>
      <c r="I719" s="10">
        <v>6700</v>
      </c>
      <c r="J719" s="10"/>
      <c r="K719" s="10">
        <f t="shared" si="296"/>
        <v>6700</v>
      </c>
      <c r="L719" s="131"/>
      <c r="M719" s="10"/>
      <c r="N719" s="10"/>
      <c r="O719" s="10">
        <f t="shared" si="294"/>
        <v>0</v>
      </c>
      <c r="Q719" s="10">
        <f t="shared" si="292"/>
        <v>6700</v>
      </c>
      <c r="R719" s="10">
        <f t="shared" si="276"/>
        <v>0</v>
      </c>
      <c r="S719" s="10">
        <f t="shared" si="277"/>
        <v>6700</v>
      </c>
    </row>
    <row r="720" spans="2:19" x14ac:dyDescent="0.25">
      <c r="B720" s="73">
        <f t="shared" si="293"/>
        <v>145</v>
      </c>
      <c r="C720" s="9"/>
      <c r="D720" s="9"/>
      <c r="E720" s="9"/>
      <c r="F720" s="43" t="s">
        <v>302</v>
      </c>
      <c r="G720" s="98">
        <v>633</v>
      </c>
      <c r="H720" s="9" t="s">
        <v>220</v>
      </c>
      <c r="I720" s="10">
        <v>4059</v>
      </c>
      <c r="J720" s="10"/>
      <c r="K720" s="10">
        <f t="shared" si="296"/>
        <v>4059</v>
      </c>
      <c r="L720" s="131"/>
      <c r="M720" s="10"/>
      <c r="N720" s="10"/>
      <c r="O720" s="10">
        <f t="shared" si="294"/>
        <v>0</v>
      </c>
      <c r="Q720" s="10">
        <f t="shared" si="292"/>
        <v>4059</v>
      </c>
      <c r="R720" s="10">
        <f t="shared" ref="R720:R783" si="300">J720+N720</f>
        <v>0</v>
      </c>
      <c r="S720" s="10">
        <f t="shared" ref="S720:S783" si="301">K720+O720</f>
        <v>4059</v>
      </c>
    </row>
    <row r="721" spans="2:19" x14ac:dyDescent="0.25">
      <c r="B721" s="73">
        <f t="shared" si="293"/>
        <v>146</v>
      </c>
      <c r="C721" s="9"/>
      <c r="D721" s="9"/>
      <c r="E721" s="9"/>
      <c r="F721" s="43" t="s">
        <v>302</v>
      </c>
      <c r="G721" s="98">
        <v>635</v>
      </c>
      <c r="H721" s="9" t="s">
        <v>234</v>
      </c>
      <c r="I721" s="10">
        <v>1100</v>
      </c>
      <c r="J721" s="10"/>
      <c r="K721" s="10">
        <f t="shared" si="296"/>
        <v>1100</v>
      </c>
      <c r="L721" s="131"/>
      <c r="M721" s="10"/>
      <c r="N721" s="10"/>
      <c r="O721" s="10">
        <f t="shared" si="294"/>
        <v>0</v>
      </c>
      <c r="Q721" s="10">
        <f t="shared" si="292"/>
        <v>1100</v>
      </c>
      <c r="R721" s="10">
        <f t="shared" si="300"/>
        <v>0</v>
      </c>
      <c r="S721" s="10">
        <f t="shared" si="301"/>
        <v>1100</v>
      </c>
    </row>
    <row r="722" spans="2:19" x14ac:dyDescent="0.25">
      <c r="B722" s="73">
        <f t="shared" si="293"/>
        <v>147</v>
      </c>
      <c r="C722" s="9"/>
      <c r="D722" s="9"/>
      <c r="E722" s="9"/>
      <c r="F722" s="43" t="s">
        <v>302</v>
      </c>
      <c r="G722" s="98">
        <v>637</v>
      </c>
      <c r="H722" s="9" t="s">
        <v>223</v>
      </c>
      <c r="I722" s="10">
        <v>1840</v>
      </c>
      <c r="J722" s="10"/>
      <c r="K722" s="10">
        <f t="shared" si="296"/>
        <v>1840</v>
      </c>
      <c r="L722" s="131"/>
      <c r="M722" s="10"/>
      <c r="N722" s="10"/>
      <c r="O722" s="10">
        <f t="shared" si="294"/>
        <v>0</v>
      </c>
      <c r="Q722" s="10">
        <f t="shared" si="292"/>
        <v>1840</v>
      </c>
      <c r="R722" s="10">
        <f t="shared" si="300"/>
        <v>0</v>
      </c>
      <c r="S722" s="10">
        <f t="shared" si="301"/>
        <v>1840</v>
      </c>
    </row>
    <row r="723" spans="2:19" x14ac:dyDescent="0.25">
      <c r="B723" s="73">
        <f t="shared" si="293"/>
        <v>148</v>
      </c>
      <c r="C723" s="40"/>
      <c r="D723" s="40"/>
      <c r="E723" s="40" t="s">
        <v>109</v>
      </c>
      <c r="F723" s="40"/>
      <c r="G723" s="96"/>
      <c r="H723" s="40" t="s">
        <v>110</v>
      </c>
      <c r="I723" s="41">
        <f>I724+I725+I726</f>
        <v>110310</v>
      </c>
      <c r="J723" s="41">
        <f t="shared" ref="J723" si="302">J724+J725+J726</f>
        <v>0</v>
      </c>
      <c r="K723" s="41">
        <f t="shared" si="296"/>
        <v>110310</v>
      </c>
      <c r="L723" s="130"/>
      <c r="M723" s="41">
        <v>0</v>
      </c>
      <c r="N723" s="41">
        <v>0</v>
      </c>
      <c r="O723" s="41">
        <f t="shared" si="294"/>
        <v>0</v>
      </c>
      <c r="Q723" s="41">
        <f t="shared" si="292"/>
        <v>110310</v>
      </c>
      <c r="R723" s="41">
        <f t="shared" si="300"/>
        <v>0</v>
      </c>
      <c r="S723" s="41">
        <f t="shared" si="301"/>
        <v>110310</v>
      </c>
    </row>
    <row r="724" spans="2:19" x14ac:dyDescent="0.25">
      <c r="B724" s="73">
        <f t="shared" si="293"/>
        <v>149</v>
      </c>
      <c r="C724" s="21"/>
      <c r="D724" s="21"/>
      <c r="E724" s="21"/>
      <c r="F724" s="42" t="s">
        <v>302</v>
      </c>
      <c r="G724" s="97">
        <v>610</v>
      </c>
      <c r="H724" s="21" t="s">
        <v>245</v>
      </c>
      <c r="I724" s="15">
        <f>64330+540</f>
        <v>64870</v>
      </c>
      <c r="J724" s="15"/>
      <c r="K724" s="15">
        <f t="shared" si="296"/>
        <v>64870</v>
      </c>
      <c r="L724" s="130"/>
      <c r="M724" s="15"/>
      <c r="N724" s="15"/>
      <c r="O724" s="15">
        <f t="shared" si="294"/>
        <v>0</v>
      </c>
      <c r="Q724" s="15">
        <f t="shared" si="292"/>
        <v>64870</v>
      </c>
      <c r="R724" s="15">
        <f t="shared" si="300"/>
        <v>0</v>
      </c>
      <c r="S724" s="15">
        <f t="shared" si="301"/>
        <v>64870</v>
      </c>
    </row>
    <row r="725" spans="2:19" x14ac:dyDescent="0.25">
      <c r="B725" s="73">
        <f t="shared" si="293"/>
        <v>150</v>
      </c>
      <c r="C725" s="21"/>
      <c r="D725" s="21"/>
      <c r="E725" s="21"/>
      <c r="F725" s="42" t="s">
        <v>302</v>
      </c>
      <c r="G725" s="97">
        <v>620</v>
      </c>
      <c r="H725" s="21" t="s">
        <v>228</v>
      </c>
      <c r="I725" s="15">
        <f>23870+189</f>
        <v>24059</v>
      </c>
      <c r="J725" s="15"/>
      <c r="K725" s="15">
        <f t="shared" si="296"/>
        <v>24059</v>
      </c>
      <c r="L725" s="130"/>
      <c r="M725" s="15"/>
      <c r="N725" s="15"/>
      <c r="O725" s="15">
        <f t="shared" si="294"/>
        <v>0</v>
      </c>
      <c r="Q725" s="15">
        <f t="shared" si="292"/>
        <v>24059</v>
      </c>
      <c r="R725" s="15">
        <f t="shared" si="300"/>
        <v>0</v>
      </c>
      <c r="S725" s="15">
        <f t="shared" si="301"/>
        <v>24059</v>
      </c>
    </row>
    <row r="726" spans="2:19" x14ac:dyDescent="0.25">
      <c r="B726" s="73">
        <f t="shared" si="293"/>
        <v>151</v>
      </c>
      <c r="C726" s="21"/>
      <c r="D726" s="21"/>
      <c r="E726" s="21"/>
      <c r="F726" s="42" t="s">
        <v>302</v>
      </c>
      <c r="G726" s="97">
        <v>630</v>
      </c>
      <c r="H726" s="21" t="s">
        <v>218</v>
      </c>
      <c r="I726" s="15">
        <f>SUM(I727:I731)</f>
        <v>21381</v>
      </c>
      <c r="J726" s="15">
        <f t="shared" ref="J726" si="303">SUM(J727:J731)</f>
        <v>0</v>
      </c>
      <c r="K726" s="15">
        <f t="shared" si="296"/>
        <v>21381</v>
      </c>
      <c r="L726" s="130"/>
      <c r="M726" s="15"/>
      <c r="N726" s="15"/>
      <c r="O726" s="15">
        <f t="shared" si="294"/>
        <v>0</v>
      </c>
      <c r="Q726" s="15">
        <f t="shared" si="292"/>
        <v>21381</v>
      </c>
      <c r="R726" s="15">
        <f t="shared" si="300"/>
        <v>0</v>
      </c>
      <c r="S726" s="15">
        <f t="shared" si="301"/>
        <v>21381</v>
      </c>
    </row>
    <row r="727" spans="2:19" x14ac:dyDescent="0.25">
      <c r="B727" s="73">
        <f t="shared" si="293"/>
        <v>152</v>
      </c>
      <c r="C727" s="9"/>
      <c r="D727" s="9"/>
      <c r="E727" s="9"/>
      <c r="F727" s="43" t="s">
        <v>302</v>
      </c>
      <c r="G727" s="98">
        <v>632</v>
      </c>
      <c r="H727" s="9" t="s">
        <v>229</v>
      </c>
      <c r="I727" s="10">
        <v>8020</v>
      </c>
      <c r="J727" s="10"/>
      <c r="K727" s="10">
        <f t="shared" si="296"/>
        <v>8020</v>
      </c>
      <c r="L727" s="131"/>
      <c r="M727" s="10"/>
      <c r="N727" s="10"/>
      <c r="O727" s="10">
        <f t="shared" si="294"/>
        <v>0</v>
      </c>
      <c r="Q727" s="10">
        <f t="shared" si="292"/>
        <v>8020</v>
      </c>
      <c r="R727" s="10">
        <f t="shared" si="300"/>
        <v>0</v>
      </c>
      <c r="S727" s="10">
        <f t="shared" si="301"/>
        <v>8020</v>
      </c>
    </row>
    <row r="728" spans="2:19" x14ac:dyDescent="0.25">
      <c r="B728" s="73">
        <f t="shared" si="293"/>
        <v>153</v>
      </c>
      <c r="C728" s="9"/>
      <c r="D728" s="9"/>
      <c r="E728" s="9"/>
      <c r="F728" s="43" t="s">
        <v>302</v>
      </c>
      <c r="G728" s="98">
        <v>633</v>
      </c>
      <c r="H728" s="9" t="s">
        <v>220</v>
      </c>
      <c r="I728" s="10">
        <v>4681</v>
      </c>
      <c r="J728" s="10"/>
      <c r="K728" s="10">
        <f t="shared" si="296"/>
        <v>4681</v>
      </c>
      <c r="L728" s="131"/>
      <c r="M728" s="10"/>
      <c r="N728" s="10"/>
      <c r="O728" s="10">
        <f t="shared" si="294"/>
        <v>0</v>
      </c>
      <c r="Q728" s="10">
        <f t="shared" si="292"/>
        <v>4681</v>
      </c>
      <c r="R728" s="10">
        <f t="shared" si="300"/>
        <v>0</v>
      </c>
      <c r="S728" s="10">
        <f t="shared" si="301"/>
        <v>4681</v>
      </c>
    </row>
    <row r="729" spans="2:19" x14ac:dyDescent="0.25">
      <c r="B729" s="73">
        <f t="shared" si="293"/>
        <v>154</v>
      </c>
      <c r="C729" s="9"/>
      <c r="D729" s="9"/>
      <c r="E729" s="9"/>
      <c r="F729" s="43" t="s">
        <v>302</v>
      </c>
      <c r="G729" s="98">
        <v>635</v>
      </c>
      <c r="H729" s="9" t="s">
        <v>234</v>
      </c>
      <c r="I729" s="10">
        <v>3300</v>
      </c>
      <c r="J729" s="10"/>
      <c r="K729" s="10">
        <f t="shared" si="296"/>
        <v>3300</v>
      </c>
      <c r="L729" s="131"/>
      <c r="M729" s="10"/>
      <c r="N729" s="10"/>
      <c r="O729" s="10">
        <f t="shared" si="294"/>
        <v>0</v>
      </c>
      <c r="Q729" s="10">
        <f t="shared" si="292"/>
        <v>3300</v>
      </c>
      <c r="R729" s="10">
        <f t="shared" si="300"/>
        <v>0</v>
      </c>
      <c r="S729" s="10">
        <f t="shared" si="301"/>
        <v>3300</v>
      </c>
    </row>
    <row r="730" spans="2:19" x14ac:dyDescent="0.25">
      <c r="B730" s="73">
        <f t="shared" si="293"/>
        <v>155</v>
      </c>
      <c r="C730" s="9"/>
      <c r="D730" s="9"/>
      <c r="E730" s="9"/>
      <c r="F730" s="43" t="s">
        <v>302</v>
      </c>
      <c r="G730" s="98">
        <v>635</v>
      </c>
      <c r="H730" s="9" t="s">
        <v>535</v>
      </c>
      <c r="I730" s="10">
        <v>3000</v>
      </c>
      <c r="J730" s="10"/>
      <c r="K730" s="10">
        <f t="shared" si="296"/>
        <v>3000</v>
      </c>
      <c r="L730" s="131"/>
      <c r="M730" s="10"/>
      <c r="N730" s="10"/>
      <c r="O730" s="10">
        <f t="shared" si="294"/>
        <v>0</v>
      </c>
      <c r="Q730" s="10">
        <f t="shared" si="292"/>
        <v>3000</v>
      </c>
      <c r="R730" s="10">
        <f t="shared" si="300"/>
        <v>0</v>
      </c>
      <c r="S730" s="10">
        <f t="shared" si="301"/>
        <v>3000</v>
      </c>
    </row>
    <row r="731" spans="2:19" x14ac:dyDescent="0.25">
      <c r="B731" s="73">
        <f t="shared" si="293"/>
        <v>156</v>
      </c>
      <c r="C731" s="9"/>
      <c r="D731" s="9"/>
      <c r="E731" s="9"/>
      <c r="F731" s="43" t="s">
        <v>302</v>
      </c>
      <c r="G731" s="98">
        <v>637</v>
      </c>
      <c r="H731" s="9" t="s">
        <v>223</v>
      </c>
      <c r="I731" s="10">
        <v>2380</v>
      </c>
      <c r="J731" s="10"/>
      <c r="K731" s="10">
        <f t="shared" si="296"/>
        <v>2380</v>
      </c>
      <c r="L731" s="131"/>
      <c r="M731" s="10"/>
      <c r="N731" s="10"/>
      <c r="O731" s="10">
        <f t="shared" si="294"/>
        <v>0</v>
      </c>
      <c r="Q731" s="10">
        <f t="shared" si="292"/>
        <v>2380</v>
      </c>
      <c r="R731" s="10">
        <f t="shared" si="300"/>
        <v>0</v>
      </c>
      <c r="S731" s="10">
        <f t="shared" si="301"/>
        <v>2380</v>
      </c>
    </row>
    <row r="732" spans="2:19" x14ac:dyDescent="0.25">
      <c r="B732" s="73">
        <f t="shared" si="293"/>
        <v>157</v>
      </c>
      <c r="C732" s="40"/>
      <c r="D732" s="40"/>
      <c r="E732" s="40" t="s">
        <v>111</v>
      </c>
      <c r="F732" s="40"/>
      <c r="G732" s="96"/>
      <c r="H732" s="40" t="s">
        <v>112</v>
      </c>
      <c r="I732" s="41">
        <f>I733+I734+I735</f>
        <v>89708</v>
      </c>
      <c r="J732" s="41">
        <f t="shared" ref="J732" si="304">J733+J734+J735</f>
        <v>0</v>
      </c>
      <c r="K732" s="41">
        <f t="shared" si="296"/>
        <v>89708</v>
      </c>
      <c r="L732" s="130"/>
      <c r="M732" s="41">
        <f>M741</f>
        <v>10000</v>
      </c>
      <c r="N732" s="41">
        <f t="shared" ref="N732" si="305">N741</f>
        <v>0</v>
      </c>
      <c r="O732" s="41">
        <f t="shared" si="294"/>
        <v>10000</v>
      </c>
      <c r="Q732" s="41">
        <f t="shared" si="292"/>
        <v>99708</v>
      </c>
      <c r="R732" s="41">
        <f t="shared" si="300"/>
        <v>0</v>
      </c>
      <c r="S732" s="41">
        <f t="shared" si="301"/>
        <v>99708</v>
      </c>
    </row>
    <row r="733" spans="2:19" x14ac:dyDescent="0.25">
      <c r="B733" s="73">
        <f t="shared" si="293"/>
        <v>158</v>
      </c>
      <c r="C733" s="21"/>
      <c r="D733" s="21"/>
      <c r="E733" s="21"/>
      <c r="F733" s="42" t="s">
        <v>302</v>
      </c>
      <c r="G733" s="97">
        <v>610</v>
      </c>
      <c r="H733" s="21" t="s">
        <v>245</v>
      </c>
      <c r="I733" s="15">
        <f>53481+360</f>
        <v>53841</v>
      </c>
      <c r="J733" s="15"/>
      <c r="K733" s="15">
        <f t="shared" si="296"/>
        <v>53841</v>
      </c>
      <c r="L733" s="130"/>
      <c r="M733" s="15"/>
      <c r="N733" s="15"/>
      <c r="O733" s="15">
        <f t="shared" si="294"/>
        <v>0</v>
      </c>
      <c r="Q733" s="15">
        <f t="shared" si="292"/>
        <v>53841</v>
      </c>
      <c r="R733" s="15">
        <f t="shared" si="300"/>
        <v>0</v>
      </c>
      <c r="S733" s="15">
        <f t="shared" si="301"/>
        <v>53841</v>
      </c>
    </row>
    <row r="734" spans="2:19" x14ac:dyDescent="0.25">
      <c r="B734" s="73">
        <f t="shared" si="293"/>
        <v>159</v>
      </c>
      <c r="C734" s="21"/>
      <c r="D734" s="21"/>
      <c r="E734" s="21"/>
      <c r="F734" s="42" t="s">
        <v>302</v>
      </c>
      <c r="G734" s="97">
        <v>620</v>
      </c>
      <c r="H734" s="21" t="s">
        <v>228</v>
      </c>
      <c r="I734" s="15">
        <f>19959+126</f>
        <v>20085</v>
      </c>
      <c r="J734" s="15"/>
      <c r="K734" s="15">
        <f t="shared" si="296"/>
        <v>20085</v>
      </c>
      <c r="L734" s="130"/>
      <c r="M734" s="15"/>
      <c r="N734" s="15"/>
      <c r="O734" s="15">
        <f t="shared" si="294"/>
        <v>0</v>
      </c>
      <c r="Q734" s="15">
        <f t="shared" si="292"/>
        <v>20085</v>
      </c>
      <c r="R734" s="15">
        <f t="shared" si="300"/>
        <v>0</v>
      </c>
      <c r="S734" s="15">
        <f t="shared" si="301"/>
        <v>20085</v>
      </c>
    </row>
    <row r="735" spans="2:19" x14ac:dyDescent="0.25">
      <c r="B735" s="73">
        <f t="shared" si="293"/>
        <v>160</v>
      </c>
      <c r="C735" s="21"/>
      <c r="D735" s="21"/>
      <c r="E735" s="21"/>
      <c r="F735" s="42" t="s">
        <v>302</v>
      </c>
      <c r="G735" s="97">
        <v>630</v>
      </c>
      <c r="H735" s="21" t="s">
        <v>218</v>
      </c>
      <c r="I735" s="15">
        <f>SUM(I736:I740)</f>
        <v>15782</v>
      </c>
      <c r="J735" s="15">
        <f t="shared" ref="J735" si="306">SUM(J736:J740)</f>
        <v>0</v>
      </c>
      <c r="K735" s="15">
        <f t="shared" si="296"/>
        <v>15782</v>
      </c>
      <c r="L735" s="130"/>
      <c r="M735" s="15"/>
      <c r="N735" s="15"/>
      <c r="O735" s="15">
        <f t="shared" si="294"/>
        <v>0</v>
      </c>
      <c r="Q735" s="15">
        <f t="shared" si="292"/>
        <v>15782</v>
      </c>
      <c r="R735" s="15">
        <f t="shared" si="300"/>
        <v>0</v>
      </c>
      <c r="S735" s="15">
        <f t="shared" si="301"/>
        <v>15782</v>
      </c>
    </row>
    <row r="736" spans="2:19" x14ac:dyDescent="0.25">
      <c r="B736" s="73">
        <f t="shared" si="293"/>
        <v>161</v>
      </c>
      <c r="C736" s="9"/>
      <c r="D736" s="9"/>
      <c r="E736" s="9"/>
      <c r="F736" s="43" t="s">
        <v>302</v>
      </c>
      <c r="G736" s="98">
        <v>632</v>
      </c>
      <c r="H736" s="9" t="s">
        <v>229</v>
      </c>
      <c r="I736" s="10">
        <v>300</v>
      </c>
      <c r="J736" s="10"/>
      <c r="K736" s="10">
        <f t="shared" si="296"/>
        <v>300</v>
      </c>
      <c r="L736" s="131"/>
      <c r="M736" s="10"/>
      <c r="N736" s="10"/>
      <c r="O736" s="10">
        <f t="shared" si="294"/>
        <v>0</v>
      </c>
      <c r="Q736" s="10">
        <f t="shared" si="292"/>
        <v>300</v>
      </c>
      <c r="R736" s="10">
        <f t="shared" si="300"/>
        <v>0</v>
      </c>
      <c r="S736" s="10">
        <f t="shared" si="301"/>
        <v>300</v>
      </c>
    </row>
    <row r="737" spans="2:19" x14ac:dyDescent="0.25">
      <c r="B737" s="73">
        <f t="shared" si="293"/>
        <v>162</v>
      </c>
      <c r="C737" s="9"/>
      <c r="D737" s="9"/>
      <c r="E737" s="9"/>
      <c r="F737" s="43" t="s">
        <v>302</v>
      </c>
      <c r="G737" s="98">
        <v>633</v>
      </c>
      <c r="H737" s="9" t="s">
        <v>220</v>
      </c>
      <c r="I737" s="10">
        <v>3022</v>
      </c>
      <c r="J737" s="10"/>
      <c r="K737" s="10">
        <f t="shared" si="296"/>
        <v>3022</v>
      </c>
      <c r="L737" s="131"/>
      <c r="M737" s="10"/>
      <c r="N737" s="10"/>
      <c r="O737" s="10">
        <f t="shared" si="294"/>
        <v>0</v>
      </c>
      <c r="Q737" s="10">
        <f t="shared" si="292"/>
        <v>3022</v>
      </c>
      <c r="R737" s="10">
        <f t="shared" si="300"/>
        <v>0</v>
      </c>
      <c r="S737" s="10">
        <f t="shared" si="301"/>
        <v>3022</v>
      </c>
    </row>
    <row r="738" spans="2:19" x14ac:dyDescent="0.25">
      <c r="B738" s="73">
        <f t="shared" si="293"/>
        <v>163</v>
      </c>
      <c r="C738" s="9"/>
      <c r="D738" s="9"/>
      <c r="E738" s="9"/>
      <c r="F738" s="43" t="s">
        <v>302</v>
      </c>
      <c r="G738" s="98">
        <v>635</v>
      </c>
      <c r="H738" s="9" t="s">
        <v>234</v>
      </c>
      <c r="I738" s="10">
        <v>1200</v>
      </c>
      <c r="J738" s="10"/>
      <c r="K738" s="10">
        <f t="shared" si="296"/>
        <v>1200</v>
      </c>
      <c r="L738" s="131"/>
      <c r="M738" s="10"/>
      <c r="N738" s="10"/>
      <c r="O738" s="10">
        <f t="shared" si="294"/>
        <v>0</v>
      </c>
      <c r="Q738" s="10">
        <f t="shared" si="292"/>
        <v>1200</v>
      </c>
      <c r="R738" s="10">
        <f t="shared" si="300"/>
        <v>0</v>
      </c>
      <c r="S738" s="10">
        <f t="shared" si="301"/>
        <v>1200</v>
      </c>
    </row>
    <row r="739" spans="2:19" x14ac:dyDescent="0.25">
      <c r="B739" s="73">
        <f t="shared" si="293"/>
        <v>164</v>
      </c>
      <c r="C739" s="9"/>
      <c r="D739" s="9"/>
      <c r="E739" s="9"/>
      <c r="F739" s="43" t="s">
        <v>302</v>
      </c>
      <c r="G739" s="98">
        <v>636</v>
      </c>
      <c r="H739" s="9" t="s">
        <v>222</v>
      </c>
      <c r="I739" s="10">
        <v>10000</v>
      </c>
      <c r="J739" s="10"/>
      <c r="K739" s="10">
        <f t="shared" si="296"/>
        <v>10000</v>
      </c>
      <c r="L739" s="131"/>
      <c r="M739" s="10"/>
      <c r="N739" s="10"/>
      <c r="O739" s="10">
        <f t="shared" si="294"/>
        <v>0</v>
      </c>
      <c r="Q739" s="10">
        <f t="shared" si="292"/>
        <v>10000</v>
      </c>
      <c r="R739" s="10">
        <f t="shared" si="300"/>
        <v>0</v>
      </c>
      <c r="S739" s="10">
        <f t="shared" si="301"/>
        <v>10000</v>
      </c>
    </row>
    <row r="740" spans="2:19" x14ac:dyDescent="0.25">
      <c r="B740" s="73">
        <f t="shared" si="293"/>
        <v>165</v>
      </c>
      <c r="C740" s="9"/>
      <c r="D740" s="9"/>
      <c r="E740" s="9"/>
      <c r="F740" s="43" t="s">
        <v>302</v>
      </c>
      <c r="G740" s="98">
        <v>637</v>
      </c>
      <c r="H740" s="9" t="s">
        <v>223</v>
      </c>
      <c r="I740" s="10">
        <v>1260</v>
      </c>
      <c r="J740" s="10"/>
      <c r="K740" s="10">
        <f t="shared" si="296"/>
        <v>1260</v>
      </c>
      <c r="L740" s="131"/>
      <c r="M740" s="10"/>
      <c r="N740" s="10"/>
      <c r="O740" s="10">
        <f t="shared" si="294"/>
        <v>0</v>
      </c>
      <c r="Q740" s="10">
        <f t="shared" si="292"/>
        <v>1260</v>
      </c>
      <c r="R740" s="10">
        <f t="shared" si="300"/>
        <v>0</v>
      </c>
      <c r="S740" s="10">
        <f t="shared" si="301"/>
        <v>1260</v>
      </c>
    </row>
    <row r="741" spans="2:19" x14ac:dyDescent="0.25">
      <c r="B741" s="73">
        <f t="shared" si="293"/>
        <v>166</v>
      </c>
      <c r="C741" s="21"/>
      <c r="D741" s="21"/>
      <c r="E741" s="21"/>
      <c r="F741" s="42" t="s">
        <v>302</v>
      </c>
      <c r="G741" s="97">
        <v>710</v>
      </c>
      <c r="H741" s="21" t="s">
        <v>235</v>
      </c>
      <c r="I741" s="15"/>
      <c r="J741" s="15"/>
      <c r="K741" s="15">
        <f t="shared" si="296"/>
        <v>0</v>
      </c>
      <c r="L741" s="130"/>
      <c r="M741" s="15">
        <f>M742</f>
        <v>10000</v>
      </c>
      <c r="N741" s="15">
        <f t="shared" ref="N741:N742" si="307">N742</f>
        <v>0</v>
      </c>
      <c r="O741" s="15">
        <f t="shared" si="294"/>
        <v>10000</v>
      </c>
      <c r="Q741" s="15">
        <f t="shared" si="292"/>
        <v>10000</v>
      </c>
      <c r="R741" s="15">
        <f t="shared" si="300"/>
        <v>0</v>
      </c>
      <c r="S741" s="15">
        <f t="shared" si="301"/>
        <v>10000</v>
      </c>
    </row>
    <row r="742" spans="2:19" x14ac:dyDescent="0.25">
      <c r="B742" s="73">
        <f t="shared" si="293"/>
        <v>167</v>
      </c>
      <c r="C742" s="21"/>
      <c r="D742" s="21"/>
      <c r="E742" s="21"/>
      <c r="F742" s="43" t="s">
        <v>302</v>
      </c>
      <c r="G742" s="98">
        <v>717</v>
      </c>
      <c r="H742" s="9" t="s">
        <v>240</v>
      </c>
      <c r="I742" s="15"/>
      <c r="J742" s="15"/>
      <c r="K742" s="15">
        <f t="shared" si="296"/>
        <v>0</v>
      </c>
      <c r="L742" s="130"/>
      <c r="M742" s="15">
        <f>M743</f>
        <v>10000</v>
      </c>
      <c r="N742" s="15">
        <f t="shared" si="307"/>
        <v>0</v>
      </c>
      <c r="O742" s="15">
        <f t="shared" si="294"/>
        <v>10000</v>
      </c>
      <c r="Q742" s="15">
        <f t="shared" si="292"/>
        <v>10000</v>
      </c>
      <c r="R742" s="15">
        <f t="shared" si="300"/>
        <v>0</v>
      </c>
      <c r="S742" s="15">
        <f t="shared" si="301"/>
        <v>10000</v>
      </c>
    </row>
    <row r="743" spans="2:19" x14ac:dyDescent="0.25">
      <c r="B743" s="73">
        <f t="shared" si="293"/>
        <v>168</v>
      </c>
      <c r="C743" s="12"/>
      <c r="D743" s="12"/>
      <c r="E743" s="12"/>
      <c r="F743" s="12"/>
      <c r="G743" s="99"/>
      <c r="H743" s="67" t="s">
        <v>495</v>
      </c>
      <c r="I743" s="13"/>
      <c r="J743" s="13"/>
      <c r="K743" s="13">
        <f t="shared" si="296"/>
        <v>0</v>
      </c>
      <c r="L743" s="132"/>
      <c r="M743" s="13">
        <v>10000</v>
      </c>
      <c r="N743" s="13"/>
      <c r="O743" s="13">
        <f t="shared" si="294"/>
        <v>10000</v>
      </c>
      <c r="Q743" s="13">
        <f t="shared" si="292"/>
        <v>10000</v>
      </c>
      <c r="R743" s="13">
        <f t="shared" si="300"/>
        <v>0</v>
      </c>
      <c r="S743" s="13">
        <f t="shared" si="301"/>
        <v>10000</v>
      </c>
    </row>
    <row r="744" spans="2:19" x14ac:dyDescent="0.25">
      <c r="B744" s="73">
        <f t="shared" si="293"/>
        <v>169</v>
      </c>
      <c r="C744" s="40"/>
      <c r="D744" s="40"/>
      <c r="E744" s="40" t="s">
        <v>113</v>
      </c>
      <c r="F744" s="40"/>
      <c r="G744" s="96"/>
      <c r="H744" s="40" t="s">
        <v>114</v>
      </c>
      <c r="I744" s="41">
        <f>I745+I746+I747+I753</f>
        <v>263429</v>
      </c>
      <c r="J744" s="41">
        <f t="shared" ref="J744" si="308">J745+J746+J747+J753</f>
        <v>0</v>
      </c>
      <c r="K744" s="41">
        <f t="shared" si="296"/>
        <v>263429</v>
      </c>
      <c r="L744" s="130"/>
      <c r="M744" s="41">
        <v>0</v>
      </c>
      <c r="N744" s="41">
        <v>0</v>
      </c>
      <c r="O744" s="41">
        <f t="shared" si="294"/>
        <v>0</v>
      </c>
      <c r="Q744" s="41">
        <f t="shared" si="292"/>
        <v>263429</v>
      </c>
      <c r="R744" s="41">
        <f t="shared" si="300"/>
        <v>0</v>
      </c>
      <c r="S744" s="41">
        <f t="shared" si="301"/>
        <v>263429</v>
      </c>
    </row>
    <row r="745" spans="2:19" x14ac:dyDescent="0.25">
      <c r="B745" s="73">
        <f t="shared" si="293"/>
        <v>170</v>
      </c>
      <c r="C745" s="21"/>
      <c r="D745" s="21"/>
      <c r="E745" s="21"/>
      <c r="F745" s="42" t="s">
        <v>302</v>
      </c>
      <c r="G745" s="97">
        <v>610</v>
      </c>
      <c r="H745" s="21" t="s">
        <v>245</v>
      </c>
      <c r="I745" s="15">
        <f>160691+1800</f>
        <v>162491</v>
      </c>
      <c r="J745" s="15"/>
      <c r="K745" s="15">
        <f t="shared" si="296"/>
        <v>162491</v>
      </c>
      <c r="L745" s="130"/>
      <c r="M745" s="15"/>
      <c r="N745" s="15"/>
      <c r="O745" s="15">
        <f t="shared" si="294"/>
        <v>0</v>
      </c>
      <c r="Q745" s="15">
        <f t="shared" si="292"/>
        <v>162491</v>
      </c>
      <c r="R745" s="15">
        <f t="shared" si="300"/>
        <v>0</v>
      </c>
      <c r="S745" s="15">
        <f t="shared" si="301"/>
        <v>162491</v>
      </c>
    </row>
    <row r="746" spans="2:19" x14ac:dyDescent="0.25">
      <c r="B746" s="73">
        <f t="shared" si="293"/>
        <v>171</v>
      </c>
      <c r="C746" s="21"/>
      <c r="D746" s="21"/>
      <c r="E746" s="21"/>
      <c r="F746" s="42" t="s">
        <v>302</v>
      </c>
      <c r="G746" s="97">
        <v>620</v>
      </c>
      <c r="H746" s="21" t="s">
        <v>228</v>
      </c>
      <c r="I746" s="15">
        <f>59564+630</f>
        <v>60194</v>
      </c>
      <c r="J746" s="15"/>
      <c r="K746" s="15">
        <f t="shared" si="296"/>
        <v>60194</v>
      </c>
      <c r="L746" s="130"/>
      <c r="M746" s="15"/>
      <c r="N746" s="15"/>
      <c r="O746" s="15">
        <f t="shared" si="294"/>
        <v>0</v>
      </c>
      <c r="Q746" s="15">
        <f t="shared" si="292"/>
        <v>60194</v>
      </c>
      <c r="R746" s="15">
        <f t="shared" si="300"/>
        <v>0</v>
      </c>
      <c r="S746" s="15">
        <f t="shared" si="301"/>
        <v>60194</v>
      </c>
    </row>
    <row r="747" spans="2:19" x14ac:dyDescent="0.25">
      <c r="B747" s="73">
        <f t="shared" si="293"/>
        <v>172</v>
      </c>
      <c r="C747" s="21"/>
      <c r="D747" s="21"/>
      <c r="E747" s="21"/>
      <c r="F747" s="42" t="s">
        <v>302</v>
      </c>
      <c r="G747" s="97">
        <v>630</v>
      </c>
      <c r="H747" s="21" t="s">
        <v>218</v>
      </c>
      <c r="I747" s="15">
        <f>SUM(I748:I752)</f>
        <v>36982</v>
      </c>
      <c r="J747" s="15">
        <f t="shared" ref="J747" si="309">SUM(J748:J752)</f>
        <v>0</v>
      </c>
      <c r="K747" s="15">
        <f t="shared" si="296"/>
        <v>36982</v>
      </c>
      <c r="L747" s="130"/>
      <c r="M747" s="15"/>
      <c r="N747" s="15"/>
      <c r="O747" s="15">
        <f t="shared" si="294"/>
        <v>0</v>
      </c>
      <c r="Q747" s="15">
        <f t="shared" si="292"/>
        <v>36982</v>
      </c>
      <c r="R747" s="15">
        <f t="shared" si="300"/>
        <v>0</v>
      </c>
      <c r="S747" s="15">
        <f t="shared" si="301"/>
        <v>36982</v>
      </c>
    </row>
    <row r="748" spans="2:19" x14ac:dyDescent="0.25">
      <c r="B748" s="73">
        <f t="shared" si="293"/>
        <v>173</v>
      </c>
      <c r="C748" s="9"/>
      <c r="D748" s="9"/>
      <c r="E748" s="9"/>
      <c r="F748" s="43" t="s">
        <v>302</v>
      </c>
      <c r="G748" s="98">
        <v>632</v>
      </c>
      <c r="H748" s="9" t="s">
        <v>229</v>
      </c>
      <c r="I748" s="10">
        <v>13520</v>
      </c>
      <c r="J748" s="10"/>
      <c r="K748" s="10">
        <f t="shared" si="296"/>
        <v>13520</v>
      </c>
      <c r="L748" s="131"/>
      <c r="M748" s="10"/>
      <c r="N748" s="10"/>
      <c r="O748" s="10">
        <f t="shared" si="294"/>
        <v>0</v>
      </c>
      <c r="Q748" s="10">
        <f t="shared" si="292"/>
        <v>13520</v>
      </c>
      <c r="R748" s="10">
        <f t="shared" si="300"/>
        <v>0</v>
      </c>
      <c r="S748" s="10">
        <f t="shared" si="301"/>
        <v>13520</v>
      </c>
    </row>
    <row r="749" spans="2:19" x14ac:dyDescent="0.25">
      <c r="B749" s="73">
        <f t="shared" si="293"/>
        <v>174</v>
      </c>
      <c r="C749" s="9"/>
      <c r="D749" s="9"/>
      <c r="E749" s="9"/>
      <c r="F749" s="43" t="s">
        <v>302</v>
      </c>
      <c r="G749" s="98">
        <v>633</v>
      </c>
      <c r="H749" s="9" t="s">
        <v>220</v>
      </c>
      <c r="I749" s="10">
        <f>10487-325</f>
        <v>10162</v>
      </c>
      <c r="J749" s="10"/>
      <c r="K749" s="10">
        <f t="shared" si="296"/>
        <v>10162</v>
      </c>
      <c r="L749" s="131"/>
      <c r="M749" s="10"/>
      <c r="N749" s="10"/>
      <c r="O749" s="10">
        <f t="shared" si="294"/>
        <v>0</v>
      </c>
      <c r="Q749" s="10">
        <f t="shared" si="292"/>
        <v>10162</v>
      </c>
      <c r="R749" s="10">
        <f t="shared" si="300"/>
        <v>0</v>
      </c>
      <c r="S749" s="10">
        <f t="shared" si="301"/>
        <v>10162</v>
      </c>
    </row>
    <row r="750" spans="2:19" x14ac:dyDescent="0.25">
      <c r="B750" s="73">
        <f t="shared" si="293"/>
        <v>175</v>
      </c>
      <c r="C750" s="9"/>
      <c r="D750" s="9"/>
      <c r="E750" s="9"/>
      <c r="F750" s="43" t="s">
        <v>302</v>
      </c>
      <c r="G750" s="98">
        <v>635</v>
      </c>
      <c r="H750" s="9" t="s">
        <v>234</v>
      </c>
      <c r="I750" s="10">
        <v>2500</v>
      </c>
      <c r="J750" s="10"/>
      <c r="K750" s="10">
        <f t="shared" si="296"/>
        <v>2500</v>
      </c>
      <c r="L750" s="131"/>
      <c r="M750" s="10"/>
      <c r="N750" s="10"/>
      <c r="O750" s="10">
        <f t="shared" si="294"/>
        <v>0</v>
      </c>
      <c r="Q750" s="10">
        <f t="shared" si="292"/>
        <v>2500</v>
      </c>
      <c r="R750" s="10">
        <f t="shared" si="300"/>
        <v>0</v>
      </c>
      <c r="S750" s="10">
        <f t="shared" si="301"/>
        <v>2500</v>
      </c>
    </row>
    <row r="751" spans="2:19" x14ac:dyDescent="0.25">
      <c r="B751" s="73">
        <f t="shared" si="293"/>
        <v>176</v>
      </c>
      <c r="C751" s="9"/>
      <c r="D751" s="9"/>
      <c r="E751" s="9"/>
      <c r="F751" s="43" t="s">
        <v>302</v>
      </c>
      <c r="G751" s="98">
        <v>636</v>
      </c>
      <c r="H751" s="9" t="s">
        <v>222</v>
      </c>
      <c r="I751" s="10">
        <v>4000</v>
      </c>
      <c r="J751" s="10"/>
      <c r="K751" s="10">
        <f t="shared" si="296"/>
        <v>4000</v>
      </c>
      <c r="L751" s="131"/>
      <c r="M751" s="10"/>
      <c r="N751" s="10"/>
      <c r="O751" s="10">
        <f t="shared" si="294"/>
        <v>0</v>
      </c>
      <c r="Q751" s="10">
        <f t="shared" si="292"/>
        <v>4000</v>
      </c>
      <c r="R751" s="10">
        <f t="shared" si="300"/>
        <v>0</v>
      </c>
      <c r="S751" s="10">
        <f t="shared" si="301"/>
        <v>4000</v>
      </c>
    </row>
    <row r="752" spans="2:19" x14ac:dyDescent="0.25">
      <c r="B752" s="73">
        <f t="shared" si="293"/>
        <v>177</v>
      </c>
      <c r="C752" s="9"/>
      <c r="D752" s="9"/>
      <c r="E752" s="9"/>
      <c r="F752" s="43" t="s">
        <v>302</v>
      </c>
      <c r="G752" s="98">
        <v>637</v>
      </c>
      <c r="H752" s="9" t="s">
        <v>223</v>
      </c>
      <c r="I752" s="10">
        <v>6800</v>
      </c>
      <c r="J752" s="10"/>
      <c r="K752" s="10">
        <f t="shared" si="296"/>
        <v>6800</v>
      </c>
      <c r="L752" s="131"/>
      <c r="M752" s="10"/>
      <c r="N752" s="10"/>
      <c r="O752" s="10">
        <f t="shared" si="294"/>
        <v>0</v>
      </c>
      <c r="Q752" s="10">
        <f t="shared" si="292"/>
        <v>6800</v>
      </c>
      <c r="R752" s="10">
        <f t="shared" si="300"/>
        <v>0</v>
      </c>
      <c r="S752" s="10">
        <f t="shared" si="301"/>
        <v>6800</v>
      </c>
    </row>
    <row r="753" spans="2:19" x14ac:dyDescent="0.25">
      <c r="B753" s="73">
        <f t="shared" si="293"/>
        <v>178</v>
      </c>
      <c r="C753" s="21"/>
      <c r="F753" s="42" t="s">
        <v>302</v>
      </c>
      <c r="G753" s="97">
        <v>640</v>
      </c>
      <c r="H753" s="21" t="s">
        <v>230</v>
      </c>
      <c r="I753" s="15">
        <v>3762</v>
      </c>
      <c r="J753" s="15"/>
      <c r="K753" s="15">
        <f t="shared" si="296"/>
        <v>3762</v>
      </c>
      <c r="L753" s="130"/>
      <c r="M753" s="15"/>
      <c r="N753" s="15"/>
      <c r="O753" s="15">
        <f t="shared" si="294"/>
        <v>0</v>
      </c>
      <c r="Q753" s="15">
        <f t="shared" si="292"/>
        <v>3762</v>
      </c>
      <c r="R753" s="15">
        <f t="shared" si="300"/>
        <v>0</v>
      </c>
      <c r="S753" s="15">
        <f t="shared" si="301"/>
        <v>3762</v>
      </c>
    </row>
    <row r="754" spans="2:19" ht="15.75" x14ac:dyDescent="0.25">
      <c r="B754" s="73">
        <f t="shared" si="293"/>
        <v>179</v>
      </c>
      <c r="C754" s="34">
        <v>2</v>
      </c>
      <c r="D754" s="227" t="s">
        <v>304</v>
      </c>
      <c r="E754" s="228"/>
      <c r="F754" s="228"/>
      <c r="G754" s="228"/>
      <c r="H754" s="229"/>
      <c r="I754" s="35">
        <f>I755+I757+I771+I793+I819+I839+I867+I893+I921+I948</f>
        <v>7448604</v>
      </c>
      <c r="J754" s="35">
        <f>J755+J757+J771+J793+J819+J839+J867+J893+J921+J948</f>
        <v>37141</v>
      </c>
      <c r="K754" s="35">
        <f t="shared" si="296"/>
        <v>7485745</v>
      </c>
      <c r="L754" s="135"/>
      <c r="M754" s="35">
        <f>M757+M771+M793+M819+M839+M867+M893+M921+M948</f>
        <v>562502</v>
      </c>
      <c r="N754" s="35">
        <f t="shared" ref="N754" si="310">N757+N771+N793+N819+N839+N867+N893+N921+N948</f>
        <v>45000</v>
      </c>
      <c r="O754" s="35">
        <f t="shared" si="294"/>
        <v>607502</v>
      </c>
      <c r="Q754" s="35">
        <f t="shared" si="292"/>
        <v>8011106</v>
      </c>
      <c r="R754" s="35">
        <f t="shared" si="300"/>
        <v>82141</v>
      </c>
      <c r="S754" s="35">
        <f t="shared" si="301"/>
        <v>8093247</v>
      </c>
    </row>
    <row r="755" spans="2:19" x14ac:dyDescent="0.25">
      <c r="B755" s="73">
        <f t="shared" si="293"/>
        <v>180</v>
      </c>
      <c r="C755" s="21"/>
      <c r="D755" s="21"/>
      <c r="E755" s="21"/>
      <c r="F755" s="42" t="s">
        <v>305</v>
      </c>
      <c r="G755" s="97">
        <v>630</v>
      </c>
      <c r="H755" s="21" t="s">
        <v>218</v>
      </c>
      <c r="I755" s="15">
        <f>I756</f>
        <v>2450</v>
      </c>
      <c r="J755" s="15">
        <f>J756</f>
        <v>0</v>
      </c>
      <c r="K755" s="15">
        <f t="shared" si="296"/>
        <v>2450</v>
      </c>
      <c r="L755" s="130"/>
      <c r="M755" s="15"/>
      <c r="N755" s="15"/>
      <c r="O755" s="15">
        <f t="shared" si="294"/>
        <v>0</v>
      </c>
      <c r="Q755" s="15">
        <f t="shared" si="292"/>
        <v>2450</v>
      </c>
      <c r="R755" s="15">
        <f t="shared" si="300"/>
        <v>0</v>
      </c>
      <c r="S755" s="15">
        <f t="shared" si="301"/>
        <v>2450</v>
      </c>
    </row>
    <row r="756" spans="2:19" x14ac:dyDescent="0.25">
      <c r="B756" s="73">
        <f t="shared" si="293"/>
        <v>181</v>
      </c>
      <c r="C756" s="21"/>
      <c r="D756" s="21"/>
      <c r="E756" s="21"/>
      <c r="F756" s="44" t="s">
        <v>305</v>
      </c>
      <c r="G756" s="100">
        <v>637</v>
      </c>
      <c r="H756" s="45" t="s">
        <v>470</v>
      </c>
      <c r="I756" s="16">
        <v>2450</v>
      </c>
      <c r="J756" s="16"/>
      <c r="K756" s="16">
        <f t="shared" si="296"/>
        <v>2450</v>
      </c>
      <c r="L756" s="131"/>
      <c r="M756" s="15"/>
      <c r="N756" s="15"/>
      <c r="O756" s="15">
        <f t="shared" si="294"/>
        <v>0</v>
      </c>
      <c r="Q756" s="15">
        <f t="shared" si="292"/>
        <v>2450</v>
      </c>
      <c r="R756" s="15">
        <f t="shared" si="300"/>
        <v>0</v>
      </c>
      <c r="S756" s="15">
        <f t="shared" si="301"/>
        <v>2450</v>
      </c>
    </row>
    <row r="757" spans="2:19" x14ac:dyDescent="0.25">
      <c r="B757" s="73">
        <f t="shared" si="293"/>
        <v>182</v>
      </c>
      <c r="C757" s="38"/>
      <c r="D757" s="38"/>
      <c r="E757" s="38">
        <v>4</v>
      </c>
      <c r="F757" s="38"/>
      <c r="G757" s="95"/>
      <c r="H757" s="38" t="s">
        <v>83</v>
      </c>
      <c r="I757" s="39">
        <f>I758</f>
        <v>108178</v>
      </c>
      <c r="J757" s="39">
        <f t="shared" ref="J757" si="311">J758</f>
        <v>706</v>
      </c>
      <c r="K757" s="39">
        <f t="shared" si="296"/>
        <v>108884</v>
      </c>
      <c r="L757" s="39"/>
      <c r="M757" s="39">
        <f t="shared" ref="M757:N757" si="312">M758</f>
        <v>47000</v>
      </c>
      <c r="N757" s="39">
        <f t="shared" si="312"/>
        <v>0</v>
      </c>
      <c r="O757" s="39">
        <f t="shared" si="294"/>
        <v>47000</v>
      </c>
      <c r="Q757" s="39">
        <f t="shared" si="292"/>
        <v>155178</v>
      </c>
      <c r="R757" s="39">
        <f t="shared" si="300"/>
        <v>706</v>
      </c>
      <c r="S757" s="39">
        <f t="shared" si="301"/>
        <v>155884</v>
      </c>
    </row>
    <row r="758" spans="2:19" x14ac:dyDescent="0.25">
      <c r="B758" s="73">
        <f t="shared" si="293"/>
        <v>183</v>
      </c>
      <c r="C758" s="40"/>
      <c r="D758" s="40"/>
      <c r="E758" s="40" t="s">
        <v>115</v>
      </c>
      <c r="F758" s="40"/>
      <c r="G758" s="96"/>
      <c r="H758" s="40" t="s">
        <v>116</v>
      </c>
      <c r="I758" s="41">
        <f>I759+I760+I761</f>
        <v>108178</v>
      </c>
      <c r="J758" s="41">
        <f t="shared" ref="J758" si="313">J759+J760+J761</f>
        <v>706</v>
      </c>
      <c r="K758" s="41">
        <f t="shared" si="296"/>
        <v>108884</v>
      </c>
      <c r="L758" s="130"/>
      <c r="M758" s="41">
        <f>M768</f>
        <v>47000</v>
      </c>
      <c r="N758" s="41">
        <f t="shared" ref="N758" si="314">N768</f>
        <v>0</v>
      </c>
      <c r="O758" s="41">
        <f t="shared" si="294"/>
        <v>47000</v>
      </c>
      <c r="Q758" s="41">
        <f t="shared" si="292"/>
        <v>155178</v>
      </c>
      <c r="R758" s="41">
        <f t="shared" si="300"/>
        <v>706</v>
      </c>
      <c r="S758" s="41">
        <f t="shared" si="301"/>
        <v>155884</v>
      </c>
    </row>
    <row r="759" spans="2:19" x14ac:dyDescent="0.25">
      <c r="B759" s="73">
        <f t="shared" si="293"/>
        <v>184</v>
      </c>
      <c r="C759" s="21"/>
      <c r="D759" s="21"/>
      <c r="E759" s="21"/>
      <c r="F759" s="42" t="s">
        <v>305</v>
      </c>
      <c r="G759" s="97">
        <v>610</v>
      </c>
      <c r="H759" s="21" t="s">
        <v>245</v>
      </c>
      <c r="I759" s="15">
        <f>65220+500+2720</f>
        <v>68440</v>
      </c>
      <c r="J759" s="15"/>
      <c r="K759" s="15">
        <f t="shared" si="296"/>
        <v>68440</v>
      </c>
      <c r="L759" s="130"/>
      <c r="M759" s="15"/>
      <c r="N759" s="15"/>
      <c r="O759" s="15">
        <f t="shared" si="294"/>
        <v>0</v>
      </c>
      <c r="Q759" s="15">
        <f t="shared" si="292"/>
        <v>68440</v>
      </c>
      <c r="R759" s="15">
        <f t="shared" si="300"/>
        <v>0</v>
      </c>
      <c r="S759" s="15">
        <f t="shared" si="301"/>
        <v>68440</v>
      </c>
    </row>
    <row r="760" spans="2:19" x14ac:dyDescent="0.25">
      <c r="B760" s="73">
        <f t="shared" si="293"/>
        <v>185</v>
      </c>
      <c r="C760" s="21"/>
      <c r="D760" s="21"/>
      <c r="E760" s="21"/>
      <c r="F760" s="42" t="s">
        <v>305</v>
      </c>
      <c r="G760" s="97">
        <v>620</v>
      </c>
      <c r="H760" s="21" t="s">
        <v>228</v>
      </c>
      <c r="I760" s="15">
        <f>23070+175+955</f>
        <v>24200</v>
      </c>
      <c r="J760" s="15"/>
      <c r="K760" s="15">
        <f t="shared" si="296"/>
        <v>24200</v>
      </c>
      <c r="L760" s="130"/>
      <c r="M760" s="15"/>
      <c r="N760" s="15"/>
      <c r="O760" s="15">
        <f t="shared" si="294"/>
        <v>0</v>
      </c>
      <c r="Q760" s="15">
        <f t="shared" si="292"/>
        <v>24200</v>
      </c>
      <c r="R760" s="15">
        <f t="shared" si="300"/>
        <v>0</v>
      </c>
      <c r="S760" s="15">
        <f t="shared" si="301"/>
        <v>24200</v>
      </c>
    </row>
    <row r="761" spans="2:19" x14ac:dyDescent="0.25">
      <c r="B761" s="73">
        <f t="shared" si="293"/>
        <v>186</v>
      </c>
      <c r="C761" s="21"/>
      <c r="D761" s="21"/>
      <c r="E761" s="21"/>
      <c r="F761" s="42" t="s">
        <v>305</v>
      </c>
      <c r="G761" s="97">
        <v>630</v>
      </c>
      <c r="H761" s="21" t="s">
        <v>218</v>
      </c>
      <c r="I761" s="15">
        <f>SUM(I762:I766)</f>
        <v>15538</v>
      </c>
      <c r="J761" s="15">
        <f>SUM(J762:J767)</f>
        <v>706</v>
      </c>
      <c r="K761" s="15">
        <f t="shared" si="296"/>
        <v>16244</v>
      </c>
      <c r="L761" s="130"/>
      <c r="M761" s="15"/>
      <c r="N761" s="15"/>
      <c r="O761" s="15">
        <f t="shared" si="294"/>
        <v>0</v>
      </c>
      <c r="Q761" s="15">
        <f t="shared" si="292"/>
        <v>15538</v>
      </c>
      <c r="R761" s="15">
        <f t="shared" si="300"/>
        <v>706</v>
      </c>
      <c r="S761" s="15">
        <f t="shared" si="301"/>
        <v>16244</v>
      </c>
    </row>
    <row r="762" spans="2:19" x14ac:dyDescent="0.25">
      <c r="B762" s="73">
        <f t="shared" si="293"/>
        <v>187</v>
      </c>
      <c r="C762" s="9"/>
      <c r="D762" s="9"/>
      <c r="E762" s="9"/>
      <c r="F762" s="43" t="s">
        <v>305</v>
      </c>
      <c r="G762" s="98">
        <v>632</v>
      </c>
      <c r="H762" s="9" t="s">
        <v>229</v>
      </c>
      <c r="I762" s="10">
        <f>6200+990</f>
        <v>7190</v>
      </c>
      <c r="J762" s="10"/>
      <c r="K762" s="10">
        <f t="shared" si="296"/>
        <v>7190</v>
      </c>
      <c r="L762" s="131"/>
      <c r="M762" s="10"/>
      <c r="N762" s="10"/>
      <c r="O762" s="10">
        <f t="shared" si="294"/>
        <v>0</v>
      </c>
      <c r="Q762" s="10">
        <f t="shared" si="292"/>
        <v>7190</v>
      </c>
      <c r="R762" s="10">
        <f t="shared" si="300"/>
        <v>0</v>
      </c>
      <c r="S762" s="10">
        <f t="shared" si="301"/>
        <v>7190</v>
      </c>
    </row>
    <row r="763" spans="2:19" x14ac:dyDescent="0.25">
      <c r="B763" s="73">
        <f t="shared" si="293"/>
        <v>188</v>
      </c>
      <c r="C763" s="9"/>
      <c r="D763" s="9"/>
      <c r="E763" s="9"/>
      <c r="F763" s="43" t="s">
        <v>305</v>
      </c>
      <c r="G763" s="98">
        <v>633</v>
      </c>
      <c r="H763" s="9" t="s">
        <v>220</v>
      </c>
      <c r="I763" s="10">
        <v>2538</v>
      </c>
      <c r="J763" s="10"/>
      <c r="K763" s="10">
        <f t="shared" si="296"/>
        <v>2538</v>
      </c>
      <c r="L763" s="131"/>
      <c r="M763" s="10"/>
      <c r="N763" s="10"/>
      <c r="O763" s="10">
        <f t="shared" si="294"/>
        <v>0</v>
      </c>
      <c r="Q763" s="10">
        <f t="shared" si="292"/>
        <v>2538</v>
      </c>
      <c r="R763" s="10">
        <f t="shared" si="300"/>
        <v>0</v>
      </c>
      <c r="S763" s="10">
        <f t="shared" si="301"/>
        <v>2538</v>
      </c>
    </row>
    <row r="764" spans="2:19" x14ac:dyDescent="0.25">
      <c r="B764" s="73">
        <f t="shared" si="293"/>
        <v>189</v>
      </c>
      <c r="C764" s="9"/>
      <c r="D764" s="9"/>
      <c r="E764" s="9"/>
      <c r="F764" s="43" t="s">
        <v>305</v>
      </c>
      <c r="G764" s="98">
        <v>634</v>
      </c>
      <c r="H764" s="9" t="s">
        <v>221</v>
      </c>
      <c r="I764" s="10">
        <v>230</v>
      </c>
      <c r="J764" s="10"/>
      <c r="K764" s="10">
        <f t="shared" si="296"/>
        <v>230</v>
      </c>
      <c r="L764" s="131"/>
      <c r="M764" s="10"/>
      <c r="N764" s="10"/>
      <c r="O764" s="10">
        <f t="shared" si="294"/>
        <v>0</v>
      </c>
      <c r="Q764" s="10">
        <f t="shared" si="292"/>
        <v>230</v>
      </c>
      <c r="R764" s="10">
        <f t="shared" si="300"/>
        <v>0</v>
      </c>
      <c r="S764" s="10">
        <f t="shared" si="301"/>
        <v>230</v>
      </c>
    </row>
    <row r="765" spans="2:19" x14ac:dyDescent="0.25">
      <c r="B765" s="73">
        <f t="shared" si="293"/>
        <v>190</v>
      </c>
      <c r="C765" s="9"/>
      <c r="D765" s="9"/>
      <c r="E765" s="9"/>
      <c r="F765" s="43" t="s">
        <v>305</v>
      </c>
      <c r="G765" s="98">
        <v>635</v>
      </c>
      <c r="H765" s="9" t="s">
        <v>234</v>
      </c>
      <c r="I765" s="10">
        <v>400</v>
      </c>
      <c r="J765" s="10"/>
      <c r="K765" s="10">
        <f t="shared" si="296"/>
        <v>400</v>
      </c>
      <c r="L765" s="131"/>
      <c r="M765" s="10"/>
      <c r="N765" s="10"/>
      <c r="O765" s="10">
        <f t="shared" si="294"/>
        <v>0</v>
      </c>
      <c r="Q765" s="10">
        <f t="shared" si="292"/>
        <v>400</v>
      </c>
      <c r="R765" s="10">
        <f t="shared" si="300"/>
        <v>0</v>
      </c>
      <c r="S765" s="10">
        <f t="shared" si="301"/>
        <v>400</v>
      </c>
    </row>
    <row r="766" spans="2:19" x14ac:dyDescent="0.25">
      <c r="B766" s="73">
        <f t="shared" si="293"/>
        <v>191</v>
      </c>
      <c r="C766" s="9"/>
      <c r="D766" s="9"/>
      <c r="E766" s="9"/>
      <c r="F766" s="43" t="s">
        <v>305</v>
      </c>
      <c r="G766" s="98">
        <v>637</v>
      </c>
      <c r="H766" s="9" t="s">
        <v>223</v>
      </c>
      <c r="I766" s="10">
        <v>5180</v>
      </c>
      <c r="J766" s="10"/>
      <c r="K766" s="10">
        <f t="shared" si="296"/>
        <v>5180</v>
      </c>
      <c r="L766" s="131"/>
      <c r="M766" s="10"/>
      <c r="N766" s="10"/>
      <c r="O766" s="10">
        <f t="shared" si="294"/>
        <v>0</v>
      </c>
      <c r="Q766" s="10">
        <f t="shared" si="292"/>
        <v>5180</v>
      </c>
      <c r="R766" s="10">
        <f t="shared" si="300"/>
        <v>0</v>
      </c>
      <c r="S766" s="10">
        <f t="shared" si="301"/>
        <v>5180</v>
      </c>
    </row>
    <row r="767" spans="2:19" x14ac:dyDescent="0.25">
      <c r="B767" s="73">
        <f t="shared" si="293"/>
        <v>192</v>
      </c>
      <c r="C767" s="9"/>
      <c r="D767" s="9"/>
      <c r="E767" s="9"/>
      <c r="F767" s="43" t="s">
        <v>305</v>
      </c>
      <c r="G767" s="98">
        <v>630</v>
      </c>
      <c r="H767" s="9" t="s">
        <v>660</v>
      </c>
      <c r="I767" s="10">
        <v>0</v>
      </c>
      <c r="J767" s="10">
        <v>706</v>
      </c>
      <c r="K767" s="10">
        <f t="shared" si="296"/>
        <v>706</v>
      </c>
      <c r="L767" s="131"/>
      <c r="M767" s="10"/>
      <c r="N767" s="10"/>
      <c r="O767" s="10">
        <f t="shared" si="294"/>
        <v>0</v>
      </c>
      <c r="Q767" s="10">
        <f t="shared" ref="Q767" si="315">I767+M767</f>
        <v>0</v>
      </c>
      <c r="R767" s="10">
        <f t="shared" ref="R767" si="316">J767+N767</f>
        <v>706</v>
      </c>
      <c r="S767" s="10">
        <f t="shared" ref="S767" si="317">K767+O767</f>
        <v>706</v>
      </c>
    </row>
    <row r="768" spans="2:19" x14ac:dyDescent="0.25">
      <c r="B768" s="73">
        <f t="shared" si="293"/>
        <v>193</v>
      </c>
      <c r="C768" s="9"/>
      <c r="D768" s="9"/>
      <c r="E768" s="9"/>
      <c r="F768" s="42" t="s">
        <v>305</v>
      </c>
      <c r="G768" s="97">
        <v>710</v>
      </c>
      <c r="H768" s="21" t="s">
        <v>235</v>
      </c>
      <c r="I768" s="15"/>
      <c r="J768" s="15"/>
      <c r="K768" s="15">
        <f t="shared" si="296"/>
        <v>0</v>
      </c>
      <c r="L768" s="130"/>
      <c r="M768" s="15">
        <f>M769</f>
        <v>47000</v>
      </c>
      <c r="N768" s="15">
        <f t="shared" ref="N768:N769" si="318">N769</f>
        <v>0</v>
      </c>
      <c r="O768" s="15">
        <f t="shared" si="294"/>
        <v>47000</v>
      </c>
      <c r="Q768" s="15">
        <f t="shared" ref="Q768:Q833" si="319">I768+M768</f>
        <v>47000</v>
      </c>
      <c r="R768" s="15">
        <f t="shared" si="300"/>
        <v>0</v>
      </c>
      <c r="S768" s="15">
        <f t="shared" si="301"/>
        <v>47000</v>
      </c>
    </row>
    <row r="769" spans="2:19" x14ac:dyDescent="0.25">
      <c r="B769" s="73">
        <f t="shared" ref="B769:B775" si="320">B768+1</f>
        <v>194</v>
      </c>
      <c r="C769" s="9"/>
      <c r="D769" s="9"/>
      <c r="E769" s="9"/>
      <c r="F769" s="43" t="s">
        <v>305</v>
      </c>
      <c r="G769" s="98">
        <v>717</v>
      </c>
      <c r="H769" s="9" t="s">
        <v>240</v>
      </c>
      <c r="I769" s="15"/>
      <c r="J769" s="15"/>
      <c r="K769" s="15">
        <f t="shared" si="296"/>
        <v>0</v>
      </c>
      <c r="L769" s="130"/>
      <c r="M769" s="15">
        <f>M770</f>
        <v>47000</v>
      </c>
      <c r="N769" s="15">
        <f t="shared" si="318"/>
        <v>0</v>
      </c>
      <c r="O769" s="15">
        <f t="shared" ref="O769:O834" si="321">M769+N769</f>
        <v>47000</v>
      </c>
      <c r="Q769" s="15">
        <f t="shared" si="319"/>
        <v>47000</v>
      </c>
      <c r="R769" s="15">
        <f t="shared" si="300"/>
        <v>0</v>
      </c>
      <c r="S769" s="15">
        <f t="shared" si="301"/>
        <v>47000</v>
      </c>
    </row>
    <row r="770" spans="2:19" x14ac:dyDescent="0.25">
      <c r="B770" s="73">
        <f t="shared" si="320"/>
        <v>195</v>
      </c>
      <c r="C770" s="9"/>
      <c r="D770" s="9"/>
      <c r="E770" s="9"/>
      <c r="F770" s="12"/>
      <c r="G770" s="99"/>
      <c r="H770" s="67" t="s">
        <v>596</v>
      </c>
      <c r="I770" s="13"/>
      <c r="J770" s="13"/>
      <c r="K770" s="13">
        <f t="shared" si="296"/>
        <v>0</v>
      </c>
      <c r="L770" s="132"/>
      <c r="M770" s="13">
        <v>47000</v>
      </c>
      <c r="N770" s="13"/>
      <c r="O770" s="13">
        <f t="shared" si="321"/>
        <v>47000</v>
      </c>
      <c r="Q770" s="13">
        <f t="shared" si="319"/>
        <v>47000</v>
      </c>
      <c r="R770" s="13">
        <f t="shared" si="300"/>
        <v>0</v>
      </c>
      <c r="S770" s="13">
        <f t="shared" si="301"/>
        <v>47000</v>
      </c>
    </row>
    <row r="771" spans="2:19" x14ac:dyDescent="0.25">
      <c r="B771" s="73">
        <f t="shared" si="320"/>
        <v>196</v>
      </c>
      <c r="C771" s="38"/>
      <c r="D771" s="38"/>
      <c r="E771" s="38">
        <v>6</v>
      </c>
      <c r="F771" s="38"/>
      <c r="G771" s="95"/>
      <c r="H771" s="38" t="s">
        <v>167</v>
      </c>
      <c r="I771" s="39">
        <f>I772+I773+I774+I781+I782+I783+I784+I791</f>
        <v>773542</v>
      </c>
      <c r="J771" s="39">
        <f>J772+J773+J774+J781+J782+J783+J784+J791+J792</f>
        <v>5172</v>
      </c>
      <c r="K771" s="39">
        <f t="shared" ref="K771:K836" si="322">I771+J771</f>
        <v>778714</v>
      </c>
      <c r="L771" s="138"/>
      <c r="M771" s="39">
        <v>0</v>
      </c>
      <c r="N771" s="39">
        <v>0</v>
      </c>
      <c r="O771" s="39">
        <f t="shared" si="321"/>
        <v>0</v>
      </c>
      <c r="Q771" s="39">
        <f t="shared" si="319"/>
        <v>773542</v>
      </c>
      <c r="R771" s="39">
        <f t="shared" si="300"/>
        <v>5172</v>
      </c>
      <c r="S771" s="39">
        <f t="shared" si="301"/>
        <v>778714</v>
      </c>
    </row>
    <row r="772" spans="2:19" x14ac:dyDescent="0.25">
      <c r="B772" s="73">
        <f t="shared" si="320"/>
        <v>197</v>
      </c>
      <c r="C772" s="21"/>
      <c r="D772" s="21"/>
      <c r="E772" s="21"/>
      <c r="F772" s="42" t="s">
        <v>305</v>
      </c>
      <c r="G772" s="97">
        <v>610</v>
      </c>
      <c r="H772" s="21" t="s">
        <v>245</v>
      </c>
      <c r="I772" s="15">
        <f>217474-4500</f>
        <v>212974</v>
      </c>
      <c r="J772" s="15"/>
      <c r="K772" s="15">
        <f t="shared" si="322"/>
        <v>212974</v>
      </c>
      <c r="L772" s="130"/>
      <c r="M772" s="15"/>
      <c r="N772" s="15"/>
      <c r="O772" s="15">
        <f t="shared" si="321"/>
        <v>0</v>
      </c>
      <c r="Q772" s="15">
        <f t="shared" si="319"/>
        <v>212974</v>
      </c>
      <c r="R772" s="15">
        <f t="shared" si="300"/>
        <v>0</v>
      </c>
      <c r="S772" s="15">
        <f t="shared" si="301"/>
        <v>212974</v>
      </c>
    </row>
    <row r="773" spans="2:19" x14ac:dyDescent="0.25">
      <c r="B773" s="73">
        <f t="shared" si="320"/>
        <v>198</v>
      </c>
      <c r="C773" s="21"/>
      <c r="D773" s="21"/>
      <c r="E773" s="21"/>
      <c r="F773" s="42" t="s">
        <v>305</v>
      </c>
      <c r="G773" s="97">
        <v>620</v>
      </c>
      <c r="H773" s="21" t="s">
        <v>228</v>
      </c>
      <c r="I773" s="15">
        <f>73387-3258</f>
        <v>70129</v>
      </c>
      <c r="J773" s="15"/>
      <c r="K773" s="15">
        <f t="shared" si="322"/>
        <v>70129</v>
      </c>
      <c r="L773" s="130"/>
      <c r="M773" s="15"/>
      <c r="N773" s="15"/>
      <c r="O773" s="15">
        <f t="shared" si="321"/>
        <v>0</v>
      </c>
      <c r="Q773" s="15">
        <f t="shared" si="319"/>
        <v>70129</v>
      </c>
      <c r="R773" s="15">
        <f t="shared" si="300"/>
        <v>0</v>
      </c>
      <c r="S773" s="15">
        <f t="shared" si="301"/>
        <v>70129</v>
      </c>
    </row>
    <row r="774" spans="2:19" x14ac:dyDescent="0.25">
      <c r="B774" s="73">
        <f t="shared" si="320"/>
        <v>199</v>
      </c>
      <c r="C774" s="21"/>
      <c r="D774" s="21"/>
      <c r="E774" s="21"/>
      <c r="F774" s="42" t="s">
        <v>305</v>
      </c>
      <c r="G774" s="97">
        <v>630</v>
      </c>
      <c r="H774" s="21" t="s">
        <v>218</v>
      </c>
      <c r="I774" s="15">
        <f>I775+I776+I777+I778+I779+I780</f>
        <v>65434</v>
      </c>
      <c r="J774" s="15">
        <f t="shared" ref="J774" si="323">J775+J776+J777+J778+J779+J780</f>
        <v>0</v>
      </c>
      <c r="K774" s="15">
        <f t="shared" si="322"/>
        <v>65434</v>
      </c>
      <c r="L774" s="130"/>
      <c r="M774" s="15"/>
      <c r="N774" s="15"/>
      <c r="O774" s="15">
        <f t="shared" si="321"/>
        <v>0</v>
      </c>
      <c r="Q774" s="15">
        <f t="shared" si="319"/>
        <v>65434</v>
      </c>
      <c r="R774" s="15">
        <f t="shared" si="300"/>
        <v>0</v>
      </c>
      <c r="S774" s="15">
        <f t="shared" si="301"/>
        <v>65434</v>
      </c>
    </row>
    <row r="775" spans="2:19" x14ac:dyDescent="0.25">
      <c r="B775" s="73">
        <f t="shared" si="320"/>
        <v>200</v>
      </c>
      <c r="C775" s="9"/>
      <c r="D775" s="9"/>
      <c r="E775" s="9"/>
      <c r="F775" s="43" t="s">
        <v>305</v>
      </c>
      <c r="G775" s="98">
        <v>631</v>
      </c>
      <c r="H775" s="9" t="s">
        <v>219</v>
      </c>
      <c r="I775" s="10">
        <v>237</v>
      </c>
      <c r="J775" s="10"/>
      <c r="K775" s="10">
        <f t="shared" si="322"/>
        <v>237</v>
      </c>
      <c r="L775" s="131"/>
      <c r="M775" s="10"/>
      <c r="N775" s="10"/>
      <c r="O775" s="10">
        <f t="shared" si="321"/>
        <v>0</v>
      </c>
      <c r="Q775" s="10">
        <f t="shared" si="319"/>
        <v>237</v>
      </c>
      <c r="R775" s="10">
        <f t="shared" si="300"/>
        <v>0</v>
      </c>
      <c r="S775" s="10">
        <f t="shared" si="301"/>
        <v>237</v>
      </c>
    </row>
    <row r="776" spans="2:19" x14ac:dyDescent="0.25">
      <c r="B776" s="73">
        <f t="shared" ref="B776:B834" si="324">B775+1</f>
        <v>201</v>
      </c>
      <c r="C776" s="9"/>
      <c r="D776" s="73"/>
      <c r="E776" s="9"/>
      <c r="F776" s="43" t="s">
        <v>305</v>
      </c>
      <c r="G776" s="98">
        <v>632</v>
      </c>
      <c r="H776" s="9" t="s">
        <v>229</v>
      </c>
      <c r="I776" s="10">
        <f>38782-5500</f>
        <v>33282</v>
      </c>
      <c r="J776" s="10"/>
      <c r="K776" s="10">
        <f t="shared" si="322"/>
        <v>33282</v>
      </c>
      <c r="L776" s="131"/>
      <c r="M776" s="10"/>
      <c r="N776" s="10"/>
      <c r="O776" s="10">
        <f t="shared" si="321"/>
        <v>0</v>
      </c>
      <c r="Q776" s="10">
        <f t="shared" si="319"/>
        <v>33282</v>
      </c>
      <c r="R776" s="10">
        <f t="shared" si="300"/>
        <v>0</v>
      </c>
      <c r="S776" s="10">
        <f t="shared" si="301"/>
        <v>33282</v>
      </c>
    </row>
    <row r="777" spans="2:19" x14ac:dyDescent="0.25">
      <c r="B777" s="73">
        <f t="shared" si="324"/>
        <v>202</v>
      </c>
      <c r="C777" s="9"/>
      <c r="D777" s="9"/>
      <c r="E777" s="9"/>
      <c r="F777" s="43" t="s">
        <v>305</v>
      </c>
      <c r="G777" s="98">
        <v>633</v>
      </c>
      <c r="H777" s="9" t="s">
        <v>220</v>
      </c>
      <c r="I777" s="10">
        <v>10077</v>
      </c>
      <c r="J777" s="10"/>
      <c r="K777" s="10">
        <f t="shared" si="322"/>
        <v>10077</v>
      </c>
      <c r="L777" s="131"/>
      <c r="M777" s="10"/>
      <c r="N777" s="10"/>
      <c r="O777" s="10">
        <f t="shared" si="321"/>
        <v>0</v>
      </c>
      <c r="Q777" s="10">
        <f t="shared" si="319"/>
        <v>10077</v>
      </c>
      <c r="R777" s="10">
        <f t="shared" si="300"/>
        <v>0</v>
      </c>
      <c r="S777" s="10">
        <f t="shared" si="301"/>
        <v>10077</v>
      </c>
    </row>
    <row r="778" spans="2:19" x14ac:dyDescent="0.25">
      <c r="B778" s="73">
        <f t="shared" si="324"/>
        <v>203</v>
      </c>
      <c r="C778" s="9"/>
      <c r="D778" s="9"/>
      <c r="E778" s="9"/>
      <c r="F778" s="43" t="s">
        <v>305</v>
      </c>
      <c r="G778" s="98">
        <v>634</v>
      </c>
      <c r="H778" s="9" t="s">
        <v>221</v>
      </c>
      <c r="I778" s="10">
        <v>987</v>
      </c>
      <c r="J778" s="10"/>
      <c r="K778" s="10">
        <f t="shared" si="322"/>
        <v>987</v>
      </c>
      <c r="L778" s="131"/>
      <c r="M778" s="10"/>
      <c r="N778" s="10"/>
      <c r="O778" s="10">
        <f t="shared" si="321"/>
        <v>0</v>
      </c>
      <c r="Q778" s="10">
        <f t="shared" si="319"/>
        <v>987</v>
      </c>
      <c r="R778" s="10">
        <f t="shared" si="300"/>
        <v>0</v>
      </c>
      <c r="S778" s="10">
        <f t="shared" si="301"/>
        <v>987</v>
      </c>
    </row>
    <row r="779" spans="2:19" x14ac:dyDescent="0.25">
      <c r="B779" s="73">
        <f t="shared" si="324"/>
        <v>204</v>
      </c>
      <c r="C779" s="9"/>
      <c r="D779" s="9"/>
      <c r="E779" s="9"/>
      <c r="F779" s="43" t="s">
        <v>305</v>
      </c>
      <c r="G779" s="98">
        <v>635</v>
      </c>
      <c r="H779" s="9" t="s">
        <v>234</v>
      </c>
      <c r="I779" s="10">
        <f>5934</f>
        <v>5934</v>
      </c>
      <c r="J779" s="10"/>
      <c r="K779" s="10">
        <f t="shared" si="322"/>
        <v>5934</v>
      </c>
      <c r="L779" s="131"/>
      <c r="M779" s="10"/>
      <c r="N779" s="10"/>
      <c r="O779" s="10">
        <f t="shared" si="321"/>
        <v>0</v>
      </c>
      <c r="Q779" s="10">
        <f t="shared" si="319"/>
        <v>5934</v>
      </c>
      <c r="R779" s="10">
        <f t="shared" si="300"/>
        <v>0</v>
      </c>
      <c r="S779" s="10">
        <f t="shared" si="301"/>
        <v>5934</v>
      </c>
    </row>
    <row r="780" spans="2:19" x14ac:dyDescent="0.25">
      <c r="B780" s="73">
        <f t="shared" si="324"/>
        <v>205</v>
      </c>
      <c r="C780" s="9"/>
      <c r="D780" s="9"/>
      <c r="E780" s="9"/>
      <c r="F780" s="43" t="s">
        <v>305</v>
      </c>
      <c r="G780" s="98">
        <v>637</v>
      </c>
      <c r="H780" s="9" t="s">
        <v>223</v>
      </c>
      <c r="I780" s="10">
        <v>14917</v>
      </c>
      <c r="J780" s="10"/>
      <c r="K780" s="10">
        <f t="shared" si="322"/>
        <v>14917</v>
      </c>
      <c r="L780" s="131"/>
      <c r="M780" s="10"/>
      <c r="N780" s="10"/>
      <c r="O780" s="10">
        <f t="shared" si="321"/>
        <v>0</v>
      </c>
      <c r="Q780" s="10">
        <f t="shared" si="319"/>
        <v>14917</v>
      </c>
      <c r="R780" s="10">
        <f t="shared" si="300"/>
        <v>0</v>
      </c>
      <c r="S780" s="10">
        <f t="shared" si="301"/>
        <v>14917</v>
      </c>
    </row>
    <row r="781" spans="2:19" x14ac:dyDescent="0.25">
      <c r="B781" s="73">
        <f t="shared" si="324"/>
        <v>206</v>
      </c>
      <c r="C781" s="21"/>
      <c r="D781" s="21"/>
      <c r="E781" s="21"/>
      <c r="F781" s="42" t="s">
        <v>305</v>
      </c>
      <c r="G781" s="97">
        <v>640</v>
      </c>
      <c r="H781" s="21" t="s">
        <v>230</v>
      </c>
      <c r="I781" s="15">
        <f>128+322</f>
        <v>450</v>
      </c>
      <c r="J781" s="15"/>
      <c r="K781" s="15">
        <f t="shared" si="322"/>
        <v>450</v>
      </c>
      <c r="L781" s="130"/>
      <c r="M781" s="15"/>
      <c r="N781" s="15"/>
      <c r="O781" s="15">
        <f t="shared" si="321"/>
        <v>0</v>
      </c>
      <c r="Q781" s="15">
        <f t="shared" si="319"/>
        <v>450</v>
      </c>
      <c r="R781" s="15">
        <f t="shared" si="300"/>
        <v>0</v>
      </c>
      <c r="S781" s="15">
        <f t="shared" si="301"/>
        <v>450</v>
      </c>
    </row>
    <row r="782" spans="2:19" x14ac:dyDescent="0.25">
      <c r="B782" s="73">
        <f t="shared" si="324"/>
        <v>207</v>
      </c>
      <c r="C782" s="21"/>
      <c r="D782" s="21"/>
      <c r="E782" s="21"/>
      <c r="F782" s="42" t="s">
        <v>306</v>
      </c>
      <c r="G782" s="97">
        <v>610</v>
      </c>
      <c r="H782" s="21" t="s">
        <v>245</v>
      </c>
      <c r="I782" s="15">
        <f>272556-5500</f>
        <v>267056</v>
      </c>
      <c r="J782" s="15"/>
      <c r="K782" s="15">
        <f t="shared" si="322"/>
        <v>267056</v>
      </c>
      <c r="L782" s="130"/>
      <c r="M782" s="15"/>
      <c r="N782" s="15"/>
      <c r="O782" s="15">
        <f t="shared" si="321"/>
        <v>0</v>
      </c>
      <c r="Q782" s="15">
        <f t="shared" si="319"/>
        <v>267056</v>
      </c>
      <c r="R782" s="15">
        <f t="shared" si="300"/>
        <v>0</v>
      </c>
      <c r="S782" s="15">
        <f t="shared" si="301"/>
        <v>267056</v>
      </c>
    </row>
    <row r="783" spans="2:19" x14ac:dyDescent="0.25">
      <c r="B783" s="73">
        <f t="shared" si="324"/>
        <v>208</v>
      </c>
      <c r="C783" s="21"/>
      <c r="D783" s="21"/>
      <c r="E783" s="21"/>
      <c r="F783" s="42" t="s">
        <v>306</v>
      </c>
      <c r="G783" s="97">
        <v>620</v>
      </c>
      <c r="H783" s="21" t="s">
        <v>228</v>
      </c>
      <c r="I783" s="15">
        <f>92058-3982</f>
        <v>88076</v>
      </c>
      <c r="J783" s="15"/>
      <c r="K783" s="15">
        <f t="shared" si="322"/>
        <v>88076</v>
      </c>
      <c r="L783" s="130"/>
      <c r="M783" s="15"/>
      <c r="N783" s="15"/>
      <c r="O783" s="15">
        <f t="shared" si="321"/>
        <v>0</v>
      </c>
      <c r="Q783" s="15">
        <f t="shared" si="319"/>
        <v>88076</v>
      </c>
      <c r="R783" s="15">
        <f t="shared" si="300"/>
        <v>0</v>
      </c>
      <c r="S783" s="15">
        <f t="shared" si="301"/>
        <v>88076</v>
      </c>
    </row>
    <row r="784" spans="2:19" x14ac:dyDescent="0.25">
      <c r="B784" s="73">
        <f t="shared" si="324"/>
        <v>209</v>
      </c>
      <c r="C784" s="21"/>
      <c r="D784" s="21"/>
      <c r="E784" s="21"/>
      <c r="F784" s="42" t="s">
        <v>306</v>
      </c>
      <c r="G784" s="97">
        <v>630</v>
      </c>
      <c r="H784" s="21" t="s">
        <v>218</v>
      </c>
      <c r="I784" s="15">
        <f>I785+I786+I787+I788+I789+I790</f>
        <v>68873</v>
      </c>
      <c r="J784" s="15">
        <f t="shared" ref="J784" si="325">J785+J786+J787+J788+J789+J790</f>
        <v>0</v>
      </c>
      <c r="K784" s="15">
        <f t="shared" si="322"/>
        <v>68873</v>
      </c>
      <c r="L784" s="130"/>
      <c r="M784" s="15"/>
      <c r="N784" s="15"/>
      <c r="O784" s="15">
        <f t="shared" si="321"/>
        <v>0</v>
      </c>
      <c r="Q784" s="15">
        <f t="shared" si="319"/>
        <v>68873</v>
      </c>
      <c r="R784" s="15">
        <f t="shared" ref="R784:R849" si="326">J784+N784</f>
        <v>0</v>
      </c>
      <c r="S784" s="15">
        <f t="shared" ref="S784:S849" si="327">K784+O784</f>
        <v>68873</v>
      </c>
    </row>
    <row r="785" spans="2:19" x14ac:dyDescent="0.25">
      <c r="B785" s="73">
        <f t="shared" si="324"/>
        <v>210</v>
      </c>
      <c r="C785" s="9"/>
      <c r="D785" s="9"/>
      <c r="E785" s="9"/>
      <c r="F785" s="43" t="s">
        <v>306</v>
      </c>
      <c r="G785" s="98">
        <v>631</v>
      </c>
      <c r="H785" s="9" t="s">
        <v>219</v>
      </c>
      <c r="I785" s="10">
        <v>195</v>
      </c>
      <c r="J785" s="10"/>
      <c r="K785" s="10">
        <f t="shared" si="322"/>
        <v>195</v>
      </c>
      <c r="L785" s="131"/>
      <c r="M785" s="10"/>
      <c r="N785" s="10"/>
      <c r="O785" s="10">
        <f t="shared" si="321"/>
        <v>0</v>
      </c>
      <c r="Q785" s="10">
        <f t="shared" si="319"/>
        <v>195</v>
      </c>
      <c r="R785" s="10">
        <f t="shared" si="326"/>
        <v>0</v>
      </c>
      <c r="S785" s="10">
        <f t="shared" si="327"/>
        <v>195</v>
      </c>
    </row>
    <row r="786" spans="2:19" x14ac:dyDescent="0.25">
      <c r="B786" s="73">
        <f t="shared" si="324"/>
        <v>211</v>
      </c>
      <c r="C786" s="9"/>
      <c r="D786" s="9"/>
      <c r="E786" s="9"/>
      <c r="F786" s="43" t="s">
        <v>306</v>
      </c>
      <c r="G786" s="98">
        <v>632</v>
      </c>
      <c r="H786" s="9" t="s">
        <v>229</v>
      </c>
      <c r="I786" s="10">
        <f>32714-4500</f>
        <v>28214</v>
      </c>
      <c r="J786" s="10"/>
      <c r="K786" s="10">
        <f t="shared" si="322"/>
        <v>28214</v>
      </c>
      <c r="L786" s="131"/>
      <c r="M786" s="10"/>
      <c r="N786" s="10"/>
      <c r="O786" s="10">
        <f t="shared" si="321"/>
        <v>0</v>
      </c>
      <c r="Q786" s="10">
        <f t="shared" si="319"/>
        <v>28214</v>
      </c>
      <c r="R786" s="10">
        <f t="shared" si="326"/>
        <v>0</v>
      </c>
      <c r="S786" s="10">
        <f t="shared" si="327"/>
        <v>28214</v>
      </c>
    </row>
    <row r="787" spans="2:19" x14ac:dyDescent="0.25">
      <c r="B787" s="73">
        <f t="shared" si="324"/>
        <v>212</v>
      </c>
      <c r="C787" s="9"/>
      <c r="D787" s="9"/>
      <c r="E787" s="9"/>
      <c r="F787" s="43" t="s">
        <v>306</v>
      </c>
      <c r="G787" s="98">
        <v>633</v>
      </c>
      <c r="H787" s="9" t="s">
        <v>220</v>
      </c>
      <c r="I787" s="10">
        <v>16006</v>
      </c>
      <c r="J787" s="10"/>
      <c r="K787" s="10">
        <f t="shared" si="322"/>
        <v>16006</v>
      </c>
      <c r="L787" s="131"/>
      <c r="M787" s="10"/>
      <c r="N787" s="10"/>
      <c r="O787" s="10">
        <f t="shared" si="321"/>
        <v>0</v>
      </c>
      <c r="Q787" s="10">
        <f t="shared" si="319"/>
        <v>16006</v>
      </c>
      <c r="R787" s="10">
        <f t="shared" si="326"/>
        <v>0</v>
      </c>
      <c r="S787" s="10">
        <f t="shared" si="327"/>
        <v>16006</v>
      </c>
    </row>
    <row r="788" spans="2:19" x14ac:dyDescent="0.25">
      <c r="B788" s="73">
        <f t="shared" si="324"/>
        <v>213</v>
      </c>
      <c r="C788" s="9"/>
      <c r="D788" s="9"/>
      <c r="E788" s="9"/>
      <c r="F788" s="43" t="s">
        <v>306</v>
      </c>
      <c r="G788" s="98">
        <v>634</v>
      </c>
      <c r="H788" s="9" t="s">
        <v>221</v>
      </c>
      <c r="I788" s="10">
        <v>2337</v>
      </c>
      <c r="J788" s="10"/>
      <c r="K788" s="10">
        <f t="shared" si="322"/>
        <v>2337</v>
      </c>
      <c r="L788" s="131"/>
      <c r="M788" s="10"/>
      <c r="N788" s="10"/>
      <c r="O788" s="10">
        <f t="shared" si="321"/>
        <v>0</v>
      </c>
      <c r="Q788" s="10">
        <f t="shared" si="319"/>
        <v>2337</v>
      </c>
      <c r="R788" s="10">
        <f t="shared" si="326"/>
        <v>0</v>
      </c>
      <c r="S788" s="10">
        <f t="shared" si="327"/>
        <v>2337</v>
      </c>
    </row>
    <row r="789" spans="2:19" x14ac:dyDescent="0.25">
      <c r="B789" s="73">
        <f t="shared" si="324"/>
        <v>214</v>
      </c>
      <c r="C789" s="9"/>
      <c r="D789" s="9"/>
      <c r="E789" s="9"/>
      <c r="F789" s="43" t="s">
        <v>306</v>
      </c>
      <c r="G789" s="98">
        <v>635</v>
      </c>
      <c r="H789" s="9" t="s">
        <v>234</v>
      </c>
      <c r="I789" s="10">
        <f>4613+3900</f>
        <v>8513</v>
      </c>
      <c r="J789" s="10"/>
      <c r="K789" s="10">
        <f t="shared" si="322"/>
        <v>8513</v>
      </c>
      <c r="L789" s="131"/>
      <c r="M789" s="10"/>
      <c r="N789" s="10"/>
      <c r="O789" s="10">
        <f t="shared" si="321"/>
        <v>0</v>
      </c>
      <c r="Q789" s="10">
        <f t="shared" si="319"/>
        <v>8513</v>
      </c>
      <c r="R789" s="10">
        <f t="shared" si="326"/>
        <v>0</v>
      </c>
      <c r="S789" s="10">
        <f t="shared" si="327"/>
        <v>8513</v>
      </c>
    </row>
    <row r="790" spans="2:19" x14ac:dyDescent="0.25">
      <c r="B790" s="73">
        <f t="shared" si="324"/>
        <v>215</v>
      </c>
      <c r="C790" s="9"/>
      <c r="D790" s="9"/>
      <c r="E790" s="9"/>
      <c r="F790" s="43" t="s">
        <v>306</v>
      </c>
      <c r="G790" s="98">
        <v>637</v>
      </c>
      <c r="H790" s="9" t="s">
        <v>223</v>
      </c>
      <c r="I790" s="10">
        <v>13608</v>
      </c>
      <c r="J790" s="10"/>
      <c r="K790" s="10">
        <f t="shared" si="322"/>
        <v>13608</v>
      </c>
      <c r="L790" s="131"/>
      <c r="M790" s="10"/>
      <c r="N790" s="10"/>
      <c r="O790" s="10">
        <f t="shared" si="321"/>
        <v>0</v>
      </c>
      <c r="Q790" s="10">
        <f t="shared" si="319"/>
        <v>13608</v>
      </c>
      <c r="R790" s="10">
        <f t="shared" si="326"/>
        <v>0</v>
      </c>
      <c r="S790" s="10">
        <f t="shared" si="327"/>
        <v>13608</v>
      </c>
    </row>
    <row r="791" spans="2:19" x14ac:dyDescent="0.25">
      <c r="B791" s="73">
        <f t="shared" si="324"/>
        <v>216</v>
      </c>
      <c r="C791" s="21"/>
      <c r="D791" s="21"/>
      <c r="E791" s="21"/>
      <c r="F791" s="42" t="s">
        <v>306</v>
      </c>
      <c r="G791" s="97">
        <v>640</v>
      </c>
      <c r="H791" s="21" t="s">
        <v>230</v>
      </c>
      <c r="I791" s="15">
        <f>156+394</f>
        <v>550</v>
      </c>
      <c r="J791" s="15"/>
      <c r="K791" s="15">
        <f t="shared" si="322"/>
        <v>550</v>
      </c>
      <c r="L791" s="130"/>
      <c r="M791" s="15"/>
      <c r="N791" s="15"/>
      <c r="O791" s="15">
        <f t="shared" si="321"/>
        <v>0</v>
      </c>
      <c r="Q791" s="15">
        <f t="shared" si="319"/>
        <v>550</v>
      </c>
      <c r="R791" s="15">
        <f t="shared" si="326"/>
        <v>0</v>
      </c>
      <c r="S791" s="15">
        <f t="shared" si="327"/>
        <v>550</v>
      </c>
    </row>
    <row r="792" spans="2:19" x14ac:dyDescent="0.25">
      <c r="B792" s="73">
        <f t="shared" si="324"/>
        <v>217</v>
      </c>
      <c r="C792" s="21"/>
      <c r="D792" s="21"/>
      <c r="E792" s="21"/>
      <c r="F792" s="42"/>
      <c r="G792" s="97">
        <v>630</v>
      </c>
      <c r="H792" s="21" t="s">
        <v>660</v>
      </c>
      <c r="I792" s="15">
        <v>0</v>
      </c>
      <c r="J792" s="15">
        <v>5172</v>
      </c>
      <c r="K792" s="15">
        <f t="shared" si="322"/>
        <v>5172</v>
      </c>
      <c r="L792" s="130"/>
      <c r="M792" s="15"/>
      <c r="N792" s="15"/>
      <c r="O792" s="15">
        <f t="shared" si="321"/>
        <v>0</v>
      </c>
      <c r="Q792" s="15">
        <f t="shared" ref="Q792" si="328">I792+M792</f>
        <v>0</v>
      </c>
      <c r="R792" s="15">
        <f t="shared" ref="R792" si="329">J792+N792</f>
        <v>5172</v>
      </c>
      <c r="S792" s="15">
        <f t="shared" ref="S792" si="330">K792+O792</f>
        <v>5172</v>
      </c>
    </row>
    <row r="793" spans="2:19" x14ac:dyDescent="0.25">
      <c r="B793" s="73">
        <f t="shared" si="324"/>
        <v>218</v>
      </c>
      <c r="C793" s="38"/>
      <c r="D793" s="38"/>
      <c r="E793" s="38">
        <v>7</v>
      </c>
      <c r="F793" s="38"/>
      <c r="G793" s="95"/>
      <c r="H793" s="38" t="s">
        <v>168</v>
      </c>
      <c r="I793" s="39">
        <f>I794+I795+I796+I802+I803+I804+I805+I811</f>
        <v>1088955</v>
      </c>
      <c r="J793" s="39">
        <f>J794+J795+J796+J802+J803+J804+J805+J811+J812</f>
        <v>1562</v>
      </c>
      <c r="K793" s="39">
        <f t="shared" si="322"/>
        <v>1090517</v>
      </c>
      <c r="L793" s="138"/>
      <c r="M793" s="39">
        <f>M813</f>
        <v>18300</v>
      </c>
      <c r="N793" s="39">
        <f t="shared" ref="N793" si="331">N813</f>
        <v>0</v>
      </c>
      <c r="O793" s="39">
        <f t="shared" si="321"/>
        <v>18300</v>
      </c>
      <c r="Q793" s="39">
        <f t="shared" si="319"/>
        <v>1107255</v>
      </c>
      <c r="R793" s="39">
        <f t="shared" si="326"/>
        <v>1562</v>
      </c>
      <c r="S793" s="39">
        <f t="shared" si="327"/>
        <v>1108817</v>
      </c>
    </row>
    <row r="794" spans="2:19" x14ac:dyDescent="0.25">
      <c r="B794" s="73">
        <f t="shared" si="324"/>
        <v>219</v>
      </c>
      <c r="C794" s="21"/>
      <c r="D794" s="21"/>
      <c r="E794" s="21"/>
      <c r="F794" s="42" t="s">
        <v>305</v>
      </c>
      <c r="G794" s="97">
        <v>610</v>
      </c>
      <c r="H794" s="21" t="s">
        <v>245</v>
      </c>
      <c r="I794" s="15">
        <f>254699+9216</f>
        <v>263915</v>
      </c>
      <c r="J794" s="15"/>
      <c r="K794" s="15">
        <f t="shared" si="322"/>
        <v>263915</v>
      </c>
      <c r="L794" s="130"/>
      <c r="M794" s="15"/>
      <c r="N794" s="15"/>
      <c r="O794" s="15">
        <f t="shared" si="321"/>
        <v>0</v>
      </c>
      <c r="Q794" s="15">
        <f t="shared" si="319"/>
        <v>263915</v>
      </c>
      <c r="R794" s="15">
        <f t="shared" si="326"/>
        <v>0</v>
      </c>
      <c r="S794" s="15">
        <f t="shared" si="327"/>
        <v>263915</v>
      </c>
    </row>
    <row r="795" spans="2:19" x14ac:dyDescent="0.25">
      <c r="B795" s="73">
        <f t="shared" si="324"/>
        <v>220</v>
      </c>
      <c r="C795" s="21"/>
      <c r="D795" s="21"/>
      <c r="E795" s="21"/>
      <c r="F795" s="42" t="s">
        <v>305</v>
      </c>
      <c r="G795" s="97">
        <v>620</v>
      </c>
      <c r="H795" s="21" t="s">
        <v>228</v>
      </c>
      <c r="I795" s="15">
        <f>89653+3244</f>
        <v>92897</v>
      </c>
      <c r="J795" s="15"/>
      <c r="K795" s="15">
        <f t="shared" si="322"/>
        <v>92897</v>
      </c>
      <c r="L795" s="130"/>
      <c r="M795" s="15"/>
      <c r="N795" s="15"/>
      <c r="O795" s="15">
        <f t="shared" si="321"/>
        <v>0</v>
      </c>
      <c r="Q795" s="15">
        <f t="shared" si="319"/>
        <v>92897</v>
      </c>
      <c r="R795" s="15">
        <f t="shared" si="326"/>
        <v>0</v>
      </c>
      <c r="S795" s="15">
        <f t="shared" si="327"/>
        <v>92897</v>
      </c>
    </row>
    <row r="796" spans="2:19" x14ac:dyDescent="0.25">
      <c r="B796" s="73">
        <f t="shared" si="324"/>
        <v>221</v>
      </c>
      <c r="C796" s="21"/>
      <c r="D796" s="21"/>
      <c r="E796" s="21"/>
      <c r="F796" s="42" t="s">
        <v>305</v>
      </c>
      <c r="G796" s="97">
        <v>630</v>
      </c>
      <c r="H796" s="21" t="s">
        <v>218</v>
      </c>
      <c r="I796" s="15">
        <f>I797+I798+I799+I800+I801</f>
        <v>68133</v>
      </c>
      <c r="J796" s="15">
        <f t="shared" ref="J796" si="332">J797+J798+J799+J800+J801</f>
        <v>0</v>
      </c>
      <c r="K796" s="15">
        <f t="shared" si="322"/>
        <v>68133</v>
      </c>
      <c r="L796" s="130"/>
      <c r="M796" s="15"/>
      <c r="N796" s="15"/>
      <c r="O796" s="15">
        <f t="shared" si="321"/>
        <v>0</v>
      </c>
      <c r="Q796" s="15">
        <f t="shared" si="319"/>
        <v>68133</v>
      </c>
      <c r="R796" s="15">
        <f t="shared" si="326"/>
        <v>0</v>
      </c>
      <c r="S796" s="15">
        <f t="shared" si="327"/>
        <v>68133</v>
      </c>
    </row>
    <row r="797" spans="2:19" x14ac:dyDescent="0.25">
      <c r="B797" s="73">
        <f t="shared" si="324"/>
        <v>222</v>
      </c>
      <c r="C797" s="9"/>
      <c r="D797" s="9"/>
      <c r="E797" s="9"/>
      <c r="F797" s="43" t="s">
        <v>305</v>
      </c>
      <c r="G797" s="98">
        <v>631</v>
      </c>
      <c r="H797" s="9" t="s">
        <v>219</v>
      </c>
      <c r="I797" s="10">
        <v>113</v>
      </c>
      <c r="J797" s="10"/>
      <c r="K797" s="10">
        <f t="shared" si="322"/>
        <v>113</v>
      </c>
      <c r="L797" s="131"/>
      <c r="M797" s="10"/>
      <c r="N797" s="10"/>
      <c r="O797" s="10">
        <f t="shared" si="321"/>
        <v>0</v>
      </c>
      <c r="Q797" s="10">
        <f t="shared" si="319"/>
        <v>113</v>
      </c>
      <c r="R797" s="10">
        <f t="shared" si="326"/>
        <v>0</v>
      </c>
      <c r="S797" s="10">
        <f t="shared" si="327"/>
        <v>113</v>
      </c>
    </row>
    <row r="798" spans="2:19" x14ac:dyDescent="0.25">
      <c r="B798" s="73">
        <f t="shared" si="324"/>
        <v>223</v>
      </c>
      <c r="C798" s="9"/>
      <c r="D798" s="9"/>
      <c r="E798" s="9"/>
      <c r="F798" s="43" t="s">
        <v>305</v>
      </c>
      <c r="G798" s="98">
        <v>632</v>
      </c>
      <c r="H798" s="9" t="s">
        <v>229</v>
      </c>
      <c r="I798" s="10">
        <f>28541-17235</f>
        <v>11306</v>
      </c>
      <c r="J798" s="10"/>
      <c r="K798" s="10">
        <f t="shared" si="322"/>
        <v>11306</v>
      </c>
      <c r="L798" s="131"/>
      <c r="M798" s="10"/>
      <c r="N798" s="10"/>
      <c r="O798" s="10">
        <f t="shared" si="321"/>
        <v>0</v>
      </c>
      <c r="Q798" s="10">
        <f t="shared" si="319"/>
        <v>11306</v>
      </c>
      <c r="R798" s="10">
        <f t="shared" si="326"/>
        <v>0</v>
      </c>
      <c r="S798" s="10">
        <f t="shared" si="327"/>
        <v>11306</v>
      </c>
    </row>
    <row r="799" spans="2:19" x14ac:dyDescent="0.25">
      <c r="B799" s="73">
        <f t="shared" si="324"/>
        <v>224</v>
      </c>
      <c r="C799" s="9"/>
      <c r="D799" s="9"/>
      <c r="E799" s="9"/>
      <c r="F799" s="43" t="s">
        <v>305</v>
      </c>
      <c r="G799" s="98">
        <v>633</v>
      </c>
      <c r="H799" s="9" t="s">
        <v>220</v>
      </c>
      <c r="I799" s="10">
        <v>23414</v>
      </c>
      <c r="J799" s="10"/>
      <c r="K799" s="10">
        <f t="shared" si="322"/>
        <v>23414</v>
      </c>
      <c r="L799" s="131"/>
      <c r="M799" s="10"/>
      <c r="N799" s="10"/>
      <c r="O799" s="10">
        <f t="shared" si="321"/>
        <v>0</v>
      </c>
      <c r="Q799" s="10">
        <f t="shared" si="319"/>
        <v>23414</v>
      </c>
      <c r="R799" s="10">
        <f t="shared" si="326"/>
        <v>0</v>
      </c>
      <c r="S799" s="10">
        <f t="shared" si="327"/>
        <v>23414</v>
      </c>
    </row>
    <row r="800" spans="2:19" x14ac:dyDescent="0.25">
      <c r="B800" s="73">
        <f t="shared" si="324"/>
        <v>225</v>
      </c>
      <c r="C800" s="9"/>
      <c r="D800" s="9"/>
      <c r="E800" s="9"/>
      <c r="F800" s="43" t="s">
        <v>305</v>
      </c>
      <c r="G800" s="98">
        <v>635</v>
      </c>
      <c r="H800" s="9" t="s">
        <v>234</v>
      </c>
      <c r="I800" s="10">
        <v>10350</v>
      </c>
      <c r="J800" s="10"/>
      <c r="K800" s="10">
        <f t="shared" si="322"/>
        <v>10350</v>
      </c>
      <c r="L800" s="131"/>
      <c r="M800" s="10"/>
      <c r="N800" s="10"/>
      <c r="O800" s="10">
        <f t="shared" si="321"/>
        <v>0</v>
      </c>
      <c r="Q800" s="10">
        <f t="shared" si="319"/>
        <v>10350</v>
      </c>
      <c r="R800" s="10">
        <f t="shared" si="326"/>
        <v>0</v>
      </c>
      <c r="S800" s="10">
        <f t="shared" si="327"/>
        <v>10350</v>
      </c>
    </row>
    <row r="801" spans="2:19" x14ac:dyDescent="0.25">
      <c r="B801" s="73">
        <f t="shared" si="324"/>
        <v>226</v>
      </c>
      <c r="C801" s="9"/>
      <c r="D801" s="9"/>
      <c r="E801" s="9"/>
      <c r="F801" s="43" t="s">
        <v>305</v>
      </c>
      <c r="G801" s="98">
        <v>637</v>
      </c>
      <c r="H801" s="9" t="s">
        <v>223</v>
      </c>
      <c r="I801" s="10">
        <v>22950</v>
      </c>
      <c r="J801" s="10"/>
      <c r="K801" s="10">
        <f t="shared" si="322"/>
        <v>22950</v>
      </c>
      <c r="L801" s="131"/>
      <c r="M801" s="10"/>
      <c r="N801" s="10"/>
      <c r="O801" s="10">
        <f t="shared" si="321"/>
        <v>0</v>
      </c>
      <c r="Q801" s="10">
        <f t="shared" si="319"/>
        <v>22950</v>
      </c>
      <c r="R801" s="10">
        <f t="shared" si="326"/>
        <v>0</v>
      </c>
      <c r="S801" s="10">
        <f t="shared" si="327"/>
        <v>22950</v>
      </c>
    </row>
    <row r="802" spans="2:19" x14ac:dyDescent="0.25">
      <c r="B802" s="73">
        <f t="shared" si="324"/>
        <v>227</v>
      </c>
      <c r="C802" s="21"/>
      <c r="D802" s="21"/>
      <c r="E802" s="21"/>
      <c r="F802" s="42" t="s">
        <v>305</v>
      </c>
      <c r="G802" s="97">
        <v>640</v>
      </c>
      <c r="H802" s="21" t="s">
        <v>230</v>
      </c>
      <c r="I802" s="15">
        <f>653+698</f>
        <v>1351</v>
      </c>
      <c r="J802" s="15"/>
      <c r="K802" s="15">
        <f t="shared" si="322"/>
        <v>1351</v>
      </c>
      <c r="L802" s="130"/>
      <c r="M802" s="15"/>
      <c r="N802" s="15"/>
      <c r="O802" s="15">
        <f t="shared" si="321"/>
        <v>0</v>
      </c>
      <c r="Q802" s="15">
        <f t="shared" si="319"/>
        <v>1351</v>
      </c>
      <c r="R802" s="15">
        <f t="shared" si="326"/>
        <v>0</v>
      </c>
      <c r="S802" s="15">
        <f t="shared" si="327"/>
        <v>1351</v>
      </c>
    </row>
    <row r="803" spans="2:19" x14ac:dyDescent="0.25">
      <c r="B803" s="73">
        <f t="shared" si="324"/>
        <v>228</v>
      </c>
      <c r="C803" s="21"/>
      <c r="D803" s="21"/>
      <c r="E803" s="21"/>
      <c r="F803" s="42" t="s">
        <v>306</v>
      </c>
      <c r="G803" s="97">
        <v>610</v>
      </c>
      <c r="H803" s="21" t="s">
        <v>245</v>
      </c>
      <c r="I803" s="15">
        <f>407743+11264</f>
        <v>419007</v>
      </c>
      <c r="J803" s="15"/>
      <c r="K803" s="15">
        <f t="shared" si="322"/>
        <v>419007</v>
      </c>
      <c r="L803" s="130"/>
      <c r="M803" s="15"/>
      <c r="N803" s="15"/>
      <c r="O803" s="15">
        <f t="shared" si="321"/>
        <v>0</v>
      </c>
      <c r="Q803" s="15">
        <f t="shared" si="319"/>
        <v>419007</v>
      </c>
      <c r="R803" s="15">
        <f t="shared" si="326"/>
        <v>0</v>
      </c>
      <c r="S803" s="15">
        <f t="shared" si="327"/>
        <v>419007</v>
      </c>
    </row>
    <row r="804" spans="2:19" x14ac:dyDescent="0.25">
      <c r="B804" s="73">
        <f t="shared" si="324"/>
        <v>229</v>
      </c>
      <c r="C804" s="21"/>
      <c r="D804" s="21"/>
      <c r="E804" s="21"/>
      <c r="F804" s="42" t="s">
        <v>306</v>
      </c>
      <c r="G804" s="97">
        <v>620</v>
      </c>
      <c r="H804" s="21" t="s">
        <v>228</v>
      </c>
      <c r="I804" s="15">
        <f>143528+3965</f>
        <v>147493</v>
      </c>
      <c r="J804" s="15"/>
      <c r="K804" s="15">
        <f t="shared" si="322"/>
        <v>147493</v>
      </c>
      <c r="L804" s="130"/>
      <c r="M804" s="15"/>
      <c r="N804" s="15"/>
      <c r="O804" s="15">
        <f t="shared" si="321"/>
        <v>0</v>
      </c>
      <c r="Q804" s="15">
        <f t="shared" si="319"/>
        <v>147493</v>
      </c>
      <c r="R804" s="15">
        <f t="shared" si="326"/>
        <v>0</v>
      </c>
      <c r="S804" s="15">
        <f t="shared" si="327"/>
        <v>147493</v>
      </c>
    </row>
    <row r="805" spans="2:19" s="80" customFormat="1" x14ac:dyDescent="0.25">
      <c r="B805" s="73">
        <f t="shared" si="324"/>
        <v>230</v>
      </c>
      <c r="C805" s="21"/>
      <c r="D805" s="21"/>
      <c r="E805" s="21"/>
      <c r="F805" s="42" t="s">
        <v>306</v>
      </c>
      <c r="G805" s="97">
        <v>630</v>
      </c>
      <c r="H805" s="21" t="s">
        <v>218</v>
      </c>
      <c r="I805" s="15">
        <f>I806+I807+I808+I809+I810</f>
        <v>94510</v>
      </c>
      <c r="J805" s="15">
        <f t="shared" ref="J805" si="333">J806+J807+J808+J809+J810</f>
        <v>0</v>
      </c>
      <c r="K805" s="15">
        <f t="shared" si="322"/>
        <v>94510</v>
      </c>
      <c r="L805" s="130"/>
      <c r="M805" s="15"/>
      <c r="N805" s="15"/>
      <c r="O805" s="15">
        <f t="shared" si="321"/>
        <v>0</v>
      </c>
      <c r="P805"/>
      <c r="Q805" s="15">
        <f t="shared" si="319"/>
        <v>94510</v>
      </c>
      <c r="R805" s="15">
        <f t="shared" si="326"/>
        <v>0</v>
      </c>
      <c r="S805" s="15">
        <f t="shared" si="327"/>
        <v>94510</v>
      </c>
    </row>
    <row r="806" spans="2:19" x14ac:dyDescent="0.25">
      <c r="B806" s="73">
        <f t="shared" si="324"/>
        <v>231</v>
      </c>
      <c r="C806" s="9"/>
      <c r="D806" s="9"/>
      <c r="E806" s="9"/>
      <c r="F806" s="43" t="s">
        <v>306</v>
      </c>
      <c r="G806" s="98">
        <v>631</v>
      </c>
      <c r="H806" s="9" t="s">
        <v>219</v>
      </c>
      <c r="I806" s="10">
        <v>137</v>
      </c>
      <c r="J806" s="10"/>
      <c r="K806" s="10">
        <f t="shared" si="322"/>
        <v>137</v>
      </c>
      <c r="L806" s="131"/>
      <c r="M806" s="10"/>
      <c r="N806" s="10"/>
      <c r="O806" s="10">
        <f t="shared" si="321"/>
        <v>0</v>
      </c>
      <c r="Q806" s="10">
        <f t="shared" si="319"/>
        <v>137</v>
      </c>
      <c r="R806" s="10">
        <f t="shared" si="326"/>
        <v>0</v>
      </c>
      <c r="S806" s="10">
        <f t="shared" si="327"/>
        <v>137</v>
      </c>
    </row>
    <row r="807" spans="2:19" x14ac:dyDescent="0.25">
      <c r="B807" s="73">
        <f t="shared" si="324"/>
        <v>232</v>
      </c>
      <c r="C807" s="9"/>
      <c r="D807" s="9"/>
      <c r="E807" s="9"/>
      <c r="F807" s="43" t="s">
        <v>306</v>
      </c>
      <c r="G807" s="98">
        <v>632</v>
      </c>
      <c r="H807" s="9" t="s">
        <v>229</v>
      </c>
      <c r="I807" s="10">
        <f>36866-20565</f>
        <v>16301</v>
      </c>
      <c r="J807" s="10"/>
      <c r="K807" s="10">
        <f t="shared" si="322"/>
        <v>16301</v>
      </c>
      <c r="L807" s="131"/>
      <c r="M807" s="10"/>
      <c r="N807" s="10"/>
      <c r="O807" s="10">
        <f t="shared" si="321"/>
        <v>0</v>
      </c>
      <c r="Q807" s="10">
        <f t="shared" si="319"/>
        <v>16301</v>
      </c>
      <c r="R807" s="10">
        <f t="shared" si="326"/>
        <v>0</v>
      </c>
      <c r="S807" s="10">
        <f t="shared" si="327"/>
        <v>16301</v>
      </c>
    </row>
    <row r="808" spans="2:19" x14ac:dyDescent="0.25">
      <c r="B808" s="73">
        <f t="shared" si="324"/>
        <v>233</v>
      </c>
      <c r="C808" s="9"/>
      <c r="D808" s="9"/>
      <c r="E808" s="9"/>
      <c r="F808" s="43" t="s">
        <v>306</v>
      </c>
      <c r="G808" s="98">
        <v>633</v>
      </c>
      <c r="H808" s="9" t="s">
        <v>220</v>
      </c>
      <c r="I808" s="10">
        <v>38552</v>
      </c>
      <c r="J808" s="10"/>
      <c r="K808" s="10">
        <f t="shared" si="322"/>
        <v>38552</v>
      </c>
      <c r="L808" s="131"/>
      <c r="M808" s="10"/>
      <c r="N808" s="10"/>
      <c r="O808" s="10">
        <f t="shared" si="321"/>
        <v>0</v>
      </c>
      <c r="Q808" s="10">
        <f t="shared" si="319"/>
        <v>38552</v>
      </c>
      <c r="R808" s="10">
        <f t="shared" si="326"/>
        <v>0</v>
      </c>
      <c r="S808" s="10">
        <f t="shared" si="327"/>
        <v>38552</v>
      </c>
    </row>
    <row r="809" spans="2:19" x14ac:dyDescent="0.25">
      <c r="B809" s="73">
        <f t="shared" si="324"/>
        <v>234</v>
      </c>
      <c r="C809" s="9"/>
      <c r="D809" s="9"/>
      <c r="E809" s="9"/>
      <c r="F809" s="43" t="s">
        <v>306</v>
      </c>
      <c r="G809" s="98">
        <v>635</v>
      </c>
      <c r="H809" s="9" t="s">
        <v>234</v>
      </c>
      <c r="I809" s="10">
        <v>12650</v>
      </c>
      <c r="J809" s="10"/>
      <c r="K809" s="10">
        <f t="shared" si="322"/>
        <v>12650</v>
      </c>
      <c r="L809" s="131"/>
      <c r="M809" s="10"/>
      <c r="N809" s="10"/>
      <c r="O809" s="10">
        <f t="shared" si="321"/>
        <v>0</v>
      </c>
      <c r="Q809" s="10">
        <f t="shared" si="319"/>
        <v>12650</v>
      </c>
      <c r="R809" s="10">
        <f t="shared" si="326"/>
        <v>0</v>
      </c>
      <c r="S809" s="10">
        <f t="shared" si="327"/>
        <v>12650</v>
      </c>
    </row>
    <row r="810" spans="2:19" x14ac:dyDescent="0.25">
      <c r="B810" s="73">
        <f t="shared" si="324"/>
        <v>235</v>
      </c>
      <c r="C810" s="9"/>
      <c r="D810" s="9"/>
      <c r="E810" s="9"/>
      <c r="F810" s="43" t="s">
        <v>306</v>
      </c>
      <c r="G810" s="98">
        <v>637</v>
      </c>
      <c r="H810" s="9" t="s">
        <v>223</v>
      </c>
      <c r="I810" s="10">
        <v>26870</v>
      </c>
      <c r="J810" s="10"/>
      <c r="K810" s="10">
        <f t="shared" si="322"/>
        <v>26870</v>
      </c>
      <c r="L810" s="131"/>
      <c r="M810" s="10"/>
      <c r="N810" s="10"/>
      <c r="O810" s="10">
        <f t="shared" si="321"/>
        <v>0</v>
      </c>
      <c r="Q810" s="10">
        <f t="shared" si="319"/>
        <v>26870</v>
      </c>
      <c r="R810" s="10">
        <f t="shared" si="326"/>
        <v>0</v>
      </c>
      <c r="S810" s="10">
        <f t="shared" si="327"/>
        <v>26870</v>
      </c>
    </row>
    <row r="811" spans="2:19" x14ac:dyDescent="0.25">
      <c r="B811" s="73">
        <f t="shared" si="324"/>
        <v>236</v>
      </c>
      <c r="C811" s="21"/>
      <c r="D811" s="21"/>
      <c r="E811" s="21"/>
      <c r="F811" s="42" t="s">
        <v>306</v>
      </c>
      <c r="G811" s="97">
        <v>640</v>
      </c>
      <c r="H811" s="21" t="s">
        <v>230</v>
      </c>
      <c r="I811" s="15">
        <f>797+852</f>
        <v>1649</v>
      </c>
      <c r="J811" s="15"/>
      <c r="K811" s="15">
        <f t="shared" si="322"/>
        <v>1649</v>
      </c>
      <c r="L811" s="130"/>
      <c r="M811" s="15"/>
      <c r="N811" s="15"/>
      <c r="O811" s="15">
        <f t="shared" si="321"/>
        <v>0</v>
      </c>
      <c r="Q811" s="15">
        <f t="shared" si="319"/>
        <v>1649</v>
      </c>
      <c r="R811" s="15">
        <f t="shared" si="326"/>
        <v>0</v>
      </c>
      <c r="S811" s="15">
        <f t="shared" si="327"/>
        <v>1649</v>
      </c>
    </row>
    <row r="812" spans="2:19" x14ac:dyDescent="0.25">
      <c r="B812" s="73">
        <f t="shared" si="324"/>
        <v>237</v>
      </c>
      <c r="C812" s="21"/>
      <c r="D812" s="21"/>
      <c r="E812" s="21"/>
      <c r="F812" s="42"/>
      <c r="G812" s="97">
        <v>630</v>
      </c>
      <c r="H812" s="21" t="s">
        <v>660</v>
      </c>
      <c r="I812" s="15">
        <v>0</v>
      </c>
      <c r="J812" s="15">
        <v>1562</v>
      </c>
      <c r="K812" s="15">
        <f t="shared" si="322"/>
        <v>1562</v>
      </c>
      <c r="L812" s="130"/>
      <c r="M812" s="15"/>
      <c r="N812" s="15"/>
      <c r="O812" s="15">
        <f t="shared" si="321"/>
        <v>0</v>
      </c>
      <c r="Q812" s="15">
        <f t="shared" ref="Q812" si="334">I812+M812</f>
        <v>0</v>
      </c>
      <c r="R812" s="15">
        <f t="shared" ref="R812" si="335">J812+N812</f>
        <v>1562</v>
      </c>
      <c r="S812" s="15">
        <f t="shared" ref="S812" si="336">K812+O812</f>
        <v>1562</v>
      </c>
    </row>
    <row r="813" spans="2:19" x14ac:dyDescent="0.25">
      <c r="B813" s="73">
        <f t="shared" si="324"/>
        <v>238</v>
      </c>
      <c r="C813" s="9"/>
      <c r="D813" s="9"/>
      <c r="E813" s="9"/>
      <c r="F813" s="42" t="s">
        <v>306</v>
      </c>
      <c r="G813" s="97">
        <v>710</v>
      </c>
      <c r="H813" s="21" t="s">
        <v>235</v>
      </c>
      <c r="I813" s="15"/>
      <c r="J813" s="15"/>
      <c r="K813" s="15">
        <f t="shared" si="322"/>
        <v>0</v>
      </c>
      <c r="L813" s="130"/>
      <c r="M813" s="15">
        <f>M814+M817</f>
        <v>18300</v>
      </c>
      <c r="N813" s="15">
        <f t="shared" ref="N813" si="337">N814+N817</f>
        <v>0</v>
      </c>
      <c r="O813" s="15">
        <f t="shared" si="321"/>
        <v>18300</v>
      </c>
      <c r="Q813" s="15">
        <f t="shared" si="319"/>
        <v>18300</v>
      </c>
      <c r="R813" s="15">
        <f t="shared" si="326"/>
        <v>0</v>
      </c>
      <c r="S813" s="15">
        <f t="shared" si="327"/>
        <v>18300</v>
      </c>
    </row>
    <row r="814" spans="2:19" x14ac:dyDescent="0.25">
      <c r="B814" s="73">
        <f t="shared" si="324"/>
        <v>239</v>
      </c>
      <c r="C814" s="9"/>
      <c r="D814" s="9"/>
      <c r="E814" s="9"/>
      <c r="F814" s="44" t="s">
        <v>306</v>
      </c>
      <c r="G814" s="98">
        <v>716</v>
      </c>
      <c r="H814" s="9" t="s">
        <v>237</v>
      </c>
      <c r="I814" s="15"/>
      <c r="J814" s="15"/>
      <c r="K814" s="15">
        <f t="shared" si="322"/>
        <v>0</v>
      </c>
      <c r="L814" s="130"/>
      <c r="M814" s="16">
        <f>M815+M816</f>
        <v>6300</v>
      </c>
      <c r="N814" s="16">
        <f t="shared" ref="N814" si="338">N815+N816</f>
        <v>0</v>
      </c>
      <c r="O814" s="16">
        <f t="shared" si="321"/>
        <v>6300</v>
      </c>
      <c r="Q814" s="16">
        <f t="shared" si="319"/>
        <v>6300</v>
      </c>
      <c r="R814" s="16">
        <f t="shared" si="326"/>
        <v>0</v>
      </c>
      <c r="S814" s="16">
        <f t="shared" si="327"/>
        <v>6300</v>
      </c>
    </row>
    <row r="815" spans="2:19" x14ac:dyDescent="0.25">
      <c r="B815" s="73">
        <f t="shared" si="324"/>
        <v>240</v>
      </c>
      <c r="C815" s="12"/>
      <c r="D815" s="12"/>
      <c r="E815" s="12"/>
      <c r="F815" s="12"/>
      <c r="G815" s="99"/>
      <c r="H815" s="12" t="s">
        <v>574</v>
      </c>
      <c r="I815" s="13"/>
      <c r="J815" s="13"/>
      <c r="K815" s="13">
        <f t="shared" si="322"/>
        <v>0</v>
      </c>
      <c r="L815" s="132"/>
      <c r="M815" s="13">
        <v>5000</v>
      </c>
      <c r="N815" s="13"/>
      <c r="O815" s="13">
        <f t="shared" si="321"/>
        <v>5000</v>
      </c>
      <c r="Q815" s="13">
        <f t="shared" si="319"/>
        <v>5000</v>
      </c>
      <c r="R815" s="13">
        <f t="shared" si="326"/>
        <v>0</v>
      </c>
      <c r="S815" s="13">
        <f t="shared" si="327"/>
        <v>5000</v>
      </c>
    </row>
    <row r="816" spans="2:19" x14ac:dyDescent="0.25">
      <c r="B816" s="73">
        <f t="shared" si="324"/>
        <v>241</v>
      </c>
      <c r="C816" s="12"/>
      <c r="D816" s="12"/>
      <c r="E816" s="12"/>
      <c r="F816" s="12"/>
      <c r="G816" s="99"/>
      <c r="H816" s="12" t="s">
        <v>590</v>
      </c>
      <c r="I816" s="13"/>
      <c r="J816" s="13"/>
      <c r="K816" s="13">
        <f t="shared" si="322"/>
        <v>0</v>
      </c>
      <c r="L816" s="132"/>
      <c r="M816" s="13">
        <v>1300</v>
      </c>
      <c r="N816" s="13"/>
      <c r="O816" s="13">
        <f t="shared" si="321"/>
        <v>1300</v>
      </c>
      <c r="Q816" s="13">
        <f t="shared" si="319"/>
        <v>1300</v>
      </c>
      <c r="R816" s="13">
        <f t="shared" si="326"/>
        <v>0</v>
      </c>
      <c r="S816" s="13">
        <f t="shared" si="327"/>
        <v>1300</v>
      </c>
    </row>
    <row r="817" spans="2:19" x14ac:dyDescent="0.25">
      <c r="B817" s="73">
        <f t="shared" si="324"/>
        <v>242</v>
      </c>
      <c r="C817" s="9"/>
      <c r="D817" s="9"/>
      <c r="E817" s="9"/>
      <c r="F817" s="43" t="s">
        <v>306</v>
      </c>
      <c r="G817" s="98">
        <v>717</v>
      </c>
      <c r="H817" s="9" t="s">
        <v>240</v>
      </c>
      <c r="I817" s="10"/>
      <c r="J817" s="10"/>
      <c r="K817" s="10">
        <f t="shared" si="322"/>
        <v>0</v>
      </c>
      <c r="L817" s="131"/>
      <c r="M817" s="10">
        <f>SUM(M818:M818)</f>
        <v>12000</v>
      </c>
      <c r="N817" s="10">
        <f t="shared" ref="N817" si="339">SUM(N818:N818)</f>
        <v>0</v>
      </c>
      <c r="O817" s="10">
        <f t="shared" si="321"/>
        <v>12000</v>
      </c>
      <c r="Q817" s="13">
        <f t="shared" si="319"/>
        <v>12000</v>
      </c>
      <c r="R817" s="13">
        <f t="shared" si="326"/>
        <v>0</v>
      </c>
      <c r="S817" s="13">
        <f t="shared" si="327"/>
        <v>12000</v>
      </c>
    </row>
    <row r="818" spans="2:19" x14ac:dyDescent="0.25">
      <c r="B818" s="73">
        <f t="shared" si="324"/>
        <v>243</v>
      </c>
      <c r="C818" s="12"/>
      <c r="D818" s="12"/>
      <c r="E818" s="12"/>
      <c r="F818" s="12"/>
      <c r="G818" s="99"/>
      <c r="H818" s="67" t="s">
        <v>527</v>
      </c>
      <c r="I818" s="13"/>
      <c r="J818" s="13"/>
      <c r="K818" s="13">
        <f t="shared" si="322"/>
        <v>0</v>
      </c>
      <c r="L818" s="132"/>
      <c r="M818" s="13">
        <v>12000</v>
      </c>
      <c r="N818" s="13"/>
      <c r="O818" s="13">
        <f t="shared" si="321"/>
        <v>12000</v>
      </c>
      <c r="Q818" s="13">
        <f t="shared" si="319"/>
        <v>12000</v>
      </c>
      <c r="R818" s="13">
        <f t="shared" si="326"/>
        <v>0</v>
      </c>
      <c r="S818" s="13">
        <f t="shared" si="327"/>
        <v>12000</v>
      </c>
    </row>
    <row r="819" spans="2:19" x14ac:dyDescent="0.25">
      <c r="B819" s="73">
        <f t="shared" si="324"/>
        <v>244</v>
      </c>
      <c r="C819" s="38"/>
      <c r="D819" s="38"/>
      <c r="E819" s="38">
        <v>8</v>
      </c>
      <c r="F819" s="38"/>
      <c r="G819" s="95"/>
      <c r="H819" s="38" t="s">
        <v>169</v>
      </c>
      <c r="I819" s="39">
        <f>I820+I821+I822+I828+I829+I830+I831+I838</f>
        <v>1587260</v>
      </c>
      <c r="J819" s="39">
        <f t="shared" ref="J819" si="340">J820+J821+J822+J828+J829+J830+J831+J838</f>
        <v>0</v>
      </c>
      <c r="K819" s="39">
        <f t="shared" si="322"/>
        <v>1587260</v>
      </c>
      <c r="L819" s="138"/>
      <c r="M819" s="39">
        <v>0</v>
      </c>
      <c r="N819" s="39">
        <v>0</v>
      </c>
      <c r="O819" s="39">
        <f t="shared" si="321"/>
        <v>0</v>
      </c>
      <c r="Q819" s="39">
        <f t="shared" si="319"/>
        <v>1587260</v>
      </c>
      <c r="R819" s="39">
        <f t="shared" si="326"/>
        <v>0</v>
      </c>
      <c r="S819" s="39">
        <f t="shared" si="327"/>
        <v>1587260</v>
      </c>
    </row>
    <row r="820" spans="2:19" x14ac:dyDescent="0.25">
      <c r="B820" s="73">
        <f t="shared" si="324"/>
        <v>245</v>
      </c>
      <c r="C820" s="21"/>
      <c r="D820" s="21"/>
      <c r="E820" s="21"/>
      <c r="F820" s="42" t="s">
        <v>305</v>
      </c>
      <c r="G820" s="97">
        <v>610</v>
      </c>
      <c r="H820" s="21" t="s">
        <v>245</v>
      </c>
      <c r="I820" s="15">
        <v>354956</v>
      </c>
      <c r="J820" s="15"/>
      <c r="K820" s="15">
        <f t="shared" si="322"/>
        <v>354956</v>
      </c>
      <c r="L820" s="130"/>
      <c r="M820" s="15"/>
      <c r="N820" s="15"/>
      <c r="O820" s="15">
        <f t="shared" si="321"/>
        <v>0</v>
      </c>
      <c r="Q820" s="15">
        <f t="shared" si="319"/>
        <v>354956</v>
      </c>
      <c r="R820" s="15">
        <f t="shared" si="326"/>
        <v>0</v>
      </c>
      <c r="S820" s="15">
        <f t="shared" si="327"/>
        <v>354956</v>
      </c>
    </row>
    <row r="821" spans="2:19" x14ac:dyDescent="0.25">
      <c r="B821" s="73">
        <f t="shared" si="324"/>
        <v>246</v>
      </c>
      <c r="C821" s="21"/>
      <c r="D821" s="21"/>
      <c r="E821" s="21"/>
      <c r="F821" s="42" t="s">
        <v>305</v>
      </c>
      <c r="G821" s="97">
        <v>620</v>
      </c>
      <c r="H821" s="21" t="s">
        <v>228</v>
      </c>
      <c r="I821" s="15">
        <v>124190</v>
      </c>
      <c r="J821" s="15"/>
      <c r="K821" s="15">
        <f t="shared" si="322"/>
        <v>124190</v>
      </c>
      <c r="L821" s="130"/>
      <c r="M821" s="15"/>
      <c r="N821" s="15"/>
      <c r="O821" s="15">
        <f t="shared" si="321"/>
        <v>0</v>
      </c>
      <c r="Q821" s="15">
        <f t="shared" si="319"/>
        <v>124190</v>
      </c>
      <c r="R821" s="15">
        <f t="shared" si="326"/>
        <v>0</v>
      </c>
      <c r="S821" s="15">
        <f t="shared" si="327"/>
        <v>124190</v>
      </c>
    </row>
    <row r="822" spans="2:19" x14ac:dyDescent="0.25">
      <c r="B822" s="73">
        <f t="shared" si="324"/>
        <v>247</v>
      </c>
      <c r="C822" s="21"/>
      <c r="D822" s="21"/>
      <c r="E822" s="21"/>
      <c r="F822" s="42" t="s">
        <v>305</v>
      </c>
      <c r="G822" s="97">
        <v>630</v>
      </c>
      <c r="H822" s="21" t="s">
        <v>218</v>
      </c>
      <c r="I822" s="15">
        <f>SUM(I823:I827)</f>
        <v>117970</v>
      </c>
      <c r="J822" s="15">
        <f t="shared" ref="J822" si="341">SUM(J823:J827)</f>
        <v>0</v>
      </c>
      <c r="K822" s="15">
        <f t="shared" si="322"/>
        <v>117970</v>
      </c>
      <c r="L822" s="130"/>
      <c r="M822" s="15"/>
      <c r="N822" s="15"/>
      <c r="O822" s="15">
        <f t="shared" si="321"/>
        <v>0</v>
      </c>
      <c r="Q822" s="15">
        <f t="shared" si="319"/>
        <v>117970</v>
      </c>
      <c r="R822" s="15">
        <f t="shared" si="326"/>
        <v>0</v>
      </c>
      <c r="S822" s="15">
        <f t="shared" si="327"/>
        <v>117970</v>
      </c>
    </row>
    <row r="823" spans="2:19" x14ac:dyDescent="0.25">
      <c r="B823" s="73">
        <f t="shared" si="324"/>
        <v>248</v>
      </c>
      <c r="C823" s="9"/>
      <c r="D823" s="9"/>
      <c r="E823" s="9"/>
      <c r="F823" s="43" t="s">
        <v>305</v>
      </c>
      <c r="G823" s="98">
        <v>631</v>
      </c>
      <c r="H823" s="9" t="s">
        <v>219</v>
      </c>
      <c r="I823" s="10">
        <v>20</v>
      </c>
      <c r="J823" s="10"/>
      <c r="K823" s="10">
        <f t="shared" si="322"/>
        <v>20</v>
      </c>
      <c r="L823" s="131"/>
      <c r="M823" s="10"/>
      <c r="N823" s="10"/>
      <c r="O823" s="10">
        <f t="shared" si="321"/>
        <v>0</v>
      </c>
      <c r="Q823" s="10">
        <f t="shared" si="319"/>
        <v>20</v>
      </c>
      <c r="R823" s="10">
        <f t="shared" si="326"/>
        <v>0</v>
      </c>
      <c r="S823" s="10">
        <f t="shared" si="327"/>
        <v>20</v>
      </c>
    </row>
    <row r="824" spans="2:19" x14ac:dyDescent="0.25">
      <c r="B824" s="73">
        <f t="shared" si="324"/>
        <v>249</v>
      </c>
      <c r="C824" s="9"/>
      <c r="D824" s="9"/>
      <c r="E824" s="9"/>
      <c r="F824" s="43" t="s">
        <v>305</v>
      </c>
      <c r="G824" s="98">
        <v>632</v>
      </c>
      <c r="H824" s="9" t="s">
        <v>229</v>
      </c>
      <c r="I824" s="10">
        <f>62690-20415</f>
        <v>42275</v>
      </c>
      <c r="J824" s="10"/>
      <c r="K824" s="10">
        <f t="shared" si="322"/>
        <v>42275</v>
      </c>
      <c r="L824" s="131"/>
      <c r="M824" s="10"/>
      <c r="N824" s="10"/>
      <c r="O824" s="10">
        <f t="shared" si="321"/>
        <v>0</v>
      </c>
      <c r="Q824" s="10">
        <f t="shared" si="319"/>
        <v>42275</v>
      </c>
      <c r="R824" s="10">
        <f t="shared" si="326"/>
        <v>0</v>
      </c>
      <c r="S824" s="10">
        <f t="shared" si="327"/>
        <v>42275</v>
      </c>
    </row>
    <row r="825" spans="2:19" x14ac:dyDescent="0.25">
      <c r="B825" s="73">
        <f t="shared" si="324"/>
        <v>250</v>
      </c>
      <c r="C825" s="9"/>
      <c r="D825" s="9"/>
      <c r="E825" s="9"/>
      <c r="F825" s="43" t="s">
        <v>305</v>
      </c>
      <c r="G825" s="98">
        <v>633</v>
      </c>
      <c r="H825" s="9" t="s">
        <v>220</v>
      </c>
      <c r="I825" s="10">
        <f>13155-3000</f>
        <v>10155</v>
      </c>
      <c r="J825" s="10"/>
      <c r="K825" s="10">
        <f t="shared" si="322"/>
        <v>10155</v>
      </c>
      <c r="L825" s="131"/>
      <c r="M825" s="10"/>
      <c r="N825" s="10"/>
      <c r="O825" s="10">
        <f t="shared" si="321"/>
        <v>0</v>
      </c>
      <c r="Q825" s="10">
        <f t="shared" si="319"/>
        <v>10155</v>
      </c>
      <c r="R825" s="10">
        <f t="shared" si="326"/>
        <v>0</v>
      </c>
      <c r="S825" s="10">
        <f t="shared" si="327"/>
        <v>10155</v>
      </c>
    </row>
    <row r="826" spans="2:19" x14ac:dyDescent="0.25">
      <c r="B826" s="73">
        <f t="shared" si="324"/>
        <v>251</v>
      </c>
      <c r="C826" s="9"/>
      <c r="D826" s="9"/>
      <c r="E826" s="9"/>
      <c r="F826" s="43" t="s">
        <v>305</v>
      </c>
      <c r="G826" s="98">
        <v>635</v>
      </c>
      <c r="H826" s="9" t="s">
        <v>234</v>
      </c>
      <c r="I826" s="10">
        <f>4820+36570-1000</f>
        <v>40390</v>
      </c>
      <c r="J826" s="10"/>
      <c r="K826" s="10">
        <f t="shared" si="322"/>
        <v>40390</v>
      </c>
      <c r="L826" s="131"/>
      <c r="M826" s="10"/>
      <c r="N826" s="10"/>
      <c r="O826" s="10">
        <f t="shared" si="321"/>
        <v>0</v>
      </c>
      <c r="Q826" s="10">
        <f t="shared" si="319"/>
        <v>40390</v>
      </c>
      <c r="R826" s="10">
        <f t="shared" si="326"/>
        <v>0</v>
      </c>
      <c r="S826" s="10">
        <f t="shared" si="327"/>
        <v>40390</v>
      </c>
    </row>
    <row r="827" spans="2:19" x14ac:dyDescent="0.25">
      <c r="B827" s="73">
        <f t="shared" si="324"/>
        <v>252</v>
      </c>
      <c r="C827" s="9"/>
      <c r="D827" s="9"/>
      <c r="E827" s="9"/>
      <c r="F827" s="43" t="s">
        <v>305</v>
      </c>
      <c r="G827" s="98">
        <v>637</v>
      </c>
      <c r="H827" s="9" t="s">
        <v>223</v>
      </c>
      <c r="I827" s="10">
        <v>25130</v>
      </c>
      <c r="J827" s="10"/>
      <c r="K827" s="10">
        <f t="shared" si="322"/>
        <v>25130</v>
      </c>
      <c r="L827" s="131"/>
      <c r="M827" s="10"/>
      <c r="N827" s="10"/>
      <c r="O827" s="10">
        <f t="shared" si="321"/>
        <v>0</v>
      </c>
      <c r="Q827" s="10">
        <f t="shared" si="319"/>
        <v>25130</v>
      </c>
      <c r="R827" s="10">
        <f t="shared" si="326"/>
        <v>0</v>
      </c>
      <c r="S827" s="10">
        <f t="shared" si="327"/>
        <v>25130</v>
      </c>
    </row>
    <row r="828" spans="2:19" x14ac:dyDescent="0.25">
      <c r="B828" s="73">
        <f t="shared" si="324"/>
        <v>253</v>
      </c>
      <c r="C828" s="21"/>
      <c r="D828" s="21"/>
      <c r="E828" s="21"/>
      <c r="F828" s="42" t="s">
        <v>305</v>
      </c>
      <c r="G828" s="97">
        <v>640</v>
      </c>
      <c r="H828" s="21" t="s">
        <v>230</v>
      </c>
      <c r="I828" s="15">
        <f>5340+200</f>
        <v>5540</v>
      </c>
      <c r="J828" s="15"/>
      <c r="K828" s="15">
        <f t="shared" si="322"/>
        <v>5540</v>
      </c>
      <c r="L828" s="130"/>
      <c r="M828" s="15"/>
      <c r="N828" s="15"/>
      <c r="O828" s="15">
        <f t="shared" si="321"/>
        <v>0</v>
      </c>
      <c r="Q828" s="15">
        <f t="shared" si="319"/>
        <v>5540</v>
      </c>
      <c r="R828" s="15">
        <f t="shared" si="326"/>
        <v>0</v>
      </c>
      <c r="S828" s="15">
        <f t="shared" si="327"/>
        <v>5540</v>
      </c>
    </row>
    <row r="829" spans="2:19" x14ac:dyDescent="0.25">
      <c r="B829" s="73">
        <f t="shared" si="324"/>
        <v>254</v>
      </c>
      <c r="C829" s="21"/>
      <c r="D829" s="21"/>
      <c r="E829" s="21"/>
      <c r="F829" s="42" t="s">
        <v>306</v>
      </c>
      <c r="G829" s="97">
        <v>610</v>
      </c>
      <c r="H829" s="21" t="s">
        <v>245</v>
      </c>
      <c r="I829" s="15">
        <f>544333+29368</f>
        <v>573701</v>
      </c>
      <c r="J829" s="15"/>
      <c r="K829" s="15">
        <f t="shared" si="322"/>
        <v>573701</v>
      </c>
      <c r="L829" s="130"/>
      <c r="M829" s="15"/>
      <c r="N829" s="15"/>
      <c r="O829" s="15">
        <f t="shared" si="321"/>
        <v>0</v>
      </c>
      <c r="Q829" s="15">
        <f t="shared" si="319"/>
        <v>573701</v>
      </c>
      <c r="R829" s="15">
        <f t="shared" si="326"/>
        <v>0</v>
      </c>
      <c r="S829" s="15">
        <f t="shared" si="327"/>
        <v>573701</v>
      </c>
    </row>
    <row r="830" spans="2:19" x14ac:dyDescent="0.25">
      <c r="B830" s="73">
        <f t="shared" si="324"/>
        <v>255</v>
      </c>
      <c r="C830" s="21"/>
      <c r="D830" s="21"/>
      <c r="E830" s="21"/>
      <c r="F830" s="42" t="s">
        <v>306</v>
      </c>
      <c r="G830" s="97">
        <v>620</v>
      </c>
      <c r="H830" s="21" t="s">
        <v>228</v>
      </c>
      <c r="I830" s="15">
        <f>190264+10391</f>
        <v>200655</v>
      </c>
      <c r="J830" s="15"/>
      <c r="K830" s="15">
        <f t="shared" si="322"/>
        <v>200655</v>
      </c>
      <c r="L830" s="130"/>
      <c r="M830" s="15"/>
      <c r="N830" s="15"/>
      <c r="O830" s="15">
        <f t="shared" si="321"/>
        <v>0</v>
      </c>
      <c r="Q830" s="15">
        <f t="shared" si="319"/>
        <v>200655</v>
      </c>
      <c r="R830" s="15">
        <f t="shared" si="326"/>
        <v>0</v>
      </c>
      <c r="S830" s="15">
        <f t="shared" si="327"/>
        <v>200655</v>
      </c>
    </row>
    <row r="831" spans="2:19" x14ac:dyDescent="0.25">
      <c r="B831" s="73">
        <f t="shared" si="324"/>
        <v>256</v>
      </c>
      <c r="C831" s="21"/>
      <c r="D831" s="21"/>
      <c r="E831" s="21"/>
      <c r="F831" s="42" t="s">
        <v>306</v>
      </c>
      <c r="G831" s="97">
        <v>630</v>
      </c>
      <c r="H831" s="21" t="s">
        <v>218</v>
      </c>
      <c r="I831" s="15">
        <f>SUM(I832:I837)</f>
        <v>202288</v>
      </c>
      <c r="J831" s="15">
        <f t="shared" ref="J831" si="342">SUM(J832:J837)</f>
        <v>0</v>
      </c>
      <c r="K831" s="15">
        <f t="shared" si="322"/>
        <v>202288</v>
      </c>
      <c r="L831" s="130"/>
      <c r="M831" s="15"/>
      <c r="N831" s="15"/>
      <c r="O831" s="15">
        <f t="shared" si="321"/>
        <v>0</v>
      </c>
      <c r="Q831" s="15">
        <f t="shared" si="319"/>
        <v>202288</v>
      </c>
      <c r="R831" s="15">
        <f t="shared" si="326"/>
        <v>0</v>
      </c>
      <c r="S831" s="15">
        <f t="shared" si="327"/>
        <v>202288</v>
      </c>
    </row>
    <row r="832" spans="2:19" x14ac:dyDescent="0.25">
      <c r="B832" s="73">
        <f t="shared" si="324"/>
        <v>257</v>
      </c>
      <c r="C832" s="9"/>
      <c r="D832" s="9"/>
      <c r="E832" s="9"/>
      <c r="F832" s="43" t="s">
        <v>306</v>
      </c>
      <c r="G832" s="98">
        <v>631</v>
      </c>
      <c r="H832" s="9" t="s">
        <v>219</v>
      </c>
      <c r="I832" s="10">
        <v>30</v>
      </c>
      <c r="J832" s="10"/>
      <c r="K832" s="10">
        <f t="shared" si="322"/>
        <v>30</v>
      </c>
      <c r="L832" s="131"/>
      <c r="M832" s="10"/>
      <c r="N832" s="10"/>
      <c r="O832" s="10">
        <f t="shared" si="321"/>
        <v>0</v>
      </c>
      <c r="Q832" s="10">
        <f t="shared" si="319"/>
        <v>30</v>
      </c>
      <c r="R832" s="10">
        <f t="shared" si="326"/>
        <v>0</v>
      </c>
      <c r="S832" s="10">
        <f t="shared" si="327"/>
        <v>30</v>
      </c>
    </row>
    <row r="833" spans="2:19" x14ac:dyDescent="0.25">
      <c r="B833" s="73">
        <f t="shared" si="324"/>
        <v>258</v>
      </c>
      <c r="C833" s="9"/>
      <c r="D833" s="9"/>
      <c r="E833" s="9"/>
      <c r="F833" s="43" t="s">
        <v>306</v>
      </c>
      <c r="G833" s="98">
        <v>632</v>
      </c>
      <c r="H833" s="9" t="s">
        <v>229</v>
      </c>
      <c r="I833" s="10">
        <f>105885-26600</f>
        <v>79285</v>
      </c>
      <c r="J833" s="10"/>
      <c r="K833" s="10">
        <f t="shared" si="322"/>
        <v>79285</v>
      </c>
      <c r="L833" s="131"/>
      <c r="M833" s="10"/>
      <c r="N833" s="10"/>
      <c r="O833" s="10">
        <f t="shared" si="321"/>
        <v>0</v>
      </c>
      <c r="Q833" s="10">
        <f t="shared" si="319"/>
        <v>79285</v>
      </c>
      <c r="R833" s="10">
        <f t="shared" si="326"/>
        <v>0</v>
      </c>
      <c r="S833" s="10">
        <f t="shared" si="327"/>
        <v>79285</v>
      </c>
    </row>
    <row r="834" spans="2:19" x14ac:dyDescent="0.25">
      <c r="B834" s="73">
        <f t="shared" si="324"/>
        <v>259</v>
      </c>
      <c r="C834" s="9"/>
      <c r="D834" s="9"/>
      <c r="E834" s="9"/>
      <c r="F834" s="43" t="s">
        <v>306</v>
      </c>
      <c r="G834" s="98">
        <v>633</v>
      </c>
      <c r="H834" s="9" t="s">
        <v>220</v>
      </c>
      <c r="I834" s="10">
        <f>40472-7200</f>
        <v>33272</v>
      </c>
      <c r="J834" s="10"/>
      <c r="K834" s="10">
        <f t="shared" si="322"/>
        <v>33272</v>
      </c>
      <c r="L834" s="131"/>
      <c r="M834" s="10"/>
      <c r="N834" s="10"/>
      <c r="O834" s="10">
        <f t="shared" si="321"/>
        <v>0</v>
      </c>
      <c r="Q834" s="10">
        <f t="shared" ref="Q834:Q899" si="343">I834+M834</f>
        <v>33272</v>
      </c>
      <c r="R834" s="10">
        <f t="shared" si="326"/>
        <v>0</v>
      </c>
      <c r="S834" s="10">
        <f t="shared" si="327"/>
        <v>33272</v>
      </c>
    </row>
    <row r="835" spans="2:19" x14ac:dyDescent="0.25">
      <c r="B835" s="73">
        <f t="shared" ref="B835:B900" si="344">B834+1</f>
        <v>260</v>
      </c>
      <c r="C835" s="9"/>
      <c r="D835" s="9"/>
      <c r="E835" s="9"/>
      <c r="F835" s="43" t="s">
        <v>306</v>
      </c>
      <c r="G835" s="98">
        <v>635</v>
      </c>
      <c r="H835" s="9" t="s">
        <v>234</v>
      </c>
      <c r="I835" s="10">
        <f>13333-2822</f>
        <v>10511</v>
      </c>
      <c r="J835" s="10"/>
      <c r="K835" s="10">
        <f t="shared" si="322"/>
        <v>10511</v>
      </c>
      <c r="L835" s="131"/>
      <c r="M835" s="10"/>
      <c r="N835" s="10"/>
      <c r="O835" s="10">
        <f t="shared" ref="O835:O900" si="345">M835+N835</f>
        <v>0</v>
      </c>
      <c r="Q835" s="10">
        <f t="shared" si="343"/>
        <v>10511</v>
      </c>
      <c r="R835" s="10">
        <f t="shared" si="326"/>
        <v>0</v>
      </c>
      <c r="S835" s="10">
        <f t="shared" si="327"/>
        <v>10511</v>
      </c>
    </row>
    <row r="836" spans="2:19" x14ac:dyDescent="0.25">
      <c r="B836" s="73">
        <f t="shared" si="344"/>
        <v>261</v>
      </c>
      <c r="C836" s="9"/>
      <c r="D836" s="9"/>
      <c r="E836" s="9"/>
      <c r="F836" s="43" t="s">
        <v>306</v>
      </c>
      <c r="G836" s="98">
        <v>636</v>
      </c>
      <c r="H836" s="9" t="s">
        <v>222</v>
      </c>
      <c r="I836" s="10">
        <v>40000</v>
      </c>
      <c r="J836" s="10"/>
      <c r="K836" s="10">
        <f t="shared" si="322"/>
        <v>40000</v>
      </c>
      <c r="L836" s="131"/>
      <c r="M836" s="10"/>
      <c r="N836" s="10"/>
      <c r="O836" s="10">
        <f t="shared" si="345"/>
        <v>0</v>
      </c>
      <c r="Q836" s="10">
        <f t="shared" si="343"/>
        <v>40000</v>
      </c>
      <c r="R836" s="10">
        <f t="shared" si="326"/>
        <v>0</v>
      </c>
      <c r="S836" s="10">
        <f t="shared" si="327"/>
        <v>40000</v>
      </c>
    </row>
    <row r="837" spans="2:19" x14ac:dyDescent="0.25">
      <c r="B837" s="73">
        <f t="shared" si="344"/>
        <v>262</v>
      </c>
      <c r="C837" s="9"/>
      <c r="D837" s="9"/>
      <c r="E837" s="9"/>
      <c r="F837" s="43" t="s">
        <v>306</v>
      </c>
      <c r="G837" s="98">
        <v>637</v>
      </c>
      <c r="H837" s="9" t="s">
        <v>223</v>
      </c>
      <c r="I837" s="10">
        <v>39190</v>
      </c>
      <c r="J837" s="10"/>
      <c r="K837" s="10">
        <f t="shared" ref="K837:K902" si="346">I837+J837</f>
        <v>39190</v>
      </c>
      <c r="L837" s="131"/>
      <c r="M837" s="10"/>
      <c r="N837" s="10"/>
      <c r="O837" s="10">
        <f t="shared" si="345"/>
        <v>0</v>
      </c>
      <c r="Q837" s="10">
        <f t="shared" si="343"/>
        <v>39190</v>
      </c>
      <c r="R837" s="10">
        <f t="shared" si="326"/>
        <v>0</v>
      </c>
      <c r="S837" s="10">
        <f t="shared" si="327"/>
        <v>39190</v>
      </c>
    </row>
    <row r="838" spans="2:19" x14ac:dyDescent="0.25">
      <c r="B838" s="73">
        <f t="shared" si="344"/>
        <v>263</v>
      </c>
      <c r="C838" s="21"/>
      <c r="D838" s="21"/>
      <c r="E838" s="21"/>
      <c r="F838" s="42" t="s">
        <v>306</v>
      </c>
      <c r="G838" s="97">
        <v>640</v>
      </c>
      <c r="H838" s="21" t="s">
        <v>230</v>
      </c>
      <c r="I838" s="15">
        <f>7560+400</f>
        <v>7960</v>
      </c>
      <c r="J838" s="15"/>
      <c r="K838" s="15">
        <f t="shared" si="346"/>
        <v>7960</v>
      </c>
      <c r="L838" s="130"/>
      <c r="M838" s="15"/>
      <c r="N838" s="15"/>
      <c r="O838" s="15">
        <f t="shared" si="345"/>
        <v>0</v>
      </c>
      <c r="Q838" s="15">
        <f t="shared" si="343"/>
        <v>7960</v>
      </c>
      <c r="R838" s="15">
        <f t="shared" si="326"/>
        <v>0</v>
      </c>
      <c r="S838" s="15">
        <f t="shared" si="327"/>
        <v>7960</v>
      </c>
    </row>
    <row r="839" spans="2:19" x14ac:dyDescent="0.25">
      <c r="B839" s="73">
        <f t="shared" si="344"/>
        <v>264</v>
      </c>
      <c r="C839" s="38"/>
      <c r="D839" s="38"/>
      <c r="E839" s="38">
        <v>9</v>
      </c>
      <c r="F839" s="38"/>
      <c r="G839" s="95"/>
      <c r="H839" s="38" t="s">
        <v>170</v>
      </c>
      <c r="I839" s="39">
        <f>I840+I841+I842+I848+I849+I850+I851+I857</f>
        <v>636585</v>
      </c>
      <c r="J839" s="39">
        <f>J840+J841+J842+J848+J849+J850+J851+J857+J858</f>
        <v>6806</v>
      </c>
      <c r="K839" s="39">
        <f t="shared" si="346"/>
        <v>643391</v>
      </c>
      <c r="L839" s="138"/>
      <c r="M839" s="39">
        <f>M859</f>
        <v>99400</v>
      </c>
      <c r="N839" s="39">
        <f t="shared" ref="N839" si="347">N859</f>
        <v>45000</v>
      </c>
      <c r="O839" s="39">
        <f t="shared" si="345"/>
        <v>144400</v>
      </c>
      <c r="Q839" s="39">
        <f t="shared" si="343"/>
        <v>735985</v>
      </c>
      <c r="R839" s="39">
        <f t="shared" si="326"/>
        <v>51806</v>
      </c>
      <c r="S839" s="39">
        <f t="shared" si="327"/>
        <v>787791</v>
      </c>
    </row>
    <row r="840" spans="2:19" x14ac:dyDescent="0.25">
      <c r="B840" s="73">
        <f t="shared" si="344"/>
        <v>265</v>
      </c>
      <c r="C840" s="21"/>
      <c r="D840" s="21"/>
      <c r="E840" s="21"/>
      <c r="F840" s="42" t="s">
        <v>305</v>
      </c>
      <c r="G840" s="97">
        <v>610</v>
      </c>
      <c r="H840" s="21" t="s">
        <v>245</v>
      </c>
      <c r="I840" s="15">
        <f>168000+18070</f>
        <v>186070</v>
      </c>
      <c r="J840" s="15"/>
      <c r="K840" s="15">
        <f t="shared" si="346"/>
        <v>186070</v>
      </c>
      <c r="L840" s="130"/>
      <c r="M840" s="15"/>
      <c r="N840" s="15"/>
      <c r="O840" s="15">
        <f t="shared" si="345"/>
        <v>0</v>
      </c>
      <c r="Q840" s="15">
        <f t="shared" si="343"/>
        <v>186070</v>
      </c>
      <c r="R840" s="15">
        <f t="shared" si="326"/>
        <v>0</v>
      </c>
      <c r="S840" s="15">
        <f t="shared" si="327"/>
        <v>186070</v>
      </c>
    </row>
    <row r="841" spans="2:19" x14ac:dyDescent="0.25">
      <c r="B841" s="73">
        <f t="shared" si="344"/>
        <v>266</v>
      </c>
      <c r="C841" s="21"/>
      <c r="D841" s="21"/>
      <c r="E841" s="21"/>
      <c r="F841" s="42" t="s">
        <v>305</v>
      </c>
      <c r="G841" s="97">
        <v>620</v>
      </c>
      <c r="H841" s="21" t="s">
        <v>228</v>
      </c>
      <c r="I841" s="15">
        <f>61250+4816</f>
        <v>66066</v>
      </c>
      <c r="J841" s="15"/>
      <c r="K841" s="15">
        <f t="shared" si="346"/>
        <v>66066</v>
      </c>
      <c r="L841" s="130"/>
      <c r="M841" s="15"/>
      <c r="N841" s="15"/>
      <c r="O841" s="15">
        <f t="shared" si="345"/>
        <v>0</v>
      </c>
      <c r="Q841" s="15">
        <f t="shared" si="343"/>
        <v>66066</v>
      </c>
      <c r="R841" s="15">
        <f t="shared" si="326"/>
        <v>0</v>
      </c>
      <c r="S841" s="15">
        <f t="shared" si="327"/>
        <v>66066</v>
      </c>
    </row>
    <row r="842" spans="2:19" x14ac:dyDescent="0.25">
      <c r="B842" s="73">
        <f t="shared" si="344"/>
        <v>267</v>
      </c>
      <c r="C842" s="21"/>
      <c r="D842" s="21"/>
      <c r="E842" s="21"/>
      <c r="F842" s="42" t="s">
        <v>305</v>
      </c>
      <c r="G842" s="97">
        <v>630</v>
      </c>
      <c r="H842" s="21" t="s">
        <v>218</v>
      </c>
      <c r="I842" s="15">
        <f>I843+I844+I845+I846+I847</f>
        <v>46748</v>
      </c>
      <c r="J842" s="15">
        <f t="shared" ref="J842" si="348">J843+J844+J845+J846+J847</f>
        <v>0</v>
      </c>
      <c r="K842" s="15">
        <f t="shared" si="346"/>
        <v>46748</v>
      </c>
      <c r="L842" s="130"/>
      <c r="M842" s="15"/>
      <c r="N842" s="15"/>
      <c r="O842" s="15">
        <f t="shared" si="345"/>
        <v>0</v>
      </c>
      <c r="Q842" s="15">
        <f t="shared" si="343"/>
        <v>46748</v>
      </c>
      <c r="R842" s="15">
        <f t="shared" si="326"/>
        <v>0</v>
      </c>
      <c r="S842" s="15">
        <f t="shared" si="327"/>
        <v>46748</v>
      </c>
    </row>
    <row r="843" spans="2:19" x14ac:dyDescent="0.25">
      <c r="B843" s="73">
        <f t="shared" si="344"/>
        <v>268</v>
      </c>
      <c r="C843" s="9"/>
      <c r="D843" s="9"/>
      <c r="E843" s="9"/>
      <c r="F843" s="43" t="s">
        <v>305</v>
      </c>
      <c r="G843" s="98">
        <v>631</v>
      </c>
      <c r="H843" s="9" t="s">
        <v>219</v>
      </c>
      <c r="I843" s="10">
        <v>101</v>
      </c>
      <c r="J843" s="10"/>
      <c r="K843" s="10">
        <f t="shared" si="346"/>
        <v>101</v>
      </c>
      <c r="L843" s="131"/>
      <c r="M843" s="10"/>
      <c r="N843" s="10"/>
      <c r="O843" s="10">
        <f t="shared" si="345"/>
        <v>0</v>
      </c>
      <c r="Q843" s="10">
        <f t="shared" si="343"/>
        <v>101</v>
      </c>
      <c r="R843" s="10">
        <f t="shared" si="326"/>
        <v>0</v>
      </c>
      <c r="S843" s="10">
        <f t="shared" si="327"/>
        <v>101</v>
      </c>
    </row>
    <row r="844" spans="2:19" x14ac:dyDescent="0.25">
      <c r="B844" s="73">
        <f t="shared" si="344"/>
        <v>269</v>
      </c>
      <c r="C844" s="9"/>
      <c r="D844" s="9"/>
      <c r="E844" s="9"/>
      <c r="F844" s="43" t="s">
        <v>305</v>
      </c>
      <c r="G844" s="98">
        <v>632</v>
      </c>
      <c r="H844" s="9" t="s">
        <v>229</v>
      </c>
      <c r="I844" s="10">
        <f>16920+2000</f>
        <v>18920</v>
      </c>
      <c r="J844" s="10"/>
      <c r="K844" s="10">
        <f t="shared" si="346"/>
        <v>18920</v>
      </c>
      <c r="L844" s="131"/>
      <c r="M844" s="10"/>
      <c r="N844" s="10"/>
      <c r="O844" s="10">
        <f t="shared" si="345"/>
        <v>0</v>
      </c>
      <c r="Q844" s="10">
        <f t="shared" si="343"/>
        <v>18920</v>
      </c>
      <c r="R844" s="10">
        <f t="shared" si="326"/>
        <v>0</v>
      </c>
      <c r="S844" s="10">
        <f t="shared" si="327"/>
        <v>18920</v>
      </c>
    </row>
    <row r="845" spans="2:19" x14ac:dyDescent="0.25">
      <c r="B845" s="73">
        <f t="shared" si="344"/>
        <v>270</v>
      </c>
      <c r="C845" s="9"/>
      <c r="D845" s="9"/>
      <c r="E845" s="9"/>
      <c r="F845" s="43" t="s">
        <v>305</v>
      </c>
      <c r="G845" s="98">
        <v>633</v>
      </c>
      <c r="H845" s="9" t="s">
        <v>220</v>
      </c>
      <c r="I845" s="10">
        <f>4918+500</f>
        <v>5418</v>
      </c>
      <c r="J845" s="10"/>
      <c r="K845" s="10">
        <f t="shared" si="346"/>
        <v>5418</v>
      </c>
      <c r="L845" s="131"/>
      <c r="M845" s="10"/>
      <c r="N845" s="10"/>
      <c r="O845" s="10">
        <f t="shared" si="345"/>
        <v>0</v>
      </c>
      <c r="Q845" s="10">
        <f t="shared" si="343"/>
        <v>5418</v>
      </c>
      <c r="R845" s="10">
        <f t="shared" si="326"/>
        <v>0</v>
      </c>
      <c r="S845" s="10">
        <f t="shared" si="327"/>
        <v>5418</v>
      </c>
    </row>
    <row r="846" spans="2:19" x14ac:dyDescent="0.25">
      <c r="B846" s="73">
        <f t="shared" si="344"/>
        <v>271</v>
      </c>
      <c r="C846" s="9"/>
      <c r="D846" s="9"/>
      <c r="E846" s="9"/>
      <c r="F846" s="43" t="s">
        <v>305</v>
      </c>
      <c r="G846" s="98">
        <v>635</v>
      </c>
      <c r="H846" s="9" t="s">
        <v>234</v>
      </c>
      <c r="I846" s="10">
        <v>1300</v>
      </c>
      <c r="J846" s="10"/>
      <c r="K846" s="10">
        <f t="shared" si="346"/>
        <v>1300</v>
      </c>
      <c r="L846" s="131"/>
      <c r="M846" s="10"/>
      <c r="N846" s="10"/>
      <c r="O846" s="10">
        <f t="shared" si="345"/>
        <v>0</v>
      </c>
      <c r="Q846" s="10">
        <f t="shared" si="343"/>
        <v>1300</v>
      </c>
      <c r="R846" s="10">
        <f t="shared" si="326"/>
        <v>0</v>
      </c>
      <c r="S846" s="10">
        <f t="shared" si="327"/>
        <v>1300</v>
      </c>
    </row>
    <row r="847" spans="2:19" x14ac:dyDescent="0.25">
      <c r="B847" s="73">
        <f t="shared" si="344"/>
        <v>272</v>
      </c>
      <c r="C847" s="9"/>
      <c r="D847" s="9"/>
      <c r="E847" s="9"/>
      <c r="F847" s="43" t="s">
        <v>305</v>
      </c>
      <c r="G847" s="98">
        <v>637</v>
      </c>
      <c r="H847" s="9" t="s">
        <v>223</v>
      </c>
      <c r="I847" s="10">
        <f>17112+3897</f>
        <v>21009</v>
      </c>
      <c r="J847" s="10"/>
      <c r="K847" s="10">
        <f t="shared" si="346"/>
        <v>21009</v>
      </c>
      <c r="L847" s="131"/>
      <c r="M847" s="10"/>
      <c r="N847" s="10"/>
      <c r="O847" s="10">
        <f t="shared" si="345"/>
        <v>0</v>
      </c>
      <c r="Q847" s="10">
        <f t="shared" si="343"/>
        <v>21009</v>
      </c>
      <c r="R847" s="10">
        <f t="shared" si="326"/>
        <v>0</v>
      </c>
      <c r="S847" s="10">
        <f t="shared" si="327"/>
        <v>21009</v>
      </c>
    </row>
    <row r="848" spans="2:19" x14ac:dyDescent="0.25">
      <c r="B848" s="73">
        <f t="shared" si="344"/>
        <v>273</v>
      </c>
      <c r="C848" s="21"/>
      <c r="D848" s="21"/>
      <c r="E848" s="21"/>
      <c r="F848" s="42" t="s">
        <v>305</v>
      </c>
      <c r="G848" s="97">
        <v>640</v>
      </c>
      <c r="H848" s="21" t="s">
        <v>230</v>
      </c>
      <c r="I848" s="15">
        <v>1850</v>
      </c>
      <c r="J848" s="15"/>
      <c r="K848" s="15">
        <f t="shared" si="346"/>
        <v>1850</v>
      </c>
      <c r="L848" s="130"/>
      <c r="M848" s="15"/>
      <c r="N848" s="15"/>
      <c r="O848" s="15">
        <f t="shared" si="345"/>
        <v>0</v>
      </c>
      <c r="Q848" s="15">
        <f t="shared" si="343"/>
        <v>1850</v>
      </c>
      <c r="R848" s="15">
        <f t="shared" si="326"/>
        <v>0</v>
      </c>
      <c r="S848" s="15">
        <f t="shared" si="327"/>
        <v>1850</v>
      </c>
    </row>
    <row r="849" spans="2:19" x14ac:dyDescent="0.25">
      <c r="B849" s="73">
        <f t="shared" si="344"/>
        <v>274</v>
      </c>
      <c r="C849" s="21"/>
      <c r="D849" s="21"/>
      <c r="E849" s="21"/>
      <c r="F849" s="42" t="s">
        <v>306</v>
      </c>
      <c r="G849" s="97">
        <v>610</v>
      </c>
      <c r="H849" s="21" t="s">
        <v>245</v>
      </c>
      <c r="I849" s="15">
        <f>187700+18070</f>
        <v>205770</v>
      </c>
      <c r="J849" s="15"/>
      <c r="K849" s="15">
        <f t="shared" si="346"/>
        <v>205770</v>
      </c>
      <c r="L849" s="130"/>
      <c r="M849" s="15"/>
      <c r="N849" s="15"/>
      <c r="O849" s="15">
        <f t="shared" si="345"/>
        <v>0</v>
      </c>
      <c r="Q849" s="15">
        <f t="shared" si="343"/>
        <v>205770</v>
      </c>
      <c r="R849" s="15">
        <f t="shared" si="326"/>
        <v>0</v>
      </c>
      <c r="S849" s="15">
        <f t="shared" si="327"/>
        <v>205770</v>
      </c>
    </row>
    <row r="850" spans="2:19" x14ac:dyDescent="0.25">
      <c r="B850" s="73">
        <f t="shared" si="344"/>
        <v>275</v>
      </c>
      <c r="C850" s="21"/>
      <c r="D850" s="21"/>
      <c r="E850" s="21"/>
      <c r="F850" s="42" t="s">
        <v>306</v>
      </c>
      <c r="G850" s="97">
        <v>620</v>
      </c>
      <c r="H850" s="21" t="s">
        <v>228</v>
      </c>
      <c r="I850" s="15">
        <f>68137+4817</f>
        <v>72954</v>
      </c>
      <c r="J850" s="15"/>
      <c r="K850" s="15">
        <f t="shared" si="346"/>
        <v>72954</v>
      </c>
      <c r="L850" s="130"/>
      <c r="M850" s="15"/>
      <c r="N850" s="15"/>
      <c r="O850" s="15">
        <f t="shared" si="345"/>
        <v>0</v>
      </c>
      <c r="Q850" s="15">
        <f t="shared" si="343"/>
        <v>72954</v>
      </c>
      <c r="R850" s="15">
        <f t="shared" ref="R850:R916" si="349">J850+N850</f>
        <v>0</v>
      </c>
      <c r="S850" s="15">
        <f t="shared" ref="S850:S916" si="350">K850+O850</f>
        <v>72954</v>
      </c>
    </row>
    <row r="851" spans="2:19" x14ac:dyDescent="0.25">
      <c r="B851" s="73">
        <f t="shared" si="344"/>
        <v>276</v>
      </c>
      <c r="C851" s="21"/>
      <c r="D851" s="21"/>
      <c r="E851" s="21"/>
      <c r="F851" s="42" t="s">
        <v>306</v>
      </c>
      <c r="G851" s="97">
        <v>630</v>
      </c>
      <c r="H851" s="21" t="s">
        <v>218</v>
      </c>
      <c r="I851" s="15">
        <f>I852+I853+I854+I855+I856</f>
        <v>55277</v>
      </c>
      <c r="J851" s="15">
        <f t="shared" ref="J851" si="351">J852+J853+J854+J855+J856</f>
        <v>0</v>
      </c>
      <c r="K851" s="15">
        <f t="shared" si="346"/>
        <v>55277</v>
      </c>
      <c r="L851" s="130"/>
      <c r="M851" s="15"/>
      <c r="N851" s="15"/>
      <c r="O851" s="15">
        <f t="shared" si="345"/>
        <v>0</v>
      </c>
      <c r="Q851" s="15">
        <f t="shared" si="343"/>
        <v>55277</v>
      </c>
      <c r="R851" s="15">
        <f t="shared" si="349"/>
        <v>0</v>
      </c>
      <c r="S851" s="15">
        <f t="shared" si="350"/>
        <v>55277</v>
      </c>
    </row>
    <row r="852" spans="2:19" x14ac:dyDescent="0.25">
      <c r="B852" s="73">
        <f t="shared" si="344"/>
        <v>277</v>
      </c>
      <c r="C852" s="9"/>
      <c r="D852" s="9"/>
      <c r="E852" s="9"/>
      <c r="F852" s="43" t="s">
        <v>306</v>
      </c>
      <c r="G852" s="98">
        <v>631</v>
      </c>
      <c r="H852" s="9" t="s">
        <v>219</v>
      </c>
      <c r="I852" s="10">
        <v>101</v>
      </c>
      <c r="J852" s="10"/>
      <c r="K852" s="10">
        <f t="shared" si="346"/>
        <v>101</v>
      </c>
      <c r="L852" s="131"/>
      <c r="M852" s="10"/>
      <c r="N852" s="10"/>
      <c r="O852" s="10">
        <f t="shared" si="345"/>
        <v>0</v>
      </c>
      <c r="Q852" s="10">
        <f t="shared" si="343"/>
        <v>101</v>
      </c>
      <c r="R852" s="10">
        <f t="shared" si="349"/>
        <v>0</v>
      </c>
      <c r="S852" s="10">
        <f t="shared" si="350"/>
        <v>101</v>
      </c>
    </row>
    <row r="853" spans="2:19" x14ac:dyDescent="0.25">
      <c r="B853" s="73">
        <f t="shared" si="344"/>
        <v>278</v>
      </c>
      <c r="C853" s="9"/>
      <c r="D853" s="9"/>
      <c r="E853" s="9"/>
      <c r="F853" s="43" t="s">
        <v>306</v>
      </c>
      <c r="G853" s="98">
        <v>632</v>
      </c>
      <c r="H853" s="9" t="s">
        <v>229</v>
      </c>
      <c r="I853" s="10">
        <f>16920+2000</f>
        <v>18920</v>
      </c>
      <c r="J853" s="10"/>
      <c r="K853" s="10">
        <f t="shared" si="346"/>
        <v>18920</v>
      </c>
      <c r="L853" s="131"/>
      <c r="M853" s="10"/>
      <c r="N853" s="10"/>
      <c r="O853" s="10">
        <f t="shared" si="345"/>
        <v>0</v>
      </c>
      <c r="Q853" s="10">
        <f t="shared" si="343"/>
        <v>18920</v>
      </c>
      <c r="R853" s="10">
        <f t="shared" si="349"/>
        <v>0</v>
      </c>
      <c r="S853" s="10">
        <f t="shared" si="350"/>
        <v>18920</v>
      </c>
    </row>
    <row r="854" spans="2:19" x14ac:dyDescent="0.25">
      <c r="B854" s="73">
        <f t="shared" si="344"/>
        <v>279</v>
      </c>
      <c r="C854" s="9"/>
      <c r="D854" s="9"/>
      <c r="E854" s="9"/>
      <c r="F854" s="43" t="s">
        <v>306</v>
      </c>
      <c r="G854" s="98">
        <v>633</v>
      </c>
      <c r="H854" s="9" t="s">
        <v>220</v>
      </c>
      <c r="I854" s="10">
        <f>10198+500</f>
        <v>10698</v>
      </c>
      <c r="J854" s="10"/>
      <c r="K854" s="10">
        <f t="shared" si="346"/>
        <v>10698</v>
      </c>
      <c r="L854" s="131"/>
      <c r="M854" s="10"/>
      <c r="N854" s="10"/>
      <c r="O854" s="10">
        <f t="shared" si="345"/>
        <v>0</v>
      </c>
      <c r="Q854" s="10">
        <f t="shared" si="343"/>
        <v>10698</v>
      </c>
      <c r="R854" s="10">
        <f t="shared" si="349"/>
        <v>0</v>
      </c>
      <c r="S854" s="10">
        <f t="shared" si="350"/>
        <v>10698</v>
      </c>
    </row>
    <row r="855" spans="2:19" x14ac:dyDescent="0.25">
      <c r="B855" s="73">
        <f t="shared" si="344"/>
        <v>280</v>
      </c>
      <c r="C855" s="9"/>
      <c r="D855" s="9"/>
      <c r="E855" s="9"/>
      <c r="F855" s="43" t="s">
        <v>306</v>
      </c>
      <c r="G855" s="98">
        <v>635</v>
      </c>
      <c r="H855" s="9" t="s">
        <v>234</v>
      </c>
      <c r="I855" s="10">
        <v>4299</v>
      </c>
      <c r="J855" s="10"/>
      <c r="K855" s="10">
        <f t="shared" si="346"/>
        <v>4299</v>
      </c>
      <c r="L855" s="131"/>
      <c r="M855" s="10"/>
      <c r="N855" s="10"/>
      <c r="O855" s="10">
        <f t="shared" si="345"/>
        <v>0</v>
      </c>
      <c r="Q855" s="10">
        <f t="shared" si="343"/>
        <v>4299</v>
      </c>
      <c r="R855" s="10">
        <f t="shared" si="349"/>
        <v>0</v>
      </c>
      <c r="S855" s="10">
        <f t="shared" si="350"/>
        <v>4299</v>
      </c>
    </row>
    <row r="856" spans="2:19" x14ac:dyDescent="0.25">
      <c r="B856" s="73">
        <f t="shared" si="344"/>
        <v>281</v>
      </c>
      <c r="C856" s="9"/>
      <c r="D856" s="9"/>
      <c r="E856" s="9"/>
      <c r="F856" s="43" t="s">
        <v>306</v>
      </c>
      <c r="G856" s="98">
        <v>637</v>
      </c>
      <c r="H856" s="9" t="s">
        <v>223</v>
      </c>
      <c r="I856" s="10">
        <f>17363+3896</f>
        <v>21259</v>
      </c>
      <c r="J856" s="10"/>
      <c r="K856" s="10">
        <f t="shared" si="346"/>
        <v>21259</v>
      </c>
      <c r="L856" s="131"/>
      <c r="M856" s="10"/>
      <c r="N856" s="10"/>
      <c r="O856" s="10">
        <f t="shared" si="345"/>
        <v>0</v>
      </c>
      <c r="Q856" s="10">
        <f t="shared" si="343"/>
        <v>21259</v>
      </c>
      <c r="R856" s="10">
        <f t="shared" si="349"/>
        <v>0</v>
      </c>
      <c r="S856" s="10">
        <f t="shared" si="350"/>
        <v>21259</v>
      </c>
    </row>
    <row r="857" spans="2:19" x14ac:dyDescent="0.25">
      <c r="B857" s="73">
        <f t="shared" si="344"/>
        <v>282</v>
      </c>
      <c r="C857" s="21"/>
      <c r="D857" s="21"/>
      <c r="E857" s="21"/>
      <c r="F857" s="42" t="s">
        <v>306</v>
      </c>
      <c r="G857" s="97">
        <v>640</v>
      </c>
      <c r="H857" s="21" t="s">
        <v>230</v>
      </c>
      <c r="I857" s="15">
        <v>1850</v>
      </c>
      <c r="J857" s="15"/>
      <c r="K857" s="15">
        <f t="shared" si="346"/>
        <v>1850</v>
      </c>
      <c r="L857" s="130"/>
      <c r="M857" s="15"/>
      <c r="N857" s="15"/>
      <c r="O857" s="15">
        <f t="shared" si="345"/>
        <v>0</v>
      </c>
      <c r="Q857" s="15">
        <f t="shared" si="343"/>
        <v>1850</v>
      </c>
      <c r="R857" s="15">
        <f t="shared" si="349"/>
        <v>0</v>
      </c>
      <c r="S857" s="15">
        <f t="shared" si="350"/>
        <v>1850</v>
      </c>
    </row>
    <row r="858" spans="2:19" x14ac:dyDescent="0.25">
      <c r="B858" s="73">
        <f t="shared" si="344"/>
        <v>283</v>
      </c>
      <c r="C858" s="21"/>
      <c r="D858" s="21"/>
      <c r="E858" s="21"/>
      <c r="F858" s="42"/>
      <c r="G858" s="97">
        <v>630</v>
      </c>
      <c r="H858" s="21" t="s">
        <v>660</v>
      </c>
      <c r="I858" s="15">
        <v>0</v>
      </c>
      <c r="J858" s="15">
        <v>6806</v>
      </c>
      <c r="K858" s="15">
        <f t="shared" si="346"/>
        <v>6806</v>
      </c>
      <c r="L858" s="130"/>
      <c r="M858" s="15"/>
      <c r="N858" s="15"/>
      <c r="O858" s="15">
        <f t="shared" si="345"/>
        <v>0</v>
      </c>
      <c r="Q858" s="15">
        <f t="shared" ref="Q858" si="352">I858+M858</f>
        <v>0</v>
      </c>
      <c r="R858" s="15">
        <f t="shared" ref="R858" si="353">J858+N858</f>
        <v>6806</v>
      </c>
      <c r="S858" s="15">
        <f t="shared" ref="S858" si="354">K858+O858</f>
        <v>6806</v>
      </c>
    </row>
    <row r="859" spans="2:19" x14ac:dyDescent="0.25">
      <c r="B859" s="73">
        <f t="shared" si="344"/>
        <v>284</v>
      </c>
      <c r="C859" s="21"/>
      <c r="D859" s="21"/>
      <c r="E859" s="21"/>
      <c r="F859" s="42" t="s">
        <v>306</v>
      </c>
      <c r="G859" s="97">
        <v>710</v>
      </c>
      <c r="H859" s="21" t="s">
        <v>235</v>
      </c>
      <c r="I859" s="15"/>
      <c r="J859" s="15"/>
      <c r="K859" s="15">
        <f t="shared" si="346"/>
        <v>0</v>
      </c>
      <c r="L859" s="130"/>
      <c r="M859" s="15">
        <f>M862+M860</f>
        <v>99400</v>
      </c>
      <c r="N859" s="15">
        <f t="shared" ref="N859" si="355">N862+N860</f>
        <v>45000</v>
      </c>
      <c r="O859" s="15">
        <f t="shared" si="345"/>
        <v>144400</v>
      </c>
      <c r="Q859" s="15">
        <f t="shared" si="343"/>
        <v>99400</v>
      </c>
      <c r="R859" s="15">
        <f t="shared" si="349"/>
        <v>45000</v>
      </c>
      <c r="S859" s="15">
        <f t="shared" si="350"/>
        <v>144400</v>
      </c>
    </row>
    <row r="860" spans="2:19" x14ac:dyDescent="0.25">
      <c r="B860" s="73">
        <f t="shared" si="344"/>
        <v>285</v>
      </c>
      <c r="C860" s="21"/>
      <c r="D860" s="21"/>
      <c r="E860" s="21"/>
      <c r="F860" s="44" t="s">
        <v>306</v>
      </c>
      <c r="G860" s="98">
        <v>716</v>
      </c>
      <c r="H860" s="9" t="s">
        <v>237</v>
      </c>
      <c r="I860" s="15"/>
      <c r="J860" s="15"/>
      <c r="K860" s="15">
        <f t="shared" si="346"/>
        <v>0</v>
      </c>
      <c r="L860" s="130"/>
      <c r="M860" s="15">
        <f>M861</f>
        <v>400</v>
      </c>
      <c r="N860" s="15">
        <f t="shared" ref="N860" si="356">N861</f>
        <v>0</v>
      </c>
      <c r="O860" s="15">
        <f t="shared" si="345"/>
        <v>400</v>
      </c>
      <c r="Q860" s="15">
        <f t="shared" si="343"/>
        <v>400</v>
      </c>
      <c r="R860" s="15">
        <f t="shared" si="349"/>
        <v>0</v>
      </c>
      <c r="S860" s="15">
        <f t="shared" si="350"/>
        <v>400</v>
      </c>
    </row>
    <row r="861" spans="2:19" x14ac:dyDescent="0.25">
      <c r="B861" s="73">
        <f t="shared" si="344"/>
        <v>286</v>
      </c>
      <c r="C861" s="21"/>
      <c r="D861" s="21"/>
      <c r="E861" s="21"/>
      <c r="F861" s="42"/>
      <c r="G861" s="99"/>
      <c r="H861" s="12" t="s">
        <v>607</v>
      </c>
      <c r="I861" s="15"/>
      <c r="J861" s="15"/>
      <c r="K861" s="15">
        <f t="shared" si="346"/>
        <v>0</v>
      </c>
      <c r="L861" s="130"/>
      <c r="M861" s="118">
        <v>400</v>
      </c>
      <c r="N861" s="118"/>
      <c r="O861" s="118">
        <f t="shared" si="345"/>
        <v>400</v>
      </c>
      <c r="Q861" s="118">
        <f t="shared" si="343"/>
        <v>400</v>
      </c>
      <c r="R861" s="118">
        <f t="shared" si="349"/>
        <v>0</v>
      </c>
      <c r="S861" s="118">
        <f t="shared" si="350"/>
        <v>400</v>
      </c>
    </row>
    <row r="862" spans="2:19" x14ac:dyDescent="0.25">
      <c r="B862" s="73">
        <f t="shared" si="344"/>
        <v>287</v>
      </c>
      <c r="C862" s="9"/>
      <c r="D862" s="9"/>
      <c r="E862" s="9"/>
      <c r="F862" s="43" t="s">
        <v>306</v>
      </c>
      <c r="G862" s="98">
        <v>717</v>
      </c>
      <c r="H862" s="9" t="s">
        <v>240</v>
      </c>
      <c r="I862" s="10"/>
      <c r="J862" s="10"/>
      <c r="K862" s="10">
        <f t="shared" si="346"/>
        <v>0</v>
      </c>
      <c r="L862" s="131"/>
      <c r="M862" s="10">
        <f>M863+M864+M865</f>
        <v>99000</v>
      </c>
      <c r="N862" s="10">
        <f>SUM(N863:N866)</f>
        <v>45000</v>
      </c>
      <c r="O862" s="10">
        <f t="shared" si="345"/>
        <v>144000</v>
      </c>
      <c r="Q862" s="10">
        <f t="shared" si="343"/>
        <v>99000</v>
      </c>
      <c r="R862" s="10">
        <f t="shared" si="349"/>
        <v>45000</v>
      </c>
      <c r="S862" s="10">
        <f t="shared" si="350"/>
        <v>144000</v>
      </c>
    </row>
    <row r="863" spans="2:19" x14ac:dyDescent="0.25">
      <c r="B863" s="73">
        <f t="shared" si="344"/>
        <v>288</v>
      </c>
      <c r="C863" s="9"/>
      <c r="D863" s="9"/>
      <c r="E863" s="9"/>
      <c r="F863" s="43"/>
      <c r="G863" s="98"/>
      <c r="H863" s="67" t="s">
        <v>529</v>
      </c>
      <c r="I863" s="10"/>
      <c r="J863" s="10"/>
      <c r="K863" s="10">
        <f t="shared" si="346"/>
        <v>0</v>
      </c>
      <c r="L863" s="131"/>
      <c r="M863" s="13">
        <v>17000</v>
      </c>
      <c r="N863" s="13"/>
      <c r="O863" s="13">
        <f t="shared" si="345"/>
        <v>17000</v>
      </c>
      <c r="Q863" s="10">
        <f t="shared" si="343"/>
        <v>17000</v>
      </c>
      <c r="R863" s="10">
        <f t="shared" si="349"/>
        <v>0</v>
      </c>
      <c r="S863" s="10">
        <f t="shared" si="350"/>
        <v>17000</v>
      </c>
    </row>
    <row r="864" spans="2:19" ht="15.75" customHeight="1" x14ac:dyDescent="0.25">
      <c r="B864" s="73">
        <f t="shared" si="344"/>
        <v>289</v>
      </c>
      <c r="C864" s="12"/>
      <c r="D864" s="12"/>
      <c r="E864" s="12"/>
      <c r="F864" s="12"/>
      <c r="G864" s="99"/>
      <c r="H864" s="67" t="s">
        <v>530</v>
      </c>
      <c r="I864" s="13"/>
      <c r="J864" s="13"/>
      <c r="K864" s="13">
        <f t="shared" si="346"/>
        <v>0</v>
      </c>
      <c r="L864" s="132"/>
      <c r="M864" s="13">
        <f>71000+7000</f>
        <v>78000</v>
      </c>
      <c r="N864" s="13"/>
      <c r="O864" s="13">
        <f t="shared" si="345"/>
        <v>78000</v>
      </c>
      <c r="Q864" s="13">
        <f t="shared" si="343"/>
        <v>78000</v>
      </c>
      <c r="R864" s="13">
        <f t="shared" si="349"/>
        <v>0</v>
      </c>
      <c r="S864" s="13">
        <f t="shared" si="350"/>
        <v>78000</v>
      </c>
    </row>
    <row r="865" spans="2:19" x14ac:dyDescent="0.25">
      <c r="B865" s="73">
        <f t="shared" si="344"/>
        <v>290</v>
      </c>
      <c r="C865" s="12"/>
      <c r="D865" s="12"/>
      <c r="E865" s="12"/>
      <c r="F865" s="12"/>
      <c r="G865" s="99"/>
      <c r="H865" s="67" t="s">
        <v>534</v>
      </c>
      <c r="I865" s="13"/>
      <c r="J865" s="13"/>
      <c r="K865" s="13">
        <f t="shared" si="346"/>
        <v>0</v>
      </c>
      <c r="L865" s="132"/>
      <c r="M865" s="13">
        <v>4000</v>
      </c>
      <c r="N865" s="13"/>
      <c r="O865" s="13">
        <f t="shared" si="345"/>
        <v>4000</v>
      </c>
      <c r="Q865" s="13">
        <f t="shared" si="343"/>
        <v>4000</v>
      </c>
      <c r="R865" s="13">
        <f t="shared" si="349"/>
        <v>0</v>
      </c>
      <c r="S865" s="13">
        <f t="shared" si="350"/>
        <v>4000</v>
      </c>
    </row>
    <row r="866" spans="2:19" x14ac:dyDescent="0.25">
      <c r="B866" s="73">
        <f t="shared" si="344"/>
        <v>291</v>
      </c>
      <c r="C866" s="12"/>
      <c r="D866" s="12"/>
      <c r="E866" s="12"/>
      <c r="F866" s="12"/>
      <c r="G866" s="99"/>
      <c r="H866" s="67" t="s">
        <v>654</v>
      </c>
      <c r="I866" s="13"/>
      <c r="J866" s="13"/>
      <c r="K866" s="13"/>
      <c r="L866" s="132"/>
      <c r="M866" s="13">
        <v>0</v>
      </c>
      <c r="N866" s="13">
        <v>45000</v>
      </c>
      <c r="O866" s="13">
        <f t="shared" si="345"/>
        <v>45000</v>
      </c>
      <c r="Q866" s="13">
        <f t="shared" ref="Q866" si="357">I866+M866</f>
        <v>0</v>
      </c>
      <c r="R866" s="13">
        <f t="shared" ref="R866" si="358">J866+N866</f>
        <v>45000</v>
      </c>
      <c r="S866" s="13">
        <f t="shared" ref="S866" si="359">K866+O866</f>
        <v>45000</v>
      </c>
    </row>
    <row r="867" spans="2:19" x14ac:dyDescent="0.25">
      <c r="B867" s="73">
        <f>B865+1</f>
        <v>291</v>
      </c>
      <c r="C867" s="38"/>
      <c r="D867" s="38"/>
      <c r="E867" s="38">
        <v>10</v>
      </c>
      <c r="F867" s="38"/>
      <c r="G867" s="95"/>
      <c r="H867" s="38" t="s">
        <v>171</v>
      </c>
      <c r="I867" s="39">
        <f>I868+I869+I870+I876+I877+I878+I879+I885</f>
        <v>443699</v>
      </c>
      <c r="J867" s="39">
        <f t="shared" ref="J867" si="360">J868+J869+J870+J876+J877+J878+J879+J885</f>
        <v>0</v>
      </c>
      <c r="K867" s="39">
        <f t="shared" si="346"/>
        <v>443699</v>
      </c>
      <c r="L867" s="138"/>
      <c r="M867" s="39">
        <f>M886</f>
        <v>99400</v>
      </c>
      <c r="N867" s="39">
        <f t="shared" ref="N867" si="361">N886</f>
        <v>0</v>
      </c>
      <c r="O867" s="39">
        <f t="shared" si="345"/>
        <v>99400</v>
      </c>
      <c r="Q867" s="39">
        <f t="shared" si="343"/>
        <v>543099</v>
      </c>
      <c r="R867" s="39">
        <f t="shared" si="349"/>
        <v>0</v>
      </c>
      <c r="S867" s="39">
        <f t="shared" si="350"/>
        <v>543099</v>
      </c>
    </row>
    <row r="868" spans="2:19" x14ac:dyDescent="0.25">
      <c r="B868" s="73">
        <f t="shared" si="344"/>
        <v>292</v>
      </c>
      <c r="C868" s="21"/>
      <c r="D868" s="21"/>
      <c r="E868" s="21"/>
      <c r="F868" s="42" t="s">
        <v>305</v>
      </c>
      <c r="G868" s="97">
        <v>610</v>
      </c>
      <c r="H868" s="21" t="s">
        <v>245</v>
      </c>
      <c r="I868" s="15">
        <f>120405-3450</f>
        <v>116955</v>
      </c>
      <c r="J868" s="15"/>
      <c r="K868" s="15">
        <f t="shared" si="346"/>
        <v>116955</v>
      </c>
      <c r="L868" s="130"/>
      <c r="M868" s="15"/>
      <c r="N868" s="15"/>
      <c r="O868" s="15">
        <f t="shared" si="345"/>
        <v>0</v>
      </c>
      <c r="Q868" s="15">
        <f t="shared" si="343"/>
        <v>116955</v>
      </c>
      <c r="R868" s="15">
        <f t="shared" si="349"/>
        <v>0</v>
      </c>
      <c r="S868" s="15">
        <f t="shared" si="350"/>
        <v>116955</v>
      </c>
    </row>
    <row r="869" spans="2:19" x14ac:dyDescent="0.25">
      <c r="B869" s="73">
        <f t="shared" si="344"/>
        <v>293</v>
      </c>
      <c r="C869" s="21"/>
      <c r="D869" s="21"/>
      <c r="E869" s="21"/>
      <c r="F869" s="42" t="s">
        <v>305</v>
      </c>
      <c r="G869" s="97">
        <v>620</v>
      </c>
      <c r="H869" s="21" t="s">
        <v>228</v>
      </c>
      <c r="I869" s="15">
        <f>42190-1209</f>
        <v>40981</v>
      </c>
      <c r="J869" s="15"/>
      <c r="K869" s="15">
        <f t="shared" si="346"/>
        <v>40981</v>
      </c>
      <c r="L869" s="130"/>
      <c r="M869" s="15"/>
      <c r="N869" s="15"/>
      <c r="O869" s="15">
        <f t="shared" si="345"/>
        <v>0</v>
      </c>
      <c r="Q869" s="15">
        <f t="shared" si="343"/>
        <v>40981</v>
      </c>
      <c r="R869" s="15">
        <f t="shared" si="349"/>
        <v>0</v>
      </c>
      <c r="S869" s="15">
        <f t="shared" si="350"/>
        <v>40981</v>
      </c>
    </row>
    <row r="870" spans="2:19" x14ac:dyDescent="0.25">
      <c r="B870" s="73">
        <f t="shared" si="344"/>
        <v>294</v>
      </c>
      <c r="C870" s="21"/>
      <c r="D870" s="21"/>
      <c r="E870" s="21"/>
      <c r="F870" s="42" t="s">
        <v>305</v>
      </c>
      <c r="G870" s="97">
        <v>630</v>
      </c>
      <c r="H870" s="21" t="s">
        <v>218</v>
      </c>
      <c r="I870" s="15">
        <f>SUM(I871:I875)</f>
        <v>27769</v>
      </c>
      <c r="J870" s="15">
        <f t="shared" ref="J870" si="362">SUM(J871:J875)</f>
        <v>0</v>
      </c>
      <c r="K870" s="15">
        <f t="shared" si="346"/>
        <v>27769</v>
      </c>
      <c r="L870" s="130"/>
      <c r="M870" s="15"/>
      <c r="N870" s="15"/>
      <c r="O870" s="15">
        <f t="shared" si="345"/>
        <v>0</v>
      </c>
      <c r="Q870" s="15">
        <f t="shared" si="343"/>
        <v>27769</v>
      </c>
      <c r="R870" s="15">
        <f t="shared" si="349"/>
        <v>0</v>
      </c>
      <c r="S870" s="15">
        <f t="shared" si="350"/>
        <v>27769</v>
      </c>
    </row>
    <row r="871" spans="2:19" x14ac:dyDescent="0.25">
      <c r="B871" s="73">
        <f t="shared" si="344"/>
        <v>295</v>
      </c>
      <c r="C871" s="9"/>
      <c r="D871" s="9"/>
      <c r="E871" s="9"/>
      <c r="F871" s="43" t="s">
        <v>305</v>
      </c>
      <c r="G871" s="98">
        <v>631</v>
      </c>
      <c r="H871" s="9" t="s">
        <v>219</v>
      </c>
      <c r="I871" s="10">
        <v>290</v>
      </c>
      <c r="J871" s="10"/>
      <c r="K871" s="10">
        <f t="shared" si="346"/>
        <v>290</v>
      </c>
      <c r="L871" s="131"/>
      <c r="M871" s="10"/>
      <c r="N871" s="10"/>
      <c r="O871" s="10">
        <f t="shared" si="345"/>
        <v>0</v>
      </c>
      <c r="Q871" s="10">
        <f t="shared" si="343"/>
        <v>290</v>
      </c>
      <c r="R871" s="10">
        <f t="shared" si="349"/>
        <v>0</v>
      </c>
      <c r="S871" s="10">
        <f t="shared" si="350"/>
        <v>290</v>
      </c>
    </row>
    <row r="872" spans="2:19" hidden="1" x14ac:dyDescent="0.25">
      <c r="B872" s="73">
        <f t="shared" si="344"/>
        <v>296</v>
      </c>
      <c r="C872" s="9"/>
      <c r="D872" s="9"/>
      <c r="E872" s="9"/>
      <c r="F872" s="43" t="s">
        <v>305</v>
      </c>
      <c r="G872" s="98">
        <v>632</v>
      </c>
      <c r="H872" s="9" t="s">
        <v>229</v>
      </c>
      <c r="I872" s="10">
        <f>11750-551</f>
        <v>11199</v>
      </c>
      <c r="J872" s="10"/>
      <c r="K872" s="10">
        <f t="shared" si="346"/>
        <v>11199</v>
      </c>
      <c r="L872" s="131"/>
      <c r="M872" s="10"/>
      <c r="N872" s="10"/>
      <c r="O872" s="10">
        <f t="shared" si="345"/>
        <v>0</v>
      </c>
      <c r="Q872" s="10">
        <f t="shared" si="343"/>
        <v>11199</v>
      </c>
      <c r="R872" s="10">
        <f t="shared" si="349"/>
        <v>0</v>
      </c>
      <c r="S872" s="10">
        <f t="shared" si="350"/>
        <v>11199</v>
      </c>
    </row>
    <row r="873" spans="2:19" hidden="1" x14ac:dyDescent="0.25">
      <c r="B873" s="73">
        <f t="shared" si="344"/>
        <v>297</v>
      </c>
      <c r="C873" s="9"/>
      <c r="D873" s="9"/>
      <c r="E873" s="9"/>
      <c r="F873" s="43" t="s">
        <v>305</v>
      </c>
      <c r="G873" s="98">
        <v>633</v>
      </c>
      <c r="H873" s="9" t="s">
        <v>220</v>
      </c>
      <c r="I873" s="10">
        <v>5275</v>
      </c>
      <c r="J873" s="10"/>
      <c r="K873" s="10">
        <f t="shared" si="346"/>
        <v>5275</v>
      </c>
      <c r="L873" s="131"/>
      <c r="M873" s="10"/>
      <c r="N873" s="10"/>
      <c r="O873" s="10">
        <f t="shared" si="345"/>
        <v>0</v>
      </c>
      <c r="Q873" s="10">
        <f t="shared" si="343"/>
        <v>5275</v>
      </c>
      <c r="R873" s="10">
        <f t="shared" si="349"/>
        <v>0</v>
      </c>
      <c r="S873" s="10">
        <f t="shared" si="350"/>
        <v>5275</v>
      </c>
    </row>
    <row r="874" spans="2:19" hidden="1" x14ac:dyDescent="0.25">
      <c r="B874" s="73">
        <f t="shared" si="344"/>
        <v>298</v>
      </c>
      <c r="C874" s="9"/>
      <c r="D874" s="9"/>
      <c r="E874" s="9"/>
      <c r="F874" s="43" t="s">
        <v>305</v>
      </c>
      <c r="G874" s="98">
        <v>635</v>
      </c>
      <c r="H874" s="9" t="s">
        <v>234</v>
      </c>
      <c r="I874" s="10">
        <v>1980</v>
      </c>
      <c r="J874" s="10"/>
      <c r="K874" s="10">
        <f t="shared" si="346"/>
        <v>1980</v>
      </c>
      <c r="L874" s="131"/>
      <c r="M874" s="10"/>
      <c r="N874" s="10"/>
      <c r="O874" s="10">
        <f t="shared" si="345"/>
        <v>0</v>
      </c>
      <c r="Q874" s="10">
        <f t="shared" si="343"/>
        <v>1980</v>
      </c>
      <c r="R874" s="10">
        <f t="shared" si="349"/>
        <v>0</v>
      </c>
      <c r="S874" s="10">
        <f t="shared" si="350"/>
        <v>1980</v>
      </c>
    </row>
    <row r="875" spans="2:19" x14ac:dyDescent="0.25">
      <c r="B875" s="73">
        <f t="shared" si="344"/>
        <v>299</v>
      </c>
      <c r="C875" s="9"/>
      <c r="D875" s="9"/>
      <c r="E875" s="9"/>
      <c r="F875" s="43" t="s">
        <v>305</v>
      </c>
      <c r="G875" s="98">
        <v>637</v>
      </c>
      <c r="H875" s="9" t="s">
        <v>223</v>
      </c>
      <c r="I875" s="10">
        <v>9025</v>
      </c>
      <c r="J875" s="10"/>
      <c r="K875" s="10">
        <f t="shared" si="346"/>
        <v>9025</v>
      </c>
      <c r="L875" s="131"/>
      <c r="M875" s="10"/>
      <c r="N875" s="10"/>
      <c r="O875" s="10">
        <f t="shared" si="345"/>
        <v>0</v>
      </c>
      <c r="Q875" s="10">
        <f t="shared" si="343"/>
        <v>9025</v>
      </c>
      <c r="R875" s="10">
        <f t="shared" si="349"/>
        <v>0</v>
      </c>
      <c r="S875" s="10">
        <f t="shared" si="350"/>
        <v>9025</v>
      </c>
    </row>
    <row r="876" spans="2:19" x14ac:dyDescent="0.25">
      <c r="B876" s="73">
        <f t="shared" si="344"/>
        <v>300</v>
      </c>
      <c r="C876" s="21"/>
      <c r="D876" s="21"/>
      <c r="E876" s="21"/>
      <c r="F876" s="42" t="s">
        <v>305</v>
      </c>
      <c r="G876" s="97">
        <v>640</v>
      </c>
      <c r="H876" s="21" t="s">
        <v>230</v>
      </c>
      <c r="I876" s="15">
        <v>300</v>
      </c>
      <c r="J876" s="15"/>
      <c r="K876" s="15">
        <f t="shared" si="346"/>
        <v>300</v>
      </c>
      <c r="L876" s="130"/>
      <c r="M876" s="15"/>
      <c r="N876" s="15"/>
      <c r="O876" s="15">
        <f t="shared" si="345"/>
        <v>0</v>
      </c>
      <c r="Q876" s="15">
        <f t="shared" si="343"/>
        <v>300</v>
      </c>
      <c r="R876" s="15">
        <f t="shared" si="349"/>
        <v>0</v>
      </c>
      <c r="S876" s="15">
        <f t="shared" si="350"/>
        <v>300</v>
      </c>
    </row>
    <row r="877" spans="2:19" x14ac:dyDescent="0.25">
      <c r="B877" s="73">
        <f t="shared" si="344"/>
        <v>301</v>
      </c>
      <c r="C877" s="21"/>
      <c r="D877" s="21"/>
      <c r="E877" s="21"/>
      <c r="F877" s="42" t="s">
        <v>306</v>
      </c>
      <c r="G877" s="97">
        <v>610</v>
      </c>
      <c r="H877" s="21" t="s">
        <v>245</v>
      </c>
      <c r="I877" s="15">
        <f>134205-3450</f>
        <v>130755</v>
      </c>
      <c r="J877" s="15"/>
      <c r="K877" s="15">
        <f t="shared" si="346"/>
        <v>130755</v>
      </c>
      <c r="L877" s="130"/>
      <c r="M877" s="15"/>
      <c r="N877" s="15"/>
      <c r="O877" s="15">
        <f t="shared" si="345"/>
        <v>0</v>
      </c>
      <c r="Q877" s="15">
        <f t="shared" si="343"/>
        <v>130755</v>
      </c>
      <c r="R877" s="15">
        <f t="shared" si="349"/>
        <v>0</v>
      </c>
      <c r="S877" s="15">
        <f t="shared" si="350"/>
        <v>130755</v>
      </c>
    </row>
    <row r="878" spans="2:19" x14ac:dyDescent="0.25">
      <c r="B878" s="73">
        <f t="shared" si="344"/>
        <v>302</v>
      </c>
      <c r="C878" s="21"/>
      <c r="D878" s="21"/>
      <c r="E878" s="21"/>
      <c r="F878" s="42" t="s">
        <v>306</v>
      </c>
      <c r="G878" s="97">
        <v>620</v>
      </c>
      <c r="H878" s="21" t="s">
        <v>228</v>
      </c>
      <c r="I878" s="15">
        <f>47020-1209</f>
        <v>45811</v>
      </c>
      <c r="J878" s="15"/>
      <c r="K878" s="15">
        <f t="shared" si="346"/>
        <v>45811</v>
      </c>
      <c r="L878" s="130"/>
      <c r="M878" s="15"/>
      <c r="N878" s="15"/>
      <c r="O878" s="15">
        <f t="shared" si="345"/>
        <v>0</v>
      </c>
      <c r="Q878" s="15">
        <f t="shared" si="343"/>
        <v>45811</v>
      </c>
      <c r="R878" s="15">
        <f t="shared" si="349"/>
        <v>0</v>
      </c>
      <c r="S878" s="15">
        <f t="shared" si="350"/>
        <v>45811</v>
      </c>
    </row>
    <row r="879" spans="2:19" x14ac:dyDescent="0.25">
      <c r="B879" s="73">
        <f t="shared" si="344"/>
        <v>303</v>
      </c>
      <c r="C879" s="21"/>
      <c r="D879" s="21"/>
      <c r="E879" s="21"/>
      <c r="F879" s="42" t="s">
        <v>306</v>
      </c>
      <c r="G879" s="97">
        <v>630</v>
      </c>
      <c r="H879" s="21" t="s">
        <v>218</v>
      </c>
      <c r="I879" s="15">
        <f>SUM(I880:I884)</f>
        <v>80828</v>
      </c>
      <c r="J879" s="15">
        <f t="shared" ref="J879" si="363">SUM(J880:J884)</f>
        <v>0</v>
      </c>
      <c r="K879" s="15">
        <f t="shared" si="346"/>
        <v>80828</v>
      </c>
      <c r="L879" s="130"/>
      <c r="M879" s="15"/>
      <c r="N879" s="15"/>
      <c r="O879" s="15">
        <f t="shared" si="345"/>
        <v>0</v>
      </c>
      <c r="Q879" s="15">
        <f t="shared" si="343"/>
        <v>80828</v>
      </c>
      <c r="R879" s="15">
        <f t="shared" si="349"/>
        <v>0</v>
      </c>
      <c r="S879" s="15">
        <f t="shared" si="350"/>
        <v>80828</v>
      </c>
    </row>
    <row r="880" spans="2:19" x14ac:dyDescent="0.25">
      <c r="B880" s="73">
        <f t="shared" si="344"/>
        <v>304</v>
      </c>
      <c r="C880" s="9"/>
      <c r="D880" s="9"/>
      <c r="E880" s="9"/>
      <c r="F880" s="43" t="s">
        <v>306</v>
      </c>
      <c r="G880" s="98">
        <v>631</v>
      </c>
      <c r="H880" s="9" t="s">
        <v>219</v>
      </c>
      <c r="I880" s="10">
        <v>290</v>
      </c>
      <c r="J880" s="10"/>
      <c r="K880" s="10">
        <f t="shared" si="346"/>
        <v>290</v>
      </c>
      <c r="L880" s="131"/>
      <c r="M880" s="10"/>
      <c r="N880" s="10"/>
      <c r="O880" s="10">
        <f t="shared" si="345"/>
        <v>0</v>
      </c>
      <c r="Q880" s="10">
        <f t="shared" si="343"/>
        <v>290</v>
      </c>
      <c r="R880" s="10">
        <f t="shared" si="349"/>
        <v>0</v>
      </c>
      <c r="S880" s="10">
        <f t="shared" si="350"/>
        <v>290</v>
      </c>
    </row>
    <row r="881" spans="2:19" x14ac:dyDescent="0.25">
      <c r="B881" s="73">
        <f t="shared" si="344"/>
        <v>305</v>
      </c>
      <c r="C881" s="9"/>
      <c r="D881" s="9"/>
      <c r="E881" s="9"/>
      <c r="F881" s="43" t="s">
        <v>306</v>
      </c>
      <c r="G881" s="98">
        <v>632</v>
      </c>
      <c r="H881" s="9" t="s">
        <v>229</v>
      </c>
      <c r="I881" s="10">
        <f>54450-550</f>
        <v>53900</v>
      </c>
      <c r="J881" s="10"/>
      <c r="K881" s="10">
        <f t="shared" si="346"/>
        <v>53900</v>
      </c>
      <c r="L881" s="131"/>
      <c r="M881" s="10"/>
      <c r="N881" s="10"/>
      <c r="O881" s="10">
        <f t="shared" si="345"/>
        <v>0</v>
      </c>
      <c r="Q881" s="10">
        <f t="shared" si="343"/>
        <v>53900</v>
      </c>
      <c r="R881" s="10">
        <f t="shared" si="349"/>
        <v>0</v>
      </c>
      <c r="S881" s="10">
        <f t="shared" si="350"/>
        <v>53900</v>
      </c>
    </row>
    <row r="882" spans="2:19" x14ac:dyDescent="0.25">
      <c r="B882" s="73">
        <f t="shared" si="344"/>
        <v>306</v>
      </c>
      <c r="C882" s="9"/>
      <c r="D882" s="9"/>
      <c r="E882" s="9"/>
      <c r="F882" s="43" t="s">
        <v>306</v>
      </c>
      <c r="G882" s="98">
        <v>633</v>
      </c>
      <c r="H882" s="9" t="s">
        <v>220</v>
      </c>
      <c r="I882" s="10">
        <v>14083</v>
      </c>
      <c r="J882" s="10"/>
      <c r="K882" s="10">
        <f t="shared" si="346"/>
        <v>14083</v>
      </c>
      <c r="L882" s="131"/>
      <c r="M882" s="10"/>
      <c r="N882" s="10"/>
      <c r="O882" s="10">
        <f t="shared" si="345"/>
        <v>0</v>
      </c>
      <c r="Q882" s="10">
        <f t="shared" si="343"/>
        <v>14083</v>
      </c>
      <c r="R882" s="10">
        <f t="shared" si="349"/>
        <v>0</v>
      </c>
      <c r="S882" s="10">
        <f t="shared" si="350"/>
        <v>14083</v>
      </c>
    </row>
    <row r="883" spans="2:19" x14ac:dyDescent="0.25">
      <c r="B883" s="73">
        <f t="shared" si="344"/>
        <v>307</v>
      </c>
      <c r="C883" s="9"/>
      <c r="D883" s="9"/>
      <c r="E883" s="9"/>
      <c r="F883" s="43" t="s">
        <v>306</v>
      </c>
      <c r="G883" s="98">
        <v>635</v>
      </c>
      <c r="H883" s="9" t="s">
        <v>234</v>
      </c>
      <c r="I883" s="10">
        <v>1980</v>
      </c>
      <c r="J883" s="10"/>
      <c r="K883" s="10">
        <f t="shared" si="346"/>
        <v>1980</v>
      </c>
      <c r="L883" s="131"/>
      <c r="M883" s="10"/>
      <c r="N883" s="10"/>
      <c r="O883" s="10">
        <f t="shared" si="345"/>
        <v>0</v>
      </c>
      <c r="Q883" s="10">
        <f t="shared" si="343"/>
        <v>1980</v>
      </c>
      <c r="R883" s="10">
        <f t="shared" si="349"/>
        <v>0</v>
      </c>
      <c r="S883" s="10">
        <f t="shared" si="350"/>
        <v>1980</v>
      </c>
    </row>
    <row r="884" spans="2:19" x14ac:dyDescent="0.25">
      <c r="B884" s="73">
        <f t="shared" si="344"/>
        <v>308</v>
      </c>
      <c r="C884" s="9"/>
      <c r="D884" s="9"/>
      <c r="E884" s="9"/>
      <c r="F884" s="43" t="s">
        <v>306</v>
      </c>
      <c r="G884" s="98">
        <v>637</v>
      </c>
      <c r="H884" s="9" t="s">
        <v>223</v>
      </c>
      <c r="I884" s="10">
        <v>10575</v>
      </c>
      <c r="J884" s="10"/>
      <c r="K884" s="10">
        <f t="shared" si="346"/>
        <v>10575</v>
      </c>
      <c r="L884" s="131"/>
      <c r="M884" s="10"/>
      <c r="N884" s="10"/>
      <c r="O884" s="10">
        <f t="shared" si="345"/>
        <v>0</v>
      </c>
      <c r="Q884" s="10">
        <f t="shared" si="343"/>
        <v>10575</v>
      </c>
      <c r="R884" s="10">
        <f t="shared" si="349"/>
        <v>0</v>
      </c>
      <c r="S884" s="10">
        <f t="shared" si="350"/>
        <v>10575</v>
      </c>
    </row>
    <row r="885" spans="2:19" x14ac:dyDescent="0.25">
      <c r="B885" s="73">
        <f t="shared" si="344"/>
        <v>309</v>
      </c>
      <c r="C885" s="21"/>
      <c r="D885" s="21"/>
      <c r="E885" s="21"/>
      <c r="F885" s="42" t="s">
        <v>306</v>
      </c>
      <c r="G885" s="97">
        <v>640</v>
      </c>
      <c r="H885" s="21" t="s">
        <v>230</v>
      </c>
      <c r="I885" s="15">
        <v>300</v>
      </c>
      <c r="J885" s="15"/>
      <c r="K885" s="15">
        <f t="shared" si="346"/>
        <v>300</v>
      </c>
      <c r="L885" s="130"/>
      <c r="M885" s="15"/>
      <c r="N885" s="15"/>
      <c r="O885" s="15">
        <f t="shared" si="345"/>
        <v>0</v>
      </c>
      <c r="Q885" s="15">
        <f t="shared" si="343"/>
        <v>300</v>
      </c>
      <c r="R885" s="15">
        <f t="shared" si="349"/>
        <v>0</v>
      </c>
      <c r="S885" s="15">
        <f t="shared" si="350"/>
        <v>300</v>
      </c>
    </row>
    <row r="886" spans="2:19" x14ac:dyDescent="0.25">
      <c r="B886" s="73">
        <f t="shared" si="344"/>
        <v>310</v>
      </c>
      <c r="C886" s="9"/>
      <c r="D886" s="9"/>
      <c r="E886" s="9"/>
      <c r="F886" s="42" t="s">
        <v>306</v>
      </c>
      <c r="G886" s="97">
        <v>710</v>
      </c>
      <c r="H886" s="21" t="s">
        <v>235</v>
      </c>
      <c r="I886" s="15"/>
      <c r="J886" s="15"/>
      <c r="K886" s="15">
        <f t="shared" si="346"/>
        <v>0</v>
      </c>
      <c r="L886" s="130"/>
      <c r="M886" s="15">
        <f>M890+M887</f>
        <v>99400</v>
      </c>
      <c r="N886" s="15">
        <f t="shared" ref="N886" si="364">N890+N887</f>
        <v>0</v>
      </c>
      <c r="O886" s="15">
        <f t="shared" si="345"/>
        <v>99400</v>
      </c>
      <c r="Q886" s="15">
        <f t="shared" si="343"/>
        <v>99400</v>
      </c>
      <c r="R886" s="15">
        <f t="shared" si="349"/>
        <v>0</v>
      </c>
      <c r="S886" s="15">
        <f t="shared" si="350"/>
        <v>99400</v>
      </c>
    </row>
    <row r="887" spans="2:19" x14ac:dyDescent="0.25">
      <c r="B887" s="73">
        <f t="shared" si="344"/>
        <v>311</v>
      </c>
      <c r="C887" s="9"/>
      <c r="D887" s="9"/>
      <c r="E887" s="9"/>
      <c r="F887" s="44" t="s">
        <v>306</v>
      </c>
      <c r="G887" s="98">
        <v>716</v>
      </c>
      <c r="H887" s="9" t="s">
        <v>237</v>
      </c>
      <c r="I887" s="15"/>
      <c r="J887" s="15"/>
      <c r="K887" s="15">
        <f t="shared" si="346"/>
        <v>0</v>
      </c>
      <c r="L887" s="130"/>
      <c r="M887" s="15">
        <f>SUM(M888:M889)</f>
        <v>6400</v>
      </c>
      <c r="N887" s="15">
        <f t="shared" ref="N887" si="365">SUM(N888:N889)</f>
        <v>0</v>
      </c>
      <c r="O887" s="15">
        <f t="shared" si="345"/>
        <v>6400</v>
      </c>
      <c r="Q887" s="15">
        <f t="shared" si="343"/>
        <v>6400</v>
      </c>
      <c r="R887" s="15">
        <f t="shared" si="349"/>
        <v>0</v>
      </c>
      <c r="S887" s="15">
        <f t="shared" si="350"/>
        <v>6400</v>
      </c>
    </row>
    <row r="888" spans="2:19" x14ac:dyDescent="0.25">
      <c r="B888" s="73">
        <f t="shared" si="344"/>
        <v>312</v>
      </c>
      <c r="C888" s="9"/>
      <c r="D888" s="9"/>
      <c r="E888" s="9"/>
      <c r="F888" s="42"/>
      <c r="G888" s="99"/>
      <c r="H888" s="12" t="s">
        <v>526</v>
      </c>
      <c r="I888" s="15"/>
      <c r="J888" s="15"/>
      <c r="K888" s="15">
        <f t="shared" si="346"/>
        <v>0</v>
      </c>
      <c r="L888" s="130"/>
      <c r="M888" s="118">
        <v>6000</v>
      </c>
      <c r="N888" s="118"/>
      <c r="O888" s="118">
        <f t="shared" si="345"/>
        <v>6000</v>
      </c>
      <c r="Q888" s="118">
        <f t="shared" si="343"/>
        <v>6000</v>
      </c>
      <c r="R888" s="118">
        <f t="shared" si="349"/>
        <v>0</v>
      </c>
      <c r="S888" s="118">
        <f t="shared" si="350"/>
        <v>6000</v>
      </c>
    </row>
    <row r="889" spans="2:19" x14ac:dyDescent="0.25">
      <c r="B889" s="73">
        <f t="shared" si="344"/>
        <v>313</v>
      </c>
      <c r="C889" s="9"/>
      <c r="D889" s="9"/>
      <c r="E889" s="9"/>
      <c r="F889" s="42"/>
      <c r="G889" s="99"/>
      <c r="H889" s="12" t="s">
        <v>606</v>
      </c>
      <c r="I889" s="15"/>
      <c r="J889" s="15"/>
      <c r="K889" s="15">
        <f t="shared" si="346"/>
        <v>0</v>
      </c>
      <c r="L889" s="130"/>
      <c r="M889" s="118">
        <v>400</v>
      </c>
      <c r="N889" s="118"/>
      <c r="O889" s="118">
        <f t="shared" si="345"/>
        <v>400</v>
      </c>
      <c r="Q889" s="118">
        <f t="shared" si="343"/>
        <v>400</v>
      </c>
      <c r="R889" s="118">
        <f t="shared" si="349"/>
        <v>0</v>
      </c>
      <c r="S889" s="118">
        <f t="shared" si="350"/>
        <v>400</v>
      </c>
    </row>
    <row r="890" spans="2:19" x14ac:dyDescent="0.25">
      <c r="B890" s="73">
        <f t="shared" si="344"/>
        <v>314</v>
      </c>
      <c r="C890" s="9"/>
      <c r="D890" s="9"/>
      <c r="E890" s="9"/>
      <c r="F890" s="43" t="s">
        <v>306</v>
      </c>
      <c r="G890" s="98">
        <v>717</v>
      </c>
      <c r="H890" s="9" t="s">
        <v>240</v>
      </c>
      <c r="I890" s="10"/>
      <c r="J890" s="10"/>
      <c r="K890" s="10">
        <f t="shared" si="346"/>
        <v>0</v>
      </c>
      <c r="L890" s="131"/>
      <c r="M890" s="10">
        <f>SUM(M891:M892)</f>
        <v>93000</v>
      </c>
      <c r="N890" s="10">
        <f t="shared" ref="N890" si="366">SUM(N891:N892)</f>
        <v>0</v>
      </c>
      <c r="O890" s="10">
        <f t="shared" si="345"/>
        <v>93000</v>
      </c>
      <c r="Q890" s="10">
        <f t="shared" si="343"/>
        <v>93000</v>
      </c>
      <c r="R890" s="10">
        <f t="shared" si="349"/>
        <v>0</v>
      </c>
      <c r="S890" s="10">
        <f t="shared" si="350"/>
        <v>93000</v>
      </c>
    </row>
    <row r="891" spans="2:19" x14ac:dyDescent="0.25">
      <c r="B891" s="73">
        <f t="shared" si="344"/>
        <v>315</v>
      </c>
      <c r="C891" s="9"/>
      <c r="D891" s="9"/>
      <c r="E891" s="9"/>
      <c r="F891" s="43"/>
      <c r="G891" s="97"/>
      <c r="H891" s="109" t="s">
        <v>516</v>
      </c>
      <c r="I891" s="10"/>
      <c r="J891" s="10"/>
      <c r="K891" s="10">
        <f t="shared" si="346"/>
        <v>0</v>
      </c>
      <c r="L891" s="131"/>
      <c r="M891" s="13">
        <f>45000+15000</f>
        <v>60000</v>
      </c>
      <c r="N891" s="13"/>
      <c r="O891" s="13">
        <f t="shared" si="345"/>
        <v>60000</v>
      </c>
      <c r="Q891" s="10">
        <f t="shared" si="343"/>
        <v>60000</v>
      </c>
      <c r="R891" s="10">
        <f t="shared" si="349"/>
        <v>0</v>
      </c>
      <c r="S891" s="10">
        <f t="shared" si="350"/>
        <v>60000</v>
      </c>
    </row>
    <row r="892" spans="2:19" x14ac:dyDescent="0.25">
      <c r="B892" s="73">
        <f t="shared" si="344"/>
        <v>316</v>
      </c>
      <c r="C892" s="9"/>
      <c r="D892" s="9"/>
      <c r="E892" s="9"/>
      <c r="F892" s="43"/>
      <c r="G892" s="97"/>
      <c r="H892" s="109" t="s">
        <v>521</v>
      </c>
      <c r="I892" s="10"/>
      <c r="J892" s="10"/>
      <c r="K892" s="10">
        <f t="shared" si="346"/>
        <v>0</v>
      </c>
      <c r="L892" s="131"/>
      <c r="M892" s="13">
        <v>33000</v>
      </c>
      <c r="N892" s="13"/>
      <c r="O892" s="13">
        <f t="shared" si="345"/>
        <v>33000</v>
      </c>
      <c r="Q892" s="10">
        <f t="shared" si="343"/>
        <v>33000</v>
      </c>
      <c r="R892" s="10">
        <f t="shared" si="349"/>
        <v>0</v>
      </c>
      <c r="S892" s="10">
        <f t="shared" si="350"/>
        <v>33000</v>
      </c>
    </row>
    <row r="893" spans="2:19" x14ac:dyDescent="0.25">
      <c r="B893" s="73">
        <f t="shared" si="344"/>
        <v>317</v>
      </c>
      <c r="C893" s="38"/>
      <c r="D893" s="38"/>
      <c r="E893" s="38">
        <v>11</v>
      </c>
      <c r="F893" s="38"/>
      <c r="G893" s="95"/>
      <c r="H893" s="38" t="s">
        <v>172</v>
      </c>
      <c r="I893" s="39">
        <f>I894+I895+I896+I903+I904+I905+I906+I913</f>
        <v>1236779</v>
      </c>
      <c r="J893" s="39">
        <f>J894+J895+J896+J903+J904+J905+J906+J913+J914</f>
        <v>10227</v>
      </c>
      <c r="K893" s="39">
        <f t="shared" si="346"/>
        <v>1247006</v>
      </c>
      <c r="L893" s="138"/>
      <c r="M893" s="39">
        <f>M915</f>
        <v>50700</v>
      </c>
      <c r="N893" s="39">
        <f t="shared" ref="N893" si="367">N915</f>
        <v>0</v>
      </c>
      <c r="O893" s="39">
        <f t="shared" si="345"/>
        <v>50700</v>
      </c>
      <c r="Q893" s="39">
        <f t="shared" si="343"/>
        <v>1287479</v>
      </c>
      <c r="R893" s="39">
        <f t="shared" si="349"/>
        <v>10227</v>
      </c>
      <c r="S893" s="39">
        <f t="shared" si="350"/>
        <v>1297706</v>
      </c>
    </row>
    <row r="894" spans="2:19" x14ac:dyDescent="0.25">
      <c r="B894" s="73">
        <f t="shared" si="344"/>
        <v>318</v>
      </c>
      <c r="C894" s="21"/>
      <c r="D894" s="21"/>
      <c r="E894" s="21"/>
      <c r="F894" s="42" t="s">
        <v>305</v>
      </c>
      <c r="G894" s="97">
        <v>610</v>
      </c>
      <c r="H894" s="21" t="s">
        <v>245</v>
      </c>
      <c r="I894" s="15">
        <f>273702-18876</f>
        <v>254826</v>
      </c>
      <c r="J894" s="15"/>
      <c r="K894" s="15">
        <f t="shared" si="346"/>
        <v>254826</v>
      </c>
      <c r="L894" s="130"/>
      <c r="M894" s="15"/>
      <c r="N894" s="15"/>
      <c r="O894" s="15">
        <f t="shared" si="345"/>
        <v>0</v>
      </c>
      <c r="Q894" s="15">
        <f t="shared" si="343"/>
        <v>254826</v>
      </c>
      <c r="R894" s="15">
        <f t="shared" si="349"/>
        <v>0</v>
      </c>
      <c r="S894" s="15">
        <f t="shared" si="350"/>
        <v>254826</v>
      </c>
    </row>
    <row r="895" spans="2:19" x14ac:dyDescent="0.25">
      <c r="B895" s="73">
        <f t="shared" si="344"/>
        <v>319</v>
      </c>
      <c r="C895" s="21"/>
      <c r="D895" s="21"/>
      <c r="E895" s="21"/>
      <c r="F895" s="42" t="s">
        <v>305</v>
      </c>
      <c r="G895" s="97">
        <v>620</v>
      </c>
      <c r="H895" s="21" t="s">
        <v>228</v>
      </c>
      <c r="I895" s="15">
        <f>95786-7596</f>
        <v>88190</v>
      </c>
      <c r="J895" s="15"/>
      <c r="K895" s="15">
        <f t="shared" si="346"/>
        <v>88190</v>
      </c>
      <c r="L895" s="130"/>
      <c r="M895" s="15"/>
      <c r="N895" s="15"/>
      <c r="O895" s="15">
        <f t="shared" si="345"/>
        <v>0</v>
      </c>
      <c r="Q895" s="15">
        <f t="shared" si="343"/>
        <v>88190</v>
      </c>
      <c r="R895" s="15">
        <f t="shared" si="349"/>
        <v>0</v>
      </c>
      <c r="S895" s="15">
        <f t="shared" si="350"/>
        <v>88190</v>
      </c>
    </row>
    <row r="896" spans="2:19" x14ac:dyDescent="0.25">
      <c r="B896" s="73">
        <f t="shared" si="344"/>
        <v>320</v>
      </c>
      <c r="C896" s="21"/>
      <c r="D896" s="21"/>
      <c r="E896" s="21"/>
      <c r="F896" s="42" t="s">
        <v>305</v>
      </c>
      <c r="G896" s="97">
        <v>630</v>
      </c>
      <c r="H896" s="21" t="s">
        <v>218</v>
      </c>
      <c r="I896" s="15">
        <f>I897+I898+I899+I900+I901+I902</f>
        <v>64905</v>
      </c>
      <c r="J896" s="15">
        <f t="shared" ref="J896" si="368">J897+J898+J899+J900+J901+J902</f>
        <v>0</v>
      </c>
      <c r="K896" s="15">
        <f t="shared" si="346"/>
        <v>64905</v>
      </c>
      <c r="L896" s="130"/>
      <c r="M896" s="15"/>
      <c r="N896" s="15"/>
      <c r="O896" s="15">
        <f t="shared" si="345"/>
        <v>0</v>
      </c>
      <c r="Q896" s="15">
        <f t="shared" si="343"/>
        <v>64905</v>
      </c>
      <c r="R896" s="15">
        <f t="shared" si="349"/>
        <v>0</v>
      </c>
      <c r="S896" s="15">
        <f t="shared" si="350"/>
        <v>64905</v>
      </c>
    </row>
    <row r="897" spans="2:19" x14ac:dyDescent="0.25">
      <c r="B897" s="73">
        <f t="shared" si="344"/>
        <v>321</v>
      </c>
      <c r="C897" s="9"/>
      <c r="D897" s="9"/>
      <c r="E897" s="9"/>
      <c r="F897" s="43" t="s">
        <v>305</v>
      </c>
      <c r="G897" s="98">
        <v>631</v>
      </c>
      <c r="H897" s="9" t="s">
        <v>219</v>
      </c>
      <c r="I897" s="10">
        <v>17</v>
      </c>
      <c r="J897" s="10"/>
      <c r="K897" s="10">
        <f t="shared" si="346"/>
        <v>17</v>
      </c>
      <c r="L897" s="131"/>
      <c r="M897" s="10"/>
      <c r="N897" s="10"/>
      <c r="O897" s="10">
        <f t="shared" si="345"/>
        <v>0</v>
      </c>
      <c r="Q897" s="10">
        <f t="shared" si="343"/>
        <v>17</v>
      </c>
      <c r="R897" s="10">
        <f t="shared" si="349"/>
        <v>0</v>
      </c>
      <c r="S897" s="10">
        <f t="shared" si="350"/>
        <v>17</v>
      </c>
    </row>
    <row r="898" spans="2:19" x14ac:dyDescent="0.25">
      <c r="B898" s="73">
        <f t="shared" si="344"/>
        <v>322</v>
      </c>
      <c r="C898" s="9"/>
      <c r="D898" s="9"/>
      <c r="E898" s="9"/>
      <c r="F898" s="43" t="s">
        <v>305</v>
      </c>
      <c r="G898" s="98">
        <v>632</v>
      </c>
      <c r="H898" s="9" t="s">
        <v>229</v>
      </c>
      <c r="I898" s="10">
        <f>41459-29049</f>
        <v>12410</v>
      </c>
      <c r="J898" s="10"/>
      <c r="K898" s="10">
        <f t="shared" si="346"/>
        <v>12410</v>
      </c>
      <c r="L898" s="131"/>
      <c r="M898" s="10"/>
      <c r="N898" s="10"/>
      <c r="O898" s="10">
        <f t="shared" si="345"/>
        <v>0</v>
      </c>
      <c r="Q898" s="10">
        <f t="shared" si="343"/>
        <v>12410</v>
      </c>
      <c r="R898" s="10">
        <f t="shared" si="349"/>
        <v>0</v>
      </c>
      <c r="S898" s="10">
        <f t="shared" si="350"/>
        <v>12410</v>
      </c>
    </row>
    <row r="899" spans="2:19" x14ac:dyDescent="0.25">
      <c r="B899" s="73">
        <f t="shared" si="344"/>
        <v>323</v>
      </c>
      <c r="C899" s="9"/>
      <c r="D899" s="9"/>
      <c r="E899" s="9"/>
      <c r="F899" s="43" t="s">
        <v>305</v>
      </c>
      <c r="G899" s="98">
        <v>633</v>
      </c>
      <c r="H899" s="9" t="s">
        <v>220</v>
      </c>
      <c r="I899" s="10">
        <f>15600+2866</f>
        <v>18466</v>
      </c>
      <c r="J899" s="10"/>
      <c r="K899" s="10">
        <f t="shared" si="346"/>
        <v>18466</v>
      </c>
      <c r="L899" s="131"/>
      <c r="M899" s="10"/>
      <c r="N899" s="10"/>
      <c r="O899" s="10">
        <f t="shared" si="345"/>
        <v>0</v>
      </c>
      <c r="Q899" s="10">
        <f t="shared" si="343"/>
        <v>18466</v>
      </c>
      <c r="R899" s="10">
        <f t="shared" si="349"/>
        <v>0</v>
      </c>
      <c r="S899" s="10">
        <f t="shared" si="350"/>
        <v>18466</v>
      </c>
    </row>
    <row r="900" spans="2:19" x14ac:dyDescent="0.25">
      <c r="B900" s="73">
        <f t="shared" si="344"/>
        <v>324</v>
      </c>
      <c r="C900" s="9"/>
      <c r="D900" s="9"/>
      <c r="E900" s="9"/>
      <c r="F900" s="43" t="s">
        <v>305</v>
      </c>
      <c r="G900" s="98">
        <v>634</v>
      </c>
      <c r="H900" s="9" t="s">
        <v>221</v>
      </c>
      <c r="I900" s="10">
        <f>11-11</f>
        <v>0</v>
      </c>
      <c r="J900" s="10"/>
      <c r="K900" s="10">
        <f t="shared" si="346"/>
        <v>0</v>
      </c>
      <c r="L900" s="131"/>
      <c r="M900" s="10"/>
      <c r="N900" s="10"/>
      <c r="O900" s="10">
        <f t="shared" si="345"/>
        <v>0</v>
      </c>
      <c r="Q900" s="10">
        <f t="shared" ref="Q900:Q965" si="369">I900+M900</f>
        <v>0</v>
      </c>
      <c r="R900" s="10">
        <f t="shared" si="349"/>
        <v>0</v>
      </c>
      <c r="S900" s="10">
        <f t="shared" si="350"/>
        <v>0</v>
      </c>
    </row>
    <row r="901" spans="2:19" x14ac:dyDescent="0.25">
      <c r="B901" s="73">
        <f t="shared" ref="B901:B965" si="370">B900+1</f>
        <v>325</v>
      </c>
      <c r="C901" s="9"/>
      <c r="D901" s="9"/>
      <c r="E901" s="9"/>
      <c r="F901" s="43" t="s">
        <v>305</v>
      </c>
      <c r="G901" s="98">
        <v>635</v>
      </c>
      <c r="H901" s="9" t="s">
        <v>234</v>
      </c>
      <c r="I901" s="10">
        <f>4207+6450</f>
        <v>10657</v>
      </c>
      <c r="J901" s="10"/>
      <c r="K901" s="10">
        <f t="shared" si="346"/>
        <v>10657</v>
      </c>
      <c r="L901" s="131"/>
      <c r="M901" s="10"/>
      <c r="N901" s="10"/>
      <c r="O901" s="10">
        <f t="shared" ref="O901:O967" si="371">M901+N901</f>
        <v>0</v>
      </c>
      <c r="Q901" s="10">
        <f t="shared" si="369"/>
        <v>10657</v>
      </c>
      <c r="R901" s="10">
        <f t="shared" si="349"/>
        <v>0</v>
      </c>
      <c r="S901" s="10">
        <f t="shared" si="350"/>
        <v>10657</v>
      </c>
    </row>
    <row r="902" spans="2:19" x14ac:dyDescent="0.25">
      <c r="B902" s="73">
        <f t="shared" si="370"/>
        <v>326</v>
      </c>
      <c r="C902" s="9"/>
      <c r="D902" s="9"/>
      <c r="E902" s="9"/>
      <c r="F902" s="43" t="s">
        <v>305</v>
      </c>
      <c r="G902" s="98">
        <v>637</v>
      </c>
      <c r="H902" s="9" t="s">
        <v>223</v>
      </c>
      <c r="I902" s="10">
        <f>22965+390</f>
        <v>23355</v>
      </c>
      <c r="J902" s="10"/>
      <c r="K902" s="10">
        <f t="shared" si="346"/>
        <v>23355</v>
      </c>
      <c r="L902" s="131"/>
      <c r="M902" s="10"/>
      <c r="N902" s="10"/>
      <c r="O902" s="10">
        <f t="shared" si="371"/>
        <v>0</v>
      </c>
      <c r="Q902" s="10">
        <f t="shared" si="369"/>
        <v>23355</v>
      </c>
      <c r="R902" s="10">
        <f t="shared" si="349"/>
        <v>0</v>
      </c>
      <c r="S902" s="10">
        <f t="shared" si="350"/>
        <v>23355</v>
      </c>
    </row>
    <row r="903" spans="2:19" x14ac:dyDescent="0.25">
      <c r="B903" s="73">
        <f t="shared" si="370"/>
        <v>327</v>
      </c>
      <c r="C903" s="21"/>
      <c r="D903" s="21"/>
      <c r="E903" s="21"/>
      <c r="F903" s="42" t="s">
        <v>305</v>
      </c>
      <c r="G903" s="97">
        <v>640</v>
      </c>
      <c r="H903" s="21" t="s">
        <v>230</v>
      </c>
      <c r="I903" s="15">
        <f>3881+719</f>
        <v>4600</v>
      </c>
      <c r="J903" s="15"/>
      <c r="K903" s="15">
        <f t="shared" ref="K903:K969" si="372">I903+J903</f>
        <v>4600</v>
      </c>
      <c r="L903" s="130"/>
      <c r="M903" s="15"/>
      <c r="N903" s="15"/>
      <c r="O903" s="15">
        <f t="shared" si="371"/>
        <v>0</v>
      </c>
      <c r="Q903" s="15">
        <f t="shared" si="369"/>
        <v>4600</v>
      </c>
      <c r="R903" s="15">
        <f t="shared" si="349"/>
        <v>0</v>
      </c>
      <c r="S903" s="15">
        <f t="shared" si="350"/>
        <v>4600</v>
      </c>
    </row>
    <row r="904" spans="2:19" x14ac:dyDescent="0.25">
      <c r="B904" s="73">
        <f t="shared" si="370"/>
        <v>328</v>
      </c>
      <c r="C904" s="21"/>
      <c r="D904" s="21"/>
      <c r="E904" s="21"/>
      <c r="F904" s="42" t="s">
        <v>306</v>
      </c>
      <c r="G904" s="97">
        <v>610</v>
      </c>
      <c r="H904" s="21" t="s">
        <v>245</v>
      </c>
      <c r="I904" s="15">
        <f>434398+31936</f>
        <v>466334</v>
      </c>
      <c r="J904" s="15"/>
      <c r="K904" s="15">
        <f t="shared" si="372"/>
        <v>466334</v>
      </c>
      <c r="L904" s="130"/>
      <c r="M904" s="15"/>
      <c r="N904" s="15"/>
      <c r="O904" s="15">
        <f t="shared" si="371"/>
        <v>0</v>
      </c>
      <c r="Q904" s="15">
        <f t="shared" si="369"/>
        <v>466334</v>
      </c>
      <c r="R904" s="15">
        <f t="shared" si="349"/>
        <v>0</v>
      </c>
      <c r="S904" s="15">
        <f t="shared" si="350"/>
        <v>466334</v>
      </c>
    </row>
    <row r="905" spans="2:19" x14ac:dyDescent="0.25">
      <c r="B905" s="73">
        <f t="shared" si="370"/>
        <v>329</v>
      </c>
      <c r="C905" s="21"/>
      <c r="D905" s="21"/>
      <c r="E905" s="21"/>
      <c r="F905" s="42" t="s">
        <v>306</v>
      </c>
      <c r="G905" s="97">
        <v>620</v>
      </c>
      <c r="H905" s="21" t="s">
        <v>228</v>
      </c>
      <c r="I905" s="15">
        <f>152011+12170</f>
        <v>164181</v>
      </c>
      <c r="J905" s="15"/>
      <c r="K905" s="15">
        <f t="shared" si="372"/>
        <v>164181</v>
      </c>
      <c r="L905" s="130"/>
      <c r="M905" s="15"/>
      <c r="N905" s="15"/>
      <c r="O905" s="15">
        <f t="shared" si="371"/>
        <v>0</v>
      </c>
      <c r="Q905" s="15">
        <f t="shared" si="369"/>
        <v>164181</v>
      </c>
      <c r="R905" s="15">
        <f t="shared" si="349"/>
        <v>0</v>
      </c>
      <c r="S905" s="15">
        <f t="shared" si="350"/>
        <v>164181</v>
      </c>
    </row>
    <row r="906" spans="2:19" x14ac:dyDescent="0.25">
      <c r="B906" s="73">
        <f t="shared" si="370"/>
        <v>330</v>
      </c>
      <c r="C906" s="21"/>
      <c r="D906" s="21"/>
      <c r="E906" s="21"/>
      <c r="F906" s="42" t="s">
        <v>306</v>
      </c>
      <c r="G906" s="97">
        <v>630</v>
      </c>
      <c r="H906" s="21" t="s">
        <v>218</v>
      </c>
      <c r="I906" s="15">
        <f>I907+I908+I909+I910+I911+I912</f>
        <v>187643</v>
      </c>
      <c r="J906" s="15">
        <f t="shared" ref="J906" si="373">J907+J908+J909+J910+J911+J912</f>
        <v>0</v>
      </c>
      <c r="K906" s="15">
        <f t="shared" si="372"/>
        <v>187643</v>
      </c>
      <c r="L906" s="130"/>
      <c r="M906" s="15"/>
      <c r="N906" s="15"/>
      <c r="O906" s="15">
        <f t="shared" si="371"/>
        <v>0</v>
      </c>
      <c r="Q906" s="15">
        <f t="shared" si="369"/>
        <v>187643</v>
      </c>
      <c r="R906" s="15">
        <f t="shared" si="349"/>
        <v>0</v>
      </c>
      <c r="S906" s="15">
        <f t="shared" si="350"/>
        <v>187643</v>
      </c>
    </row>
    <row r="907" spans="2:19" x14ac:dyDescent="0.25">
      <c r="B907" s="73">
        <f t="shared" si="370"/>
        <v>331</v>
      </c>
      <c r="C907" s="9"/>
      <c r="D907" s="9"/>
      <c r="E907" s="9"/>
      <c r="F907" s="43" t="s">
        <v>306</v>
      </c>
      <c r="G907" s="98">
        <v>631</v>
      </c>
      <c r="H907" s="9" t="s">
        <v>219</v>
      </c>
      <c r="I907" s="10">
        <v>25</v>
      </c>
      <c r="J907" s="10"/>
      <c r="K907" s="10">
        <f t="shared" si="372"/>
        <v>25</v>
      </c>
      <c r="L907" s="131"/>
      <c r="M907" s="10"/>
      <c r="N907" s="10"/>
      <c r="O907" s="10">
        <f t="shared" si="371"/>
        <v>0</v>
      </c>
      <c r="Q907" s="10">
        <f t="shared" si="369"/>
        <v>25</v>
      </c>
      <c r="R907" s="10">
        <f t="shared" si="349"/>
        <v>0</v>
      </c>
      <c r="S907" s="10">
        <f t="shared" si="350"/>
        <v>25</v>
      </c>
    </row>
    <row r="908" spans="2:19" x14ac:dyDescent="0.25">
      <c r="B908" s="73">
        <f t="shared" si="370"/>
        <v>332</v>
      </c>
      <c r="C908" s="9"/>
      <c r="D908" s="9"/>
      <c r="E908" s="9"/>
      <c r="F908" s="43" t="s">
        <v>306</v>
      </c>
      <c r="G908" s="98">
        <v>632</v>
      </c>
      <c r="H908" s="9" t="s">
        <v>229</v>
      </c>
      <c r="I908" s="10">
        <f>115681-41276</f>
        <v>74405</v>
      </c>
      <c r="J908" s="10"/>
      <c r="K908" s="10">
        <f t="shared" si="372"/>
        <v>74405</v>
      </c>
      <c r="L908" s="131"/>
      <c r="M908" s="10"/>
      <c r="N908" s="10"/>
      <c r="O908" s="10">
        <f t="shared" si="371"/>
        <v>0</v>
      </c>
      <c r="Q908" s="10">
        <f t="shared" si="369"/>
        <v>74405</v>
      </c>
      <c r="R908" s="10">
        <f t="shared" si="349"/>
        <v>0</v>
      </c>
      <c r="S908" s="10">
        <f t="shared" si="350"/>
        <v>74405</v>
      </c>
    </row>
    <row r="909" spans="2:19" x14ac:dyDescent="0.25">
      <c r="B909" s="73">
        <f t="shared" si="370"/>
        <v>333</v>
      </c>
      <c r="C909" s="9"/>
      <c r="D909" s="9"/>
      <c r="E909" s="9"/>
      <c r="F909" s="43" t="s">
        <v>306</v>
      </c>
      <c r="G909" s="98">
        <v>633</v>
      </c>
      <c r="H909" s="9" t="s">
        <v>220</v>
      </c>
      <c r="I909" s="10">
        <f>36007+4300</f>
        <v>40307</v>
      </c>
      <c r="J909" s="10"/>
      <c r="K909" s="10">
        <f t="shared" si="372"/>
        <v>40307</v>
      </c>
      <c r="L909" s="131"/>
      <c r="M909" s="10"/>
      <c r="N909" s="10"/>
      <c r="O909" s="10">
        <f t="shared" si="371"/>
        <v>0</v>
      </c>
      <c r="Q909" s="10">
        <f t="shared" si="369"/>
        <v>40307</v>
      </c>
      <c r="R909" s="10">
        <f t="shared" si="349"/>
        <v>0</v>
      </c>
      <c r="S909" s="10">
        <f t="shared" si="350"/>
        <v>40307</v>
      </c>
    </row>
    <row r="910" spans="2:19" hidden="1" x14ac:dyDescent="0.25">
      <c r="B910" s="73">
        <f t="shared" si="370"/>
        <v>334</v>
      </c>
      <c r="C910" s="9"/>
      <c r="D910" s="9"/>
      <c r="E910" s="9"/>
      <c r="F910" s="43" t="s">
        <v>306</v>
      </c>
      <c r="G910" s="98">
        <v>634</v>
      </c>
      <c r="H910" s="9" t="s">
        <v>221</v>
      </c>
      <c r="I910" s="10">
        <f>16-16</f>
        <v>0</v>
      </c>
      <c r="J910" s="10"/>
      <c r="K910" s="10">
        <f t="shared" si="372"/>
        <v>0</v>
      </c>
      <c r="L910" s="131"/>
      <c r="M910" s="10"/>
      <c r="N910" s="10"/>
      <c r="O910" s="10">
        <f t="shared" si="371"/>
        <v>0</v>
      </c>
      <c r="Q910" s="10">
        <f t="shared" si="369"/>
        <v>0</v>
      </c>
      <c r="R910" s="10">
        <f t="shared" si="349"/>
        <v>0</v>
      </c>
      <c r="S910" s="10">
        <f t="shared" si="350"/>
        <v>0</v>
      </c>
    </row>
    <row r="911" spans="2:19" x14ac:dyDescent="0.25">
      <c r="B911" s="73">
        <f t="shared" si="370"/>
        <v>335</v>
      </c>
      <c r="C911" s="9"/>
      <c r="D911" s="9"/>
      <c r="E911" s="9"/>
      <c r="F911" s="43" t="s">
        <v>306</v>
      </c>
      <c r="G911" s="98">
        <v>635</v>
      </c>
      <c r="H911" s="9" t="s">
        <v>234</v>
      </c>
      <c r="I911" s="10">
        <f>8510+9090</f>
        <v>17600</v>
      </c>
      <c r="J911" s="10"/>
      <c r="K911" s="10">
        <f t="shared" si="372"/>
        <v>17600</v>
      </c>
      <c r="L911" s="131"/>
      <c r="M911" s="10"/>
      <c r="N911" s="10"/>
      <c r="O911" s="10">
        <f t="shared" si="371"/>
        <v>0</v>
      </c>
      <c r="Q911" s="10">
        <f t="shared" si="369"/>
        <v>17600</v>
      </c>
      <c r="R911" s="10">
        <f t="shared" si="349"/>
        <v>0</v>
      </c>
      <c r="S911" s="10">
        <f t="shared" si="350"/>
        <v>17600</v>
      </c>
    </row>
    <row r="912" spans="2:19" x14ac:dyDescent="0.25">
      <c r="B912" s="73">
        <f t="shared" si="370"/>
        <v>336</v>
      </c>
      <c r="C912" s="9"/>
      <c r="D912" s="9"/>
      <c r="E912" s="9"/>
      <c r="F912" s="43" t="s">
        <v>306</v>
      </c>
      <c r="G912" s="98">
        <v>637</v>
      </c>
      <c r="H912" s="9" t="s">
        <v>223</v>
      </c>
      <c r="I912" s="10">
        <f>55099+207</f>
        <v>55306</v>
      </c>
      <c r="J912" s="10"/>
      <c r="K912" s="10">
        <f t="shared" si="372"/>
        <v>55306</v>
      </c>
      <c r="L912" s="131"/>
      <c r="M912" s="10"/>
      <c r="N912" s="10"/>
      <c r="O912" s="10">
        <f t="shared" si="371"/>
        <v>0</v>
      </c>
      <c r="Q912" s="10">
        <f t="shared" si="369"/>
        <v>55306</v>
      </c>
      <c r="R912" s="10">
        <f t="shared" si="349"/>
        <v>0</v>
      </c>
      <c r="S912" s="10">
        <f t="shared" si="350"/>
        <v>55306</v>
      </c>
    </row>
    <row r="913" spans="2:19" x14ac:dyDescent="0.25">
      <c r="B913" s="73">
        <f t="shared" si="370"/>
        <v>337</v>
      </c>
      <c r="C913" s="21"/>
      <c r="D913" s="21"/>
      <c r="E913" s="21"/>
      <c r="F913" s="42" t="s">
        <v>306</v>
      </c>
      <c r="G913" s="97">
        <v>640</v>
      </c>
      <c r="H913" s="21" t="s">
        <v>230</v>
      </c>
      <c r="I913" s="15">
        <f>5821+279</f>
        <v>6100</v>
      </c>
      <c r="J913" s="15"/>
      <c r="K913" s="15">
        <f t="shared" si="372"/>
        <v>6100</v>
      </c>
      <c r="L913" s="130"/>
      <c r="M913" s="15"/>
      <c r="N913" s="15"/>
      <c r="O913" s="15">
        <f t="shared" si="371"/>
        <v>0</v>
      </c>
      <c r="Q913" s="15">
        <f t="shared" si="369"/>
        <v>6100</v>
      </c>
      <c r="R913" s="15">
        <f t="shared" si="349"/>
        <v>0</v>
      </c>
      <c r="S913" s="15">
        <f t="shared" si="350"/>
        <v>6100</v>
      </c>
    </row>
    <row r="914" spans="2:19" x14ac:dyDescent="0.25">
      <c r="B914" s="73">
        <f t="shared" si="370"/>
        <v>338</v>
      </c>
      <c r="C914" s="21"/>
      <c r="D914" s="21"/>
      <c r="E914" s="21"/>
      <c r="F914" s="42"/>
      <c r="G914" s="97">
        <v>630</v>
      </c>
      <c r="H914" s="21" t="s">
        <v>660</v>
      </c>
      <c r="I914" s="15">
        <v>0</v>
      </c>
      <c r="J914" s="15">
        <v>10227</v>
      </c>
      <c r="K914" s="15">
        <f t="shared" si="372"/>
        <v>10227</v>
      </c>
      <c r="L914" s="130"/>
      <c r="M914" s="15"/>
      <c r="N914" s="15"/>
      <c r="O914" s="15">
        <f t="shared" si="371"/>
        <v>0</v>
      </c>
      <c r="Q914" s="15">
        <f t="shared" ref="Q914" si="374">I914+M914</f>
        <v>0</v>
      </c>
      <c r="R914" s="15">
        <f t="shared" ref="R914" si="375">J914+N914</f>
        <v>10227</v>
      </c>
      <c r="S914" s="15">
        <f t="shared" ref="S914" si="376">K914+O914</f>
        <v>10227</v>
      </c>
    </row>
    <row r="915" spans="2:19" x14ac:dyDescent="0.25">
      <c r="B915" s="73">
        <f t="shared" si="370"/>
        <v>339</v>
      </c>
      <c r="C915" s="21"/>
      <c r="D915" s="21"/>
      <c r="E915" s="21"/>
      <c r="F915" s="42" t="s">
        <v>306</v>
      </c>
      <c r="G915" s="97">
        <v>710</v>
      </c>
      <c r="H915" s="21" t="s">
        <v>235</v>
      </c>
      <c r="I915" s="15"/>
      <c r="J915" s="15"/>
      <c r="K915" s="15">
        <f t="shared" si="372"/>
        <v>0</v>
      </c>
      <c r="L915" s="130"/>
      <c r="M915" s="15">
        <f>M918+M916</f>
        <v>50700</v>
      </c>
      <c r="N915" s="15">
        <f t="shared" ref="N915" si="377">N918+N916</f>
        <v>0</v>
      </c>
      <c r="O915" s="15">
        <f t="shared" si="371"/>
        <v>50700</v>
      </c>
      <c r="Q915" s="15">
        <f t="shared" si="369"/>
        <v>50700</v>
      </c>
      <c r="R915" s="15">
        <f t="shared" si="349"/>
        <v>0</v>
      </c>
      <c r="S915" s="15">
        <f t="shared" si="350"/>
        <v>50700</v>
      </c>
    </row>
    <row r="916" spans="2:19" x14ac:dyDescent="0.25">
      <c r="B916" s="73">
        <f t="shared" si="370"/>
        <v>340</v>
      </c>
      <c r="C916" s="21"/>
      <c r="D916" s="21"/>
      <c r="E916" s="21"/>
      <c r="F916" s="44" t="s">
        <v>306</v>
      </c>
      <c r="G916" s="98">
        <v>716</v>
      </c>
      <c r="H916" s="9" t="s">
        <v>237</v>
      </c>
      <c r="I916" s="15"/>
      <c r="J916" s="15"/>
      <c r="K916" s="15">
        <f t="shared" si="372"/>
        <v>0</v>
      </c>
      <c r="L916" s="130"/>
      <c r="M916" s="15">
        <f>M917</f>
        <v>1080</v>
      </c>
      <c r="N916" s="15">
        <f t="shared" ref="N916" si="378">N917</f>
        <v>0</v>
      </c>
      <c r="O916" s="15">
        <f t="shared" si="371"/>
        <v>1080</v>
      </c>
      <c r="Q916" s="15">
        <f t="shared" si="369"/>
        <v>1080</v>
      </c>
      <c r="R916" s="15">
        <f t="shared" si="349"/>
        <v>0</v>
      </c>
      <c r="S916" s="15">
        <f t="shared" si="350"/>
        <v>1080</v>
      </c>
    </row>
    <row r="917" spans="2:19" x14ac:dyDescent="0.25">
      <c r="B917" s="73">
        <f t="shared" si="370"/>
        <v>341</v>
      </c>
      <c r="C917" s="21"/>
      <c r="D917" s="21"/>
      <c r="E917" s="21"/>
      <c r="F917" s="42"/>
      <c r="G917" s="99"/>
      <c r="H917" s="12" t="s">
        <v>626</v>
      </c>
      <c r="I917" s="15"/>
      <c r="J917" s="15"/>
      <c r="K917" s="15">
        <f t="shared" si="372"/>
        <v>0</v>
      </c>
      <c r="L917" s="130"/>
      <c r="M917" s="118">
        <v>1080</v>
      </c>
      <c r="N917" s="118"/>
      <c r="O917" s="118">
        <f t="shared" si="371"/>
        <v>1080</v>
      </c>
      <c r="Q917" s="118">
        <f t="shared" si="369"/>
        <v>1080</v>
      </c>
      <c r="R917" s="118">
        <f t="shared" ref="R917:R982" si="379">J917+N917</f>
        <v>0</v>
      </c>
      <c r="S917" s="118">
        <f t="shared" ref="S917:S982" si="380">K917+O917</f>
        <v>1080</v>
      </c>
    </row>
    <row r="918" spans="2:19" x14ac:dyDescent="0.25">
      <c r="B918" s="73">
        <f t="shared" si="370"/>
        <v>342</v>
      </c>
      <c r="C918" s="9"/>
      <c r="D918" s="9"/>
      <c r="E918" s="9"/>
      <c r="F918" s="43" t="s">
        <v>306</v>
      </c>
      <c r="G918" s="98">
        <v>717</v>
      </c>
      <c r="H918" s="9" t="s">
        <v>240</v>
      </c>
      <c r="I918" s="10"/>
      <c r="J918" s="10"/>
      <c r="K918" s="10">
        <f t="shared" si="372"/>
        <v>0</v>
      </c>
      <c r="L918" s="131"/>
      <c r="M918" s="10">
        <f>M919+M920</f>
        <v>49620</v>
      </c>
      <c r="N918" s="10">
        <f t="shared" ref="N918" si="381">N919+N920</f>
        <v>0</v>
      </c>
      <c r="O918" s="10">
        <f t="shared" si="371"/>
        <v>49620</v>
      </c>
      <c r="Q918" s="10">
        <f t="shared" si="369"/>
        <v>49620</v>
      </c>
      <c r="R918" s="10">
        <f t="shared" si="379"/>
        <v>0</v>
      </c>
      <c r="S918" s="10">
        <f t="shared" si="380"/>
        <v>49620</v>
      </c>
    </row>
    <row r="919" spans="2:19" x14ac:dyDescent="0.25">
      <c r="B919" s="73">
        <f t="shared" si="370"/>
        <v>343</v>
      </c>
      <c r="C919" s="12"/>
      <c r="D919" s="12"/>
      <c r="E919" s="12"/>
      <c r="F919" s="12"/>
      <c r="G919" s="99"/>
      <c r="H919" s="67" t="s">
        <v>497</v>
      </c>
      <c r="I919" s="13"/>
      <c r="J919" s="13"/>
      <c r="K919" s="13">
        <f t="shared" si="372"/>
        <v>0</v>
      </c>
      <c r="L919" s="132"/>
      <c r="M919" s="13">
        <v>33000</v>
      </c>
      <c r="N919" s="13"/>
      <c r="O919" s="13">
        <f t="shared" si="371"/>
        <v>33000</v>
      </c>
      <c r="Q919" s="13">
        <f t="shared" si="369"/>
        <v>33000</v>
      </c>
      <c r="R919" s="13">
        <f t="shared" si="379"/>
        <v>0</v>
      </c>
      <c r="S919" s="13">
        <f t="shared" si="380"/>
        <v>33000</v>
      </c>
    </row>
    <row r="920" spans="2:19" x14ac:dyDescent="0.25">
      <c r="B920" s="73">
        <f t="shared" si="370"/>
        <v>344</v>
      </c>
      <c r="C920" s="12"/>
      <c r="D920" s="12"/>
      <c r="E920" s="12"/>
      <c r="F920" s="12"/>
      <c r="G920" s="99"/>
      <c r="H920" s="12" t="s">
        <v>627</v>
      </c>
      <c r="I920" s="13"/>
      <c r="J920" s="13"/>
      <c r="K920" s="13">
        <f t="shared" si="372"/>
        <v>0</v>
      </c>
      <c r="L920" s="132"/>
      <c r="M920" s="13">
        <v>16620</v>
      </c>
      <c r="N920" s="13"/>
      <c r="O920" s="13">
        <f t="shared" si="371"/>
        <v>16620</v>
      </c>
      <c r="Q920" s="13">
        <f t="shared" si="369"/>
        <v>16620</v>
      </c>
      <c r="R920" s="13">
        <f t="shared" si="379"/>
        <v>0</v>
      </c>
      <c r="S920" s="13">
        <f t="shared" si="380"/>
        <v>16620</v>
      </c>
    </row>
    <row r="921" spans="2:19" x14ac:dyDescent="0.25">
      <c r="B921" s="73">
        <f t="shared" si="370"/>
        <v>345</v>
      </c>
      <c r="C921" s="38"/>
      <c r="D921" s="38"/>
      <c r="E921" s="38">
        <v>12</v>
      </c>
      <c r="F921" s="38"/>
      <c r="G921" s="95"/>
      <c r="H921" s="38" t="s">
        <v>173</v>
      </c>
      <c r="I921" s="39">
        <f>I922+I923+I924+I931+I932+I933+I934+I941</f>
        <v>1150064</v>
      </c>
      <c r="J921" s="39">
        <f>J922+J923+J924+J931+J932+J933+J934+J941+J942</f>
        <v>10745</v>
      </c>
      <c r="K921" s="39">
        <f t="shared" si="372"/>
        <v>1160809</v>
      </c>
      <c r="L921" s="138"/>
      <c r="M921" s="39">
        <f>M943</f>
        <v>20800</v>
      </c>
      <c r="N921" s="39">
        <f t="shared" ref="N921" si="382">N943</f>
        <v>0</v>
      </c>
      <c r="O921" s="39">
        <f t="shared" si="371"/>
        <v>20800</v>
      </c>
      <c r="Q921" s="39">
        <f t="shared" si="369"/>
        <v>1170864</v>
      </c>
      <c r="R921" s="39">
        <f t="shared" si="379"/>
        <v>10745</v>
      </c>
      <c r="S921" s="39">
        <f t="shared" si="380"/>
        <v>1181609</v>
      </c>
    </row>
    <row r="922" spans="2:19" x14ac:dyDescent="0.25">
      <c r="B922" s="73">
        <f t="shared" si="370"/>
        <v>346</v>
      </c>
      <c r="C922" s="21"/>
      <c r="D922" s="21"/>
      <c r="E922" s="21"/>
      <c r="F922" s="42" t="s">
        <v>305</v>
      </c>
      <c r="G922" s="97">
        <v>610</v>
      </c>
      <c r="H922" s="21" t="s">
        <v>245</v>
      </c>
      <c r="I922" s="15">
        <f>280590+55155</f>
        <v>335745</v>
      </c>
      <c r="J922" s="15"/>
      <c r="K922" s="15">
        <f t="shared" si="372"/>
        <v>335745</v>
      </c>
      <c r="L922" s="130"/>
      <c r="M922" s="15"/>
      <c r="N922" s="15"/>
      <c r="O922" s="15">
        <f t="shared" si="371"/>
        <v>0</v>
      </c>
      <c r="Q922" s="15">
        <f t="shared" si="369"/>
        <v>335745</v>
      </c>
      <c r="R922" s="15">
        <f t="shared" si="379"/>
        <v>0</v>
      </c>
      <c r="S922" s="15">
        <f t="shared" si="380"/>
        <v>335745</v>
      </c>
    </row>
    <row r="923" spans="2:19" x14ac:dyDescent="0.25">
      <c r="B923" s="73">
        <f t="shared" si="370"/>
        <v>347</v>
      </c>
      <c r="C923" s="21"/>
      <c r="D923" s="21"/>
      <c r="E923" s="21"/>
      <c r="F923" s="42" t="s">
        <v>305</v>
      </c>
      <c r="G923" s="97">
        <v>620</v>
      </c>
      <c r="H923" s="21" t="s">
        <v>228</v>
      </c>
      <c r="I923" s="15">
        <f>103285+13330</f>
        <v>116615</v>
      </c>
      <c r="J923" s="15"/>
      <c r="K923" s="15">
        <f t="shared" si="372"/>
        <v>116615</v>
      </c>
      <c r="L923" s="130"/>
      <c r="M923" s="15"/>
      <c r="N923" s="15"/>
      <c r="O923" s="15">
        <f t="shared" si="371"/>
        <v>0</v>
      </c>
      <c r="Q923" s="15">
        <f t="shared" si="369"/>
        <v>116615</v>
      </c>
      <c r="R923" s="15">
        <f t="shared" si="379"/>
        <v>0</v>
      </c>
      <c r="S923" s="15">
        <f t="shared" si="380"/>
        <v>116615</v>
      </c>
    </row>
    <row r="924" spans="2:19" x14ac:dyDescent="0.25">
      <c r="B924" s="73">
        <f t="shared" si="370"/>
        <v>348</v>
      </c>
      <c r="C924" s="21"/>
      <c r="D924" s="21"/>
      <c r="E924" s="21"/>
      <c r="F924" s="42" t="s">
        <v>305</v>
      </c>
      <c r="G924" s="97">
        <v>630</v>
      </c>
      <c r="H924" s="21" t="s">
        <v>218</v>
      </c>
      <c r="I924" s="15">
        <f>SUM(I925:I930)</f>
        <v>58772</v>
      </c>
      <c r="J924" s="15">
        <f t="shared" ref="J924" si="383">SUM(J925:J930)</f>
        <v>0</v>
      </c>
      <c r="K924" s="15">
        <f t="shared" si="372"/>
        <v>58772</v>
      </c>
      <c r="L924" s="130"/>
      <c r="M924" s="15"/>
      <c r="N924" s="15"/>
      <c r="O924" s="15">
        <f t="shared" si="371"/>
        <v>0</v>
      </c>
      <c r="Q924" s="15">
        <f t="shared" si="369"/>
        <v>58772</v>
      </c>
      <c r="R924" s="15">
        <f t="shared" si="379"/>
        <v>0</v>
      </c>
      <c r="S924" s="15">
        <f t="shared" si="380"/>
        <v>58772</v>
      </c>
    </row>
    <row r="925" spans="2:19" x14ac:dyDescent="0.25">
      <c r="B925" s="73">
        <f t="shared" si="370"/>
        <v>349</v>
      </c>
      <c r="C925" s="9"/>
      <c r="D925" s="9"/>
      <c r="E925" s="9"/>
      <c r="F925" s="43" t="s">
        <v>305</v>
      </c>
      <c r="G925" s="98">
        <v>631</v>
      </c>
      <c r="H925" s="9" t="s">
        <v>219</v>
      </c>
      <c r="I925" s="10">
        <v>290</v>
      </c>
      <c r="J925" s="10"/>
      <c r="K925" s="10">
        <f t="shared" si="372"/>
        <v>290</v>
      </c>
      <c r="L925" s="131"/>
      <c r="M925" s="10"/>
      <c r="N925" s="10"/>
      <c r="O925" s="10">
        <f t="shared" si="371"/>
        <v>0</v>
      </c>
      <c r="Q925" s="10">
        <f t="shared" si="369"/>
        <v>290</v>
      </c>
      <c r="R925" s="10">
        <f t="shared" si="379"/>
        <v>0</v>
      </c>
      <c r="S925" s="10">
        <f t="shared" si="380"/>
        <v>290</v>
      </c>
    </row>
    <row r="926" spans="2:19" x14ac:dyDescent="0.25">
      <c r="B926" s="73">
        <f t="shared" si="370"/>
        <v>350</v>
      </c>
      <c r="C926" s="9"/>
      <c r="D926" s="9"/>
      <c r="E926" s="9"/>
      <c r="F926" s="43" t="s">
        <v>305</v>
      </c>
      <c r="G926" s="98">
        <v>632</v>
      </c>
      <c r="H926" s="9" t="s">
        <v>229</v>
      </c>
      <c r="I926" s="10">
        <f>27490-10000</f>
        <v>17490</v>
      </c>
      <c r="J926" s="10"/>
      <c r="K926" s="10">
        <f t="shared" si="372"/>
        <v>17490</v>
      </c>
      <c r="L926" s="131"/>
      <c r="M926" s="10"/>
      <c r="N926" s="10"/>
      <c r="O926" s="10">
        <f t="shared" si="371"/>
        <v>0</v>
      </c>
      <c r="Q926" s="10">
        <f t="shared" si="369"/>
        <v>17490</v>
      </c>
      <c r="R926" s="10">
        <f t="shared" si="379"/>
        <v>0</v>
      </c>
      <c r="S926" s="10">
        <f t="shared" si="380"/>
        <v>17490</v>
      </c>
    </row>
    <row r="927" spans="2:19" x14ac:dyDescent="0.25">
      <c r="B927" s="73">
        <f t="shared" si="370"/>
        <v>351</v>
      </c>
      <c r="C927" s="9"/>
      <c r="D927" s="9"/>
      <c r="E927" s="9"/>
      <c r="F927" s="43" t="s">
        <v>305</v>
      </c>
      <c r="G927" s="98">
        <v>633</v>
      </c>
      <c r="H927" s="9" t="s">
        <v>220</v>
      </c>
      <c r="I927" s="10">
        <f>14405-5000</f>
        <v>9405</v>
      </c>
      <c r="J927" s="10"/>
      <c r="K927" s="10">
        <f t="shared" si="372"/>
        <v>9405</v>
      </c>
      <c r="L927" s="131"/>
      <c r="M927" s="10"/>
      <c r="N927" s="10"/>
      <c r="O927" s="10">
        <f t="shared" si="371"/>
        <v>0</v>
      </c>
      <c r="Q927" s="10">
        <f t="shared" si="369"/>
        <v>9405</v>
      </c>
      <c r="R927" s="10">
        <f t="shared" si="379"/>
        <v>0</v>
      </c>
      <c r="S927" s="10">
        <f t="shared" si="380"/>
        <v>9405</v>
      </c>
    </row>
    <row r="928" spans="2:19" x14ac:dyDescent="0.25">
      <c r="B928" s="73">
        <f t="shared" si="370"/>
        <v>352</v>
      </c>
      <c r="C928" s="9"/>
      <c r="D928" s="9"/>
      <c r="E928" s="9"/>
      <c r="F928" s="43" t="s">
        <v>305</v>
      </c>
      <c r="G928" s="98">
        <v>635</v>
      </c>
      <c r="H928" s="9" t="s">
        <v>234</v>
      </c>
      <c r="I928" s="10">
        <f>19835-5000</f>
        <v>14835</v>
      </c>
      <c r="J928" s="10"/>
      <c r="K928" s="10">
        <f t="shared" si="372"/>
        <v>14835</v>
      </c>
      <c r="L928" s="131"/>
      <c r="M928" s="10"/>
      <c r="N928" s="10"/>
      <c r="O928" s="10">
        <f t="shared" si="371"/>
        <v>0</v>
      </c>
      <c r="Q928" s="10">
        <f t="shared" si="369"/>
        <v>14835</v>
      </c>
      <c r="R928" s="10">
        <f t="shared" si="379"/>
        <v>0</v>
      </c>
      <c r="S928" s="10">
        <f t="shared" si="380"/>
        <v>14835</v>
      </c>
    </row>
    <row r="929" spans="2:19" x14ac:dyDescent="0.25">
      <c r="B929" s="73">
        <f t="shared" si="370"/>
        <v>353</v>
      </c>
      <c r="C929" s="9"/>
      <c r="D929" s="9"/>
      <c r="E929" s="9"/>
      <c r="F929" s="43" t="s">
        <v>305</v>
      </c>
      <c r="G929" s="98">
        <v>636</v>
      </c>
      <c r="H929" s="9" t="s">
        <v>222</v>
      </c>
      <c r="I929" s="10">
        <v>2240</v>
      </c>
      <c r="J929" s="10"/>
      <c r="K929" s="10">
        <f t="shared" si="372"/>
        <v>2240</v>
      </c>
      <c r="L929" s="131"/>
      <c r="M929" s="10"/>
      <c r="N929" s="10"/>
      <c r="O929" s="10">
        <f t="shared" si="371"/>
        <v>0</v>
      </c>
      <c r="Q929" s="10">
        <f t="shared" si="369"/>
        <v>2240</v>
      </c>
      <c r="R929" s="10">
        <f t="shared" si="379"/>
        <v>0</v>
      </c>
      <c r="S929" s="10">
        <f t="shared" si="380"/>
        <v>2240</v>
      </c>
    </row>
    <row r="930" spans="2:19" x14ac:dyDescent="0.25">
      <c r="B930" s="73">
        <f t="shared" si="370"/>
        <v>354</v>
      </c>
      <c r="C930" s="9"/>
      <c r="D930" s="9"/>
      <c r="E930" s="9"/>
      <c r="F930" s="43" t="s">
        <v>305</v>
      </c>
      <c r="G930" s="98">
        <v>637</v>
      </c>
      <c r="H930" s="9" t="s">
        <v>223</v>
      </c>
      <c r="I930" s="10">
        <f>19280-4768</f>
        <v>14512</v>
      </c>
      <c r="J930" s="10"/>
      <c r="K930" s="10">
        <f t="shared" si="372"/>
        <v>14512</v>
      </c>
      <c r="L930" s="131"/>
      <c r="M930" s="10"/>
      <c r="N930" s="10"/>
      <c r="O930" s="10">
        <f t="shared" si="371"/>
        <v>0</v>
      </c>
      <c r="Q930" s="10">
        <f t="shared" si="369"/>
        <v>14512</v>
      </c>
      <c r="R930" s="10">
        <f t="shared" si="379"/>
        <v>0</v>
      </c>
      <c r="S930" s="10">
        <f t="shared" si="380"/>
        <v>14512</v>
      </c>
    </row>
    <row r="931" spans="2:19" x14ac:dyDescent="0.25">
      <c r="B931" s="73">
        <f t="shared" si="370"/>
        <v>355</v>
      </c>
      <c r="C931" s="21"/>
      <c r="D931" s="21"/>
      <c r="E931" s="21"/>
      <c r="F931" s="42" t="s">
        <v>305</v>
      </c>
      <c r="G931" s="97">
        <v>640</v>
      </c>
      <c r="H931" s="21" t="s">
        <v>230</v>
      </c>
      <c r="I931" s="15">
        <v>12710</v>
      </c>
      <c r="J931" s="15"/>
      <c r="K931" s="15">
        <f t="shared" si="372"/>
        <v>12710</v>
      </c>
      <c r="L931" s="130"/>
      <c r="M931" s="15"/>
      <c r="N931" s="15"/>
      <c r="O931" s="15">
        <f t="shared" si="371"/>
        <v>0</v>
      </c>
      <c r="Q931" s="15">
        <f t="shared" si="369"/>
        <v>12710</v>
      </c>
      <c r="R931" s="15">
        <f t="shared" si="379"/>
        <v>0</v>
      </c>
      <c r="S931" s="15">
        <f t="shared" si="380"/>
        <v>12710</v>
      </c>
    </row>
    <row r="932" spans="2:19" x14ac:dyDescent="0.25">
      <c r="B932" s="73">
        <f t="shared" si="370"/>
        <v>356</v>
      </c>
      <c r="C932" s="21"/>
      <c r="D932" s="21"/>
      <c r="E932" s="21"/>
      <c r="F932" s="42" t="s">
        <v>306</v>
      </c>
      <c r="G932" s="97">
        <v>610</v>
      </c>
      <c r="H932" s="21" t="s">
        <v>245</v>
      </c>
      <c r="I932" s="15">
        <v>362957</v>
      </c>
      <c r="J932" s="15"/>
      <c r="K932" s="15">
        <f t="shared" si="372"/>
        <v>362957</v>
      </c>
      <c r="L932" s="130"/>
      <c r="M932" s="15"/>
      <c r="N932" s="15"/>
      <c r="O932" s="15">
        <f t="shared" si="371"/>
        <v>0</v>
      </c>
      <c r="Q932" s="15">
        <f t="shared" si="369"/>
        <v>362957</v>
      </c>
      <c r="R932" s="15">
        <f t="shared" si="379"/>
        <v>0</v>
      </c>
      <c r="S932" s="15">
        <f t="shared" si="380"/>
        <v>362957</v>
      </c>
    </row>
    <row r="933" spans="2:19" x14ac:dyDescent="0.25">
      <c r="B933" s="73">
        <f t="shared" si="370"/>
        <v>357</v>
      </c>
      <c r="C933" s="21"/>
      <c r="D933" s="21"/>
      <c r="E933" s="21"/>
      <c r="F933" s="42" t="s">
        <v>306</v>
      </c>
      <c r="G933" s="97">
        <v>620</v>
      </c>
      <c r="H933" s="21" t="s">
        <v>228</v>
      </c>
      <c r="I933" s="15">
        <v>132735</v>
      </c>
      <c r="J933" s="15"/>
      <c r="K933" s="15">
        <f t="shared" si="372"/>
        <v>132735</v>
      </c>
      <c r="L933" s="130"/>
      <c r="M933" s="15"/>
      <c r="N933" s="15"/>
      <c r="O933" s="15">
        <f t="shared" si="371"/>
        <v>0</v>
      </c>
      <c r="Q933" s="15">
        <f t="shared" si="369"/>
        <v>132735</v>
      </c>
      <c r="R933" s="15">
        <f t="shared" si="379"/>
        <v>0</v>
      </c>
      <c r="S933" s="15">
        <f t="shared" si="380"/>
        <v>132735</v>
      </c>
    </row>
    <row r="934" spans="2:19" x14ac:dyDescent="0.25">
      <c r="B934" s="73">
        <f t="shared" si="370"/>
        <v>358</v>
      </c>
      <c r="C934" s="21"/>
      <c r="D934" s="21"/>
      <c r="E934" s="21"/>
      <c r="F934" s="42" t="s">
        <v>306</v>
      </c>
      <c r="G934" s="97">
        <v>630</v>
      </c>
      <c r="H934" s="21" t="s">
        <v>218</v>
      </c>
      <c r="I934" s="15">
        <f>SUM(I935:I940)</f>
        <v>115079</v>
      </c>
      <c r="J934" s="15">
        <f t="shared" ref="J934" si="384">SUM(J935:J940)</f>
        <v>0</v>
      </c>
      <c r="K934" s="15">
        <f t="shared" si="372"/>
        <v>115079</v>
      </c>
      <c r="L934" s="130"/>
      <c r="M934" s="15"/>
      <c r="N934" s="15"/>
      <c r="O934" s="15">
        <f t="shared" si="371"/>
        <v>0</v>
      </c>
      <c r="Q934" s="15">
        <f t="shared" si="369"/>
        <v>115079</v>
      </c>
      <c r="R934" s="15">
        <f t="shared" si="379"/>
        <v>0</v>
      </c>
      <c r="S934" s="15">
        <f t="shared" si="380"/>
        <v>115079</v>
      </c>
    </row>
    <row r="935" spans="2:19" x14ac:dyDescent="0.25">
      <c r="B935" s="73">
        <f t="shared" si="370"/>
        <v>359</v>
      </c>
      <c r="C935" s="9"/>
      <c r="D935" s="9"/>
      <c r="E935" s="9"/>
      <c r="F935" s="43" t="s">
        <v>306</v>
      </c>
      <c r="G935" s="98">
        <v>631</v>
      </c>
      <c r="H935" s="9" t="s">
        <v>219</v>
      </c>
      <c r="I935" s="10">
        <v>358</v>
      </c>
      <c r="J935" s="10"/>
      <c r="K935" s="10">
        <f t="shared" si="372"/>
        <v>358</v>
      </c>
      <c r="L935" s="131"/>
      <c r="M935" s="10"/>
      <c r="N935" s="10"/>
      <c r="O935" s="10">
        <f t="shared" si="371"/>
        <v>0</v>
      </c>
      <c r="Q935" s="10">
        <f t="shared" si="369"/>
        <v>358</v>
      </c>
      <c r="R935" s="10">
        <f t="shared" si="379"/>
        <v>0</v>
      </c>
      <c r="S935" s="10">
        <f t="shared" si="380"/>
        <v>358</v>
      </c>
    </row>
    <row r="936" spans="2:19" x14ac:dyDescent="0.25">
      <c r="B936" s="73">
        <f t="shared" si="370"/>
        <v>360</v>
      </c>
      <c r="C936" s="9"/>
      <c r="D936" s="9"/>
      <c r="E936" s="9"/>
      <c r="F936" s="43" t="s">
        <v>306</v>
      </c>
      <c r="G936" s="98">
        <v>632</v>
      </c>
      <c r="H936" s="9" t="s">
        <v>229</v>
      </c>
      <c r="I936" s="10">
        <f>31800-10000</f>
        <v>21800</v>
      </c>
      <c r="J936" s="10"/>
      <c r="K936" s="10">
        <f t="shared" si="372"/>
        <v>21800</v>
      </c>
      <c r="L936" s="131"/>
      <c r="M936" s="10"/>
      <c r="N936" s="10"/>
      <c r="O936" s="10">
        <f t="shared" si="371"/>
        <v>0</v>
      </c>
      <c r="Q936" s="10">
        <f t="shared" si="369"/>
        <v>21800</v>
      </c>
      <c r="R936" s="10">
        <f t="shared" si="379"/>
        <v>0</v>
      </c>
      <c r="S936" s="10">
        <f t="shared" si="380"/>
        <v>21800</v>
      </c>
    </row>
    <row r="937" spans="2:19" x14ac:dyDescent="0.25">
      <c r="B937" s="73">
        <f t="shared" si="370"/>
        <v>361</v>
      </c>
      <c r="C937" s="9"/>
      <c r="D937" s="9"/>
      <c r="E937" s="9"/>
      <c r="F937" s="43" t="s">
        <v>306</v>
      </c>
      <c r="G937" s="98">
        <v>633</v>
      </c>
      <c r="H937" s="9" t="s">
        <v>220</v>
      </c>
      <c r="I937" s="10">
        <f>38865-5000</f>
        <v>33865</v>
      </c>
      <c r="J937" s="10"/>
      <c r="K937" s="10">
        <f t="shared" si="372"/>
        <v>33865</v>
      </c>
      <c r="L937" s="131"/>
      <c r="M937" s="10"/>
      <c r="N937" s="10"/>
      <c r="O937" s="10">
        <f t="shared" si="371"/>
        <v>0</v>
      </c>
      <c r="Q937" s="10">
        <f t="shared" si="369"/>
        <v>33865</v>
      </c>
      <c r="R937" s="10">
        <f t="shared" si="379"/>
        <v>0</v>
      </c>
      <c r="S937" s="10">
        <f t="shared" si="380"/>
        <v>33865</v>
      </c>
    </row>
    <row r="938" spans="2:19" x14ac:dyDescent="0.25">
      <c r="B938" s="73">
        <f t="shared" si="370"/>
        <v>362</v>
      </c>
      <c r="C938" s="9"/>
      <c r="D938" s="9"/>
      <c r="E938" s="9"/>
      <c r="F938" s="43" t="s">
        <v>306</v>
      </c>
      <c r="G938" s="98">
        <v>635</v>
      </c>
      <c r="H938" s="9" t="s">
        <v>234</v>
      </c>
      <c r="I938" s="10">
        <f>26856-5000</f>
        <v>21856</v>
      </c>
      <c r="J938" s="10"/>
      <c r="K938" s="10">
        <f t="shared" si="372"/>
        <v>21856</v>
      </c>
      <c r="L938" s="131"/>
      <c r="M938" s="10"/>
      <c r="N938" s="10"/>
      <c r="O938" s="10">
        <f t="shared" si="371"/>
        <v>0</v>
      </c>
      <c r="Q938" s="10">
        <f t="shared" si="369"/>
        <v>21856</v>
      </c>
      <c r="R938" s="10">
        <f t="shared" si="379"/>
        <v>0</v>
      </c>
      <c r="S938" s="10">
        <f t="shared" si="380"/>
        <v>21856</v>
      </c>
    </row>
    <row r="939" spans="2:19" x14ac:dyDescent="0.25">
      <c r="B939" s="73">
        <f t="shared" si="370"/>
        <v>363</v>
      </c>
      <c r="C939" s="9"/>
      <c r="D939" s="9"/>
      <c r="E939" s="9"/>
      <c r="F939" s="43" t="s">
        <v>306</v>
      </c>
      <c r="G939" s="98">
        <v>636</v>
      </c>
      <c r="H939" s="9" t="s">
        <v>222</v>
      </c>
      <c r="I939" s="10">
        <v>2520</v>
      </c>
      <c r="J939" s="10"/>
      <c r="K939" s="10">
        <f t="shared" si="372"/>
        <v>2520</v>
      </c>
      <c r="L939" s="131"/>
      <c r="M939" s="10"/>
      <c r="N939" s="10"/>
      <c r="O939" s="10">
        <f t="shared" si="371"/>
        <v>0</v>
      </c>
      <c r="Q939" s="10">
        <f t="shared" si="369"/>
        <v>2520</v>
      </c>
      <c r="R939" s="10">
        <f t="shared" si="379"/>
        <v>0</v>
      </c>
      <c r="S939" s="10">
        <f t="shared" si="380"/>
        <v>2520</v>
      </c>
    </row>
    <row r="940" spans="2:19" x14ac:dyDescent="0.25">
      <c r="B940" s="73">
        <f t="shared" si="370"/>
        <v>364</v>
      </c>
      <c r="C940" s="9"/>
      <c r="D940" s="9"/>
      <c r="E940" s="9"/>
      <c r="F940" s="43" t="s">
        <v>306</v>
      </c>
      <c r="G940" s="98">
        <v>637</v>
      </c>
      <c r="H940" s="9" t="s">
        <v>223</v>
      </c>
      <c r="I940" s="10">
        <v>34680</v>
      </c>
      <c r="J940" s="10"/>
      <c r="K940" s="10">
        <f t="shared" si="372"/>
        <v>34680</v>
      </c>
      <c r="L940" s="131"/>
      <c r="M940" s="10"/>
      <c r="N940" s="10"/>
      <c r="O940" s="10">
        <f t="shared" si="371"/>
        <v>0</v>
      </c>
      <c r="Q940" s="10">
        <f t="shared" si="369"/>
        <v>34680</v>
      </c>
      <c r="R940" s="10">
        <f t="shared" si="379"/>
        <v>0</v>
      </c>
      <c r="S940" s="10">
        <f t="shared" si="380"/>
        <v>34680</v>
      </c>
    </row>
    <row r="941" spans="2:19" x14ac:dyDescent="0.25">
      <c r="B941" s="73">
        <f t="shared" si="370"/>
        <v>365</v>
      </c>
      <c r="C941" s="21"/>
      <c r="D941" s="21"/>
      <c r="E941" s="21"/>
      <c r="F941" s="42" t="s">
        <v>306</v>
      </c>
      <c r="G941" s="97">
        <v>640</v>
      </c>
      <c r="H941" s="21" t="s">
        <v>230</v>
      </c>
      <c r="I941" s="15">
        <f>15590-139</f>
        <v>15451</v>
      </c>
      <c r="J941" s="15"/>
      <c r="K941" s="15">
        <f t="shared" si="372"/>
        <v>15451</v>
      </c>
      <c r="L941" s="130"/>
      <c r="M941" s="15"/>
      <c r="N941" s="15"/>
      <c r="O941" s="15">
        <f t="shared" si="371"/>
        <v>0</v>
      </c>
      <c r="Q941" s="15">
        <f t="shared" si="369"/>
        <v>15451</v>
      </c>
      <c r="R941" s="15">
        <f t="shared" si="379"/>
        <v>0</v>
      </c>
      <c r="S941" s="15">
        <f t="shared" si="380"/>
        <v>15451</v>
      </c>
    </row>
    <row r="942" spans="2:19" x14ac:dyDescent="0.25">
      <c r="B942" s="73">
        <f t="shared" si="370"/>
        <v>366</v>
      </c>
      <c r="C942" s="21"/>
      <c r="D942" s="21"/>
      <c r="E942" s="21"/>
      <c r="F942" s="42"/>
      <c r="G942" s="97">
        <v>630</v>
      </c>
      <c r="H942" s="21" t="s">
        <v>660</v>
      </c>
      <c r="I942" s="15">
        <v>0</v>
      </c>
      <c r="J942" s="15">
        <v>10745</v>
      </c>
      <c r="K942" s="15">
        <f t="shared" ref="K942" si="385">I942+J942</f>
        <v>10745</v>
      </c>
      <c r="L942" s="130"/>
      <c r="M942" s="15"/>
      <c r="N942" s="15"/>
      <c r="O942" s="15">
        <f t="shared" ref="O942" si="386">M942+N942</f>
        <v>0</v>
      </c>
      <c r="Q942" s="15">
        <f t="shared" ref="Q942" si="387">I942+M942</f>
        <v>0</v>
      </c>
      <c r="R942" s="15">
        <f t="shared" ref="R942" si="388">J942+N942</f>
        <v>10745</v>
      </c>
      <c r="S942" s="15">
        <f t="shared" ref="S942" si="389">K942+O942</f>
        <v>10745</v>
      </c>
    </row>
    <row r="943" spans="2:19" x14ac:dyDescent="0.25">
      <c r="B943" s="73">
        <f t="shared" si="370"/>
        <v>367</v>
      </c>
      <c r="C943" s="21"/>
      <c r="D943" s="21"/>
      <c r="E943" s="21"/>
      <c r="F943" s="42" t="s">
        <v>306</v>
      </c>
      <c r="G943" s="97">
        <v>710</v>
      </c>
      <c r="H943" s="21" t="s">
        <v>235</v>
      </c>
      <c r="I943" s="15"/>
      <c r="J943" s="15"/>
      <c r="K943" s="15">
        <f t="shared" si="372"/>
        <v>0</v>
      </c>
      <c r="L943" s="130"/>
      <c r="M943" s="15">
        <f>M946+M944</f>
        <v>20800</v>
      </c>
      <c r="N943" s="15">
        <f t="shared" ref="N943" si="390">N946+N944</f>
        <v>0</v>
      </c>
      <c r="O943" s="15">
        <f t="shared" si="371"/>
        <v>20800</v>
      </c>
      <c r="Q943" s="15">
        <f t="shared" si="369"/>
        <v>20800</v>
      </c>
      <c r="R943" s="15">
        <f t="shared" si="379"/>
        <v>0</v>
      </c>
      <c r="S943" s="15">
        <f t="shared" si="380"/>
        <v>20800</v>
      </c>
    </row>
    <row r="944" spans="2:19" x14ac:dyDescent="0.25">
      <c r="B944" s="73">
        <f t="shared" si="370"/>
        <v>368</v>
      </c>
      <c r="C944" s="21"/>
      <c r="D944" s="21"/>
      <c r="E944" s="21"/>
      <c r="F944" s="43" t="s">
        <v>306</v>
      </c>
      <c r="G944" s="98">
        <v>716</v>
      </c>
      <c r="H944" s="9" t="s">
        <v>237</v>
      </c>
      <c r="I944" s="10"/>
      <c r="J944" s="10"/>
      <c r="K944" s="10">
        <f t="shared" si="372"/>
        <v>0</v>
      </c>
      <c r="L944" s="131"/>
      <c r="M944" s="10">
        <f>M945</f>
        <v>800</v>
      </c>
      <c r="N944" s="10">
        <f t="shared" ref="N944" si="391">N945</f>
        <v>0</v>
      </c>
      <c r="O944" s="10">
        <f t="shared" si="371"/>
        <v>800</v>
      </c>
      <c r="Q944" s="10">
        <f t="shared" si="369"/>
        <v>800</v>
      </c>
      <c r="R944" s="10">
        <f t="shared" si="379"/>
        <v>0</v>
      </c>
      <c r="S944" s="10">
        <f t="shared" si="380"/>
        <v>800</v>
      </c>
    </row>
    <row r="945" spans="2:19" x14ac:dyDescent="0.25">
      <c r="B945" s="73">
        <f t="shared" si="370"/>
        <v>369</v>
      </c>
      <c r="C945" s="21"/>
      <c r="D945" s="21"/>
      <c r="E945" s="21"/>
      <c r="F945" s="12"/>
      <c r="G945" s="99"/>
      <c r="H945" s="12" t="s">
        <v>605</v>
      </c>
      <c r="I945" s="13"/>
      <c r="J945" s="13"/>
      <c r="K945" s="13">
        <f t="shared" si="372"/>
        <v>0</v>
      </c>
      <c r="L945" s="132"/>
      <c r="M945" s="13">
        <v>800</v>
      </c>
      <c r="N945" s="13"/>
      <c r="O945" s="13">
        <f t="shared" si="371"/>
        <v>800</v>
      </c>
      <c r="Q945" s="13">
        <f t="shared" si="369"/>
        <v>800</v>
      </c>
      <c r="R945" s="13">
        <f t="shared" si="379"/>
        <v>0</v>
      </c>
      <c r="S945" s="13">
        <f t="shared" si="380"/>
        <v>800</v>
      </c>
    </row>
    <row r="946" spans="2:19" x14ac:dyDescent="0.25">
      <c r="B946" s="73">
        <f t="shared" si="370"/>
        <v>370</v>
      </c>
      <c r="C946" s="9"/>
      <c r="D946" s="9"/>
      <c r="E946" s="9"/>
      <c r="F946" s="43" t="s">
        <v>306</v>
      </c>
      <c r="G946" s="98">
        <v>717</v>
      </c>
      <c r="H946" s="9" t="s">
        <v>240</v>
      </c>
      <c r="I946" s="10"/>
      <c r="J946" s="10"/>
      <c r="K946" s="10">
        <f t="shared" si="372"/>
        <v>0</v>
      </c>
      <c r="L946" s="131"/>
      <c r="M946" s="10">
        <f>M947</f>
        <v>20000</v>
      </c>
      <c r="N946" s="10">
        <f t="shared" ref="N946" si="392">N947</f>
        <v>0</v>
      </c>
      <c r="O946" s="10">
        <f t="shared" si="371"/>
        <v>20000</v>
      </c>
      <c r="Q946" s="10">
        <f t="shared" si="369"/>
        <v>20000</v>
      </c>
      <c r="R946" s="10">
        <f t="shared" si="379"/>
        <v>0</v>
      </c>
      <c r="S946" s="10">
        <f t="shared" si="380"/>
        <v>20000</v>
      </c>
    </row>
    <row r="947" spans="2:19" x14ac:dyDescent="0.25">
      <c r="B947" s="73">
        <f t="shared" si="370"/>
        <v>371</v>
      </c>
      <c r="C947" s="12"/>
      <c r="D947" s="12"/>
      <c r="E947" s="12"/>
      <c r="F947" s="12"/>
      <c r="G947" s="99"/>
      <c r="H947" s="12" t="s">
        <v>564</v>
      </c>
      <c r="I947" s="13"/>
      <c r="J947" s="13"/>
      <c r="K947" s="13">
        <f t="shared" si="372"/>
        <v>0</v>
      </c>
      <c r="L947" s="132"/>
      <c r="M947" s="13">
        <v>20000</v>
      </c>
      <c r="N947" s="13"/>
      <c r="O947" s="13">
        <f t="shared" si="371"/>
        <v>20000</v>
      </c>
      <c r="Q947" s="13">
        <f t="shared" si="369"/>
        <v>20000</v>
      </c>
      <c r="R947" s="13">
        <f t="shared" si="379"/>
        <v>0</v>
      </c>
      <c r="S947" s="13">
        <f t="shared" si="380"/>
        <v>20000</v>
      </c>
    </row>
    <row r="948" spans="2:19" x14ac:dyDescent="0.25">
      <c r="B948" s="73">
        <f t="shared" si="370"/>
        <v>372</v>
      </c>
      <c r="C948" s="38"/>
      <c r="D948" s="38"/>
      <c r="E948" s="38">
        <v>13</v>
      </c>
      <c r="F948" s="38"/>
      <c r="G948" s="95"/>
      <c r="H948" s="38" t="s">
        <v>174</v>
      </c>
      <c r="I948" s="39">
        <f>I949+I950+I951+I956+I957+I958+I959+I965</f>
        <v>421092</v>
      </c>
      <c r="J948" s="39">
        <f>J949+J950+J951+J956+J957+J958+J959+J965+J966</f>
        <v>1923</v>
      </c>
      <c r="K948" s="39">
        <f t="shared" si="372"/>
        <v>423015</v>
      </c>
      <c r="L948" s="138"/>
      <c r="M948" s="39">
        <f>M967</f>
        <v>226902</v>
      </c>
      <c r="N948" s="39">
        <f t="shared" ref="N948" si="393">N967</f>
        <v>0</v>
      </c>
      <c r="O948" s="39">
        <f t="shared" si="371"/>
        <v>226902</v>
      </c>
      <c r="Q948" s="39">
        <f t="shared" si="369"/>
        <v>647994</v>
      </c>
      <c r="R948" s="39">
        <f t="shared" si="379"/>
        <v>1923</v>
      </c>
      <c r="S948" s="39">
        <f t="shared" si="380"/>
        <v>649917</v>
      </c>
    </row>
    <row r="949" spans="2:19" x14ac:dyDescent="0.25">
      <c r="B949" s="73">
        <f t="shared" si="370"/>
        <v>373</v>
      </c>
      <c r="C949" s="21"/>
      <c r="D949" s="21"/>
      <c r="E949" s="21"/>
      <c r="F949" s="42" t="s">
        <v>305</v>
      </c>
      <c r="G949" s="97">
        <v>610</v>
      </c>
      <c r="H949" s="21" t="s">
        <v>245</v>
      </c>
      <c r="I949" s="15">
        <f>95785-4709</f>
        <v>91076</v>
      </c>
      <c r="J949" s="15"/>
      <c r="K949" s="15">
        <f t="shared" si="372"/>
        <v>91076</v>
      </c>
      <c r="L949" s="130"/>
      <c r="M949" s="15"/>
      <c r="N949" s="15"/>
      <c r="O949" s="15">
        <f t="shared" si="371"/>
        <v>0</v>
      </c>
      <c r="Q949" s="15">
        <f t="shared" si="369"/>
        <v>91076</v>
      </c>
      <c r="R949" s="15">
        <f t="shared" si="379"/>
        <v>0</v>
      </c>
      <c r="S949" s="15">
        <f t="shared" si="380"/>
        <v>91076</v>
      </c>
    </row>
    <row r="950" spans="2:19" x14ac:dyDescent="0.25">
      <c r="B950" s="73">
        <f t="shared" si="370"/>
        <v>374</v>
      </c>
      <c r="C950" s="21"/>
      <c r="D950" s="21"/>
      <c r="E950" s="21"/>
      <c r="F950" s="42" t="s">
        <v>305</v>
      </c>
      <c r="G950" s="97">
        <v>620</v>
      </c>
      <c r="H950" s="21" t="s">
        <v>228</v>
      </c>
      <c r="I950" s="15">
        <f>33471-1648</f>
        <v>31823</v>
      </c>
      <c r="J950" s="15"/>
      <c r="K950" s="15">
        <f t="shared" si="372"/>
        <v>31823</v>
      </c>
      <c r="L950" s="130"/>
      <c r="M950" s="15"/>
      <c r="N950" s="15"/>
      <c r="O950" s="15">
        <f t="shared" si="371"/>
        <v>0</v>
      </c>
      <c r="Q950" s="15">
        <f t="shared" si="369"/>
        <v>31823</v>
      </c>
      <c r="R950" s="15">
        <f t="shared" si="379"/>
        <v>0</v>
      </c>
      <c r="S950" s="15">
        <f t="shared" si="380"/>
        <v>31823</v>
      </c>
    </row>
    <row r="951" spans="2:19" x14ac:dyDescent="0.25">
      <c r="B951" s="73">
        <f t="shared" si="370"/>
        <v>375</v>
      </c>
      <c r="C951" s="21"/>
      <c r="D951" s="21"/>
      <c r="E951" s="21"/>
      <c r="F951" s="42" t="s">
        <v>305</v>
      </c>
      <c r="G951" s="97">
        <v>630</v>
      </c>
      <c r="H951" s="21" t="s">
        <v>218</v>
      </c>
      <c r="I951" s="15">
        <f>SUM(I952:I955)</f>
        <v>29923</v>
      </c>
      <c r="J951" s="15">
        <f t="shared" ref="J951" si="394">SUM(J952:J955)</f>
        <v>0</v>
      </c>
      <c r="K951" s="15">
        <f t="shared" si="372"/>
        <v>29923</v>
      </c>
      <c r="L951" s="130"/>
      <c r="M951" s="15"/>
      <c r="N951" s="15"/>
      <c r="O951" s="15">
        <f t="shared" si="371"/>
        <v>0</v>
      </c>
      <c r="Q951" s="15">
        <f t="shared" si="369"/>
        <v>29923</v>
      </c>
      <c r="R951" s="15">
        <f t="shared" si="379"/>
        <v>0</v>
      </c>
      <c r="S951" s="15">
        <f t="shared" si="380"/>
        <v>29923</v>
      </c>
    </row>
    <row r="952" spans="2:19" x14ac:dyDescent="0.25">
      <c r="B952" s="73">
        <f t="shared" si="370"/>
        <v>376</v>
      </c>
      <c r="C952" s="9"/>
      <c r="D952" s="9"/>
      <c r="E952" s="9"/>
      <c r="F952" s="43" t="s">
        <v>305</v>
      </c>
      <c r="G952" s="98">
        <v>632</v>
      </c>
      <c r="H952" s="9" t="s">
        <v>229</v>
      </c>
      <c r="I952" s="10">
        <v>22142</v>
      </c>
      <c r="J952" s="10"/>
      <c r="K952" s="10">
        <f t="shared" si="372"/>
        <v>22142</v>
      </c>
      <c r="L952" s="131"/>
      <c r="M952" s="10"/>
      <c r="N952" s="10"/>
      <c r="O952" s="10">
        <f t="shared" si="371"/>
        <v>0</v>
      </c>
      <c r="Q952" s="10">
        <f t="shared" si="369"/>
        <v>22142</v>
      </c>
      <c r="R952" s="10">
        <f t="shared" si="379"/>
        <v>0</v>
      </c>
      <c r="S952" s="10">
        <f t="shared" si="380"/>
        <v>22142</v>
      </c>
    </row>
    <row r="953" spans="2:19" x14ac:dyDescent="0.25">
      <c r="B953" s="73">
        <f t="shared" si="370"/>
        <v>377</v>
      </c>
      <c r="C953" s="9"/>
      <c r="D953" s="9"/>
      <c r="E953" s="9"/>
      <c r="F953" s="43" t="s">
        <v>305</v>
      </c>
      <c r="G953" s="98">
        <v>633</v>
      </c>
      <c r="H953" s="9" t="s">
        <v>220</v>
      </c>
      <c r="I953" s="10">
        <v>2251</v>
      </c>
      <c r="J953" s="10"/>
      <c r="K953" s="10">
        <f t="shared" si="372"/>
        <v>2251</v>
      </c>
      <c r="L953" s="131"/>
      <c r="M953" s="10"/>
      <c r="N953" s="10"/>
      <c r="O953" s="10">
        <f t="shared" si="371"/>
        <v>0</v>
      </c>
      <c r="Q953" s="10">
        <f t="shared" si="369"/>
        <v>2251</v>
      </c>
      <c r="R953" s="10">
        <f t="shared" si="379"/>
        <v>0</v>
      </c>
      <c r="S953" s="10">
        <f t="shared" si="380"/>
        <v>2251</v>
      </c>
    </row>
    <row r="954" spans="2:19" x14ac:dyDescent="0.25">
      <c r="B954" s="73">
        <f t="shared" si="370"/>
        <v>378</v>
      </c>
      <c r="C954" s="9"/>
      <c r="D954" s="9"/>
      <c r="E954" s="9"/>
      <c r="F954" s="43" t="s">
        <v>305</v>
      </c>
      <c r="G954" s="98">
        <v>635</v>
      </c>
      <c r="H954" s="9" t="s">
        <v>234</v>
      </c>
      <c r="I954" s="10">
        <v>600</v>
      </c>
      <c r="J954" s="10"/>
      <c r="K954" s="10">
        <f t="shared" si="372"/>
        <v>600</v>
      </c>
      <c r="L954" s="131"/>
      <c r="M954" s="10"/>
      <c r="N954" s="10"/>
      <c r="O954" s="10">
        <f t="shared" si="371"/>
        <v>0</v>
      </c>
      <c r="Q954" s="10">
        <f t="shared" si="369"/>
        <v>600</v>
      </c>
      <c r="R954" s="10">
        <f t="shared" si="379"/>
        <v>0</v>
      </c>
      <c r="S954" s="10">
        <f t="shared" si="380"/>
        <v>600</v>
      </c>
    </row>
    <row r="955" spans="2:19" x14ac:dyDescent="0.25">
      <c r="B955" s="73">
        <f t="shared" si="370"/>
        <v>379</v>
      </c>
      <c r="C955" s="9"/>
      <c r="D955" s="9"/>
      <c r="E955" s="9"/>
      <c r="F955" s="43" t="s">
        <v>305</v>
      </c>
      <c r="G955" s="98">
        <v>637</v>
      </c>
      <c r="H955" s="9" t="s">
        <v>223</v>
      </c>
      <c r="I955" s="10">
        <v>4930</v>
      </c>
      <c r="J955" s="10"/>
      <c r="K955" s="10">
        <f t="shared" si="372"/>
        <v>4930</v>
      </c>
      <c r="L955" s="131"/>
      <c r="M955" s="10"/>
      <c r="N955" s="10"/>
      <c r="O955" s="10">
        <f t="shared" si="371"/>
        <v>0</v>
      </c>
      <c r="Q955" s="10">
        <f t="shared" si="369"/>
        <v>4930</v>
      </c>
      <c r="R955" s="10">
        <f t="shared" si="379"/>
        <v>0</v>
      </c>
      <c r="S955" s="10">
        <f t="shared" si="380"/>
        <v>4930</v>
      </c>
    </row>
    <row r="956" spans="2:19" x14ac:dyDescent="0.25">
      <c r="B956" s="73">
        <f t="shared" si="370"/>
        <v>380</v>
      </c>
      <c r="C956" s="21"/>
      <c r="D956" s="21"/>
      <c r="E956" s="21"/>
      <c r="F956" s="42" t="s">
        <v>305</v>
      </c>
      <c r="G956" s="97">
        <v>640</v>
      </c>
      <c r="H956" s="21" t="s">
        <v>230</v>
      </c>
      <c r="I956" s="15">
        <v>160</v>
      </c>
      <c r="J956" s="15"/>
      <c r="K956" s="15">
        <f t="shared" si="372"/>
        <v>160</v>
      </c>
      <c r="L956" s="130"/>
      <c r="M956" s="15"/>
      <c r="N956" s="15"/>
      <c r="O956" s="15">
        <f t="shared" si="371"/>
        <v>0</v>
      </c>
      <c r="Q956" s="15">
        <f t="shared" si="369"/>
        <v>160</v>
      </c>
      <c r="R956" s="15">
        <f t="shared" si="379"/>
        <v>0</v>
      </c>
      <c r="S956" s="15">
        <f t="shared" si="380"/>
        <v>160</v>
      </c>
    </row>
    <row r="957" spans="2:19" x14ac:dyDescent="0.25">
      <c r="B957" s="73">
        <f t="shared" si="370"/>
        <v>381</v>
      </c>
      <c r="C957" s="21"/>
      <c r="D957" s="21"/>
      <c r="E957" s="21"/>
      <c r="F957" s="42" t="s">
        <v>306</v>
      </c>
      <c r="G957" s="97">
        <v>610</v>
      </c>
      <c r="H957" s="21" t="s">
        <v>245</v>
      </c>
      <c r="I957" s="15">
        <v>147407</v>
      </c>
      <c r="J957" s="15"/>
      <c r="K957" s="15">
        <f t="shared" si="372"/>
        <v>147407</v>
      </c>
      <c r="L957" s="130"/>
      <c r="M957" s="15"/>
      <c r="N957" s="15"/>
      <c r="O957" s="15">
        <f t="shared" si="371"/>
        <v>0</v>
      </c>
      <c r="Q957" s="15">
        <f t="shared" si="369"/>
        <v>147407</v>
      </c>
      <c r="R957" s="15">
        <f t="shared" si="379"/>
        <v>0</v>
      </c>
      <c r="S957" s="15">
        <f t="shared" si="380"/>
        <v>147407</v>
      </c>
    </row>
    <row r="958" spans="2:19" x14ac:dyDescent="0.25">
      <c r="B958" s="73">
        <f t="shared" si="370"/>
        <v>382</v>
      </c>
      <c r="C958" s="21"/>
      <c r="D958" s="21"/>
      <c r="E958" s="21"/>
      <c r="F958" s="42" t="s">
        <v>306</v>
      </c>
      <c r="G958" s="97">
        <v>620</v>
      </c>
      <c r="H958" s="21" t="s">
        <v>228</v>
      </c>
      <c r="I958" s="15">
        <v>51526</v>
      </c>
      <c r="J958" s="15"/>
      <c r="K958" s="15">
        <f t="shared" si="372"/>
        <v>51526</v>
      </c>
      <c r="L958" s="130"/>
      <c r="M958" s="15"/>
      <c r="N958" s="15"/>
      <c r="O958" s="15">
        <f t="shared" si="371"/>
        <v>0</v>
      </c>
      <c r="Q958" s="15">
        <f t="shared" si="369"/>
        <v>51526</v>
      </c>
      <c r="R958" s="15">
        <f t="shared" si="379"/>
        <v>0</v>
      </c>
      <c r="S958" s="15">
        <f t="shared" si="380"/>
        <v>51526</v>
      </c>
    </row>
    <row r="959" spans="2:19" x14ac:dyDescent="0.25">
      <c r="B959" s="73">
        <f t="shared" si="370"/>
        <v>383</v>
      </c>
      <c r="C959" s="21"/>
      <c r="D959" s="21"/>
      <c r="E959" s="21"/>
      <c r="F959" s="42" t="s">
        <v>306</v>
      </c>
      <c r="G959" s="97">
        <v>630</v>
      </c>
      <c r="H959" s="21" t="s">
        <v>218</v>
      </c>
      <c r="I959" s="15">
        <f>SUM(I960:I964)</f>
        <v>68937</v>
      </c>
      <c r="J959" s="15">
        <f t="shared" ref="J959" si="395">SUM(J960:J964)</f>
        <v>0</v>
      </c>
      <c r="K959" s="15">
        <f t="shared" si="372"/>
        <v>68937</v>
      </c>
      <c r="L959" s="130"/>
      <c r="M959" s="15"/>
      <c r="N959" s="15"/>
      <c r="O959" s="15">
        <f t="shared" si="371"/>
        <v>0</v>
      </c>
      <c r="Q959" s="15">
        <f t="shared" si="369"/>
        <v>68937</v>
      </c>
      <c r="R959" s="15">
        <f t="shared" si="379"/>
        <v>0</v>
      </c>
      <c r="S959" s="15">
        <f t="shared" si="380"/>
        <v>68937</v>
      </c>
    </row>
    <row r="960" spans="2:19" x14ac:dyDescent="0.25">
      <c r="B960" s="73">
        <f t="shared" si="370"/>
        <v>384</v>
      </c>
      <c r="C960" s="9"/>
      <c r="D960" s="9"/>
      <c r="E960" s="9"/>
      <c r="F960" s="43" t="s">
        <v>306</v>
      </c>
      <c r="G960" s="98">
        <v>631</v>
      </c>
      <c r="H960" s="9" t="s">
        <v>219</v>
      </c>
      <c r="I960" s="10">
        <v>15</v>
      </c>
      <c r="J960" s="10"/>
      <c r="K960" s="10">
        <f t="shared" si="372"/>
        <v>15</v>
      </c>
      <c r="L960" s="131"/>
      <c r="M960" s="10"/>
      <c r="N960" s="10"/>
      <c r="O960" s="10">
        <f t="shared" si="371"/>
        <v>0</v>
      </c>
      <c r="Q960" s="10">
        <f t="shared" si="369"/>
        <v>15</v>
      </c>
      <c r="R960" s="10">
        <f t="shared" si="379"/>
        <v>0</v>
      </c>
      <c r="S960" s="10">
        <f t="shared" si="380"/>
        <v>15</v>
      </c>
    </row>
    <row r="961" spans="2:19" x14ac:dyDescent="0.25">
      <c r="B961" s="73">
        <f t="shared" si="370"/>
        <v>385</v>
      </c>
      <c r="C961" s="9"/>
      <c r="D961" s="9"/>
      <c r="E961" s="9"/>
      <c r="F961" s="43" t="s">
        <v>306</v>
      </c>
      <c r="G961" s="98">
        <v>632</v>
      </c>
      <c r="H961" s="9" t="s">
        <v>229</v>
      </c>
      <c r="I961" s="10">
        <f>28630-5253</f>
        <v>23377</v>
      </c>
      <c r="J961" s="10"/>
      <c r="K961" s="10">
        <f t="shared" si="372"/>
        <v>23377</v>
      </c>
      <c r="L961" s="131"/>
      <c r="M961" s="10"/>
      <c r="N961" s="10"/>
      <c r="O961" s="10">
        <f t="shared" si="371"/>
        <v>0</v>
      </c>
      <c r="Q961" s="10">
        <f t="shared" si="369"/>
        <v>23377</v>
      </c>
      <c r="R961" s="10">
        <f t="shared" si="379"/>
        <v>0</v>
      </c>
      <c r="S961" s="10">
        <f t="shared" si="380"/>
        <v>23377</v>
      </c>
    </row>
    <row r="962" spans="2:19" x14ac:dyDescent="0.25">
      <c r="B962" s="73">
        <f t="shared" si="370"/>
        <v>386</v>
      </c>
      <c r="C962" s="9"/>
      <c r="D962" s="9"/>
      <c r="E962" s="9"/>
      <c r="F962" s="43" t="s">
        <v>306</v>
      </c>
      <c r="G962" s="98">
        <v>633</v>
      </c>
      <c r="H962" s="9" t="s">
        <v>220</v>
      </c>
      <c r="I962" s="10">
        <v>6325</v>
      </c>
      <c r="J962" s="10"/>
      <c r="K962" s="10">
        <f t="shared" si="372"/>
        <v>6325</v>
      </c>
      <c r="L962" s="131"/>
      <c r="M962" s="10"/>
      <c r="N962" s="10"/>
      <c r="O962" s="10">
        <f t="shared" si="371"/>
        <v>0</v>
      </c>
      <c r="Q962" s="10">
        <f t="shared" si="369"/>
        <v>6325</v>
      </c>
      <c r="R962" s="10">
        <f t="shared" si="379"/>
        <v>0</v>
      </c>
      <c r="S962" s="10">
        <f t="shared" si="380"/>
        <v>6325</v>
      </c>
    </row>
    <row r="963" spans="2:19" x14ac:dyDescent="0.25">
      <c r="B963" s="73">
        <f t="shared" si="370"/>
        <v>387</v>
      </c>
      <c r="C963" s="9"/>
      <c r="D963" s="9"/>
      <c r="E963" s="9"/>
      <c r="F963" s="43" t="s">
        <v>306</v>
      </c>
      <c r="G963" s="98">
        <v>635</v>
      </c>
      <c r="H963" s="9" t="s">
        <v>234</v>
      </c>
      <c r="I963" s="10">
        <v>23800</v>
      </c>
      <c r="J963" s="10"/>
      <c r="K963" s="10">
        <f t="shared" si="372"/>
        <v>23800</v>
      </c>
      <c r="L963" s="131"/>
      <c r="M963" s="10"/>
      <c r="N963" s="10"/>
      <c r="O963" s="10">
        <f t="shared" si="371"/>
        <v>0</v>
      </c>
      <c r="Q963" s="10">
        <f t="shared" si="369"/>
        <v>23800</v>
      </c>
      <c r="R963" s="10">
        <f t="shared" si="379"/>
        <v>0</v>
      </c>
      <c r="S963" s="10">
        <f t="shared" si="380"/>
        <v>23800</v>
      </c>
    </row>
    <row r="964" spans="2:19" x14ac:dyDescent="0.25">
      <c r="B964" s="73">
        <f t="shared" si="370"/>
        <v>388</v>
      </c>
      <c r="C964" s="9"/>
      <c r="D964" s="9"/>
      <c r="E964" s="9"/>
      <c r="F964" s="43" t="s">
        <v>306</v>
      </c>
      <c r="G964" s="98">
        <v>637</v>
      </c>
      <c r="H964" s="9" t="s">
        <v>223</v>
      </c>
      <c r="I964" s="10">
        <f>14370+500+550</f>
        <v>15420</v>
      </c>
      <c r="J964" s="10"/>
      <c r="K964" s="10">
        <f t="shared" si="372"/>
        <v>15420</v>
      </c>
      <c r="L964" s="131"/>
      <c r="M964" s="10"/>
      <c r="N964" s="10"/>
      <c r="O964" s="10">
        <f t="shared" si="371"/>
        <v>0</v>
      </c>
      <c r="Q964" s="10">
        <f t="shared" si="369"/>
        <v>15420</v>
      </c>
      <c r="R964" s="10">
        <f t="shared" si="379"/>
        <v>0</v>
      </c>
      <c r="S964" s="10">
        <f t="shared" si="380"/>
        <v>15420</v>
      </c>
    </row>
    <row r="965" spans="2:19" x14ac:dyDescent="0.25">
      <c r="B965" s="73">
        <f t="shared" si="370"/>
        <v>389</v>
      </c>
      <c r="C965" s="21"/>
      <c r="D965" s="21"/>
      <c r="E965" s="21"/>
      <c r="F965" s="42" t="s">
        <v>306</v>
      </c>
      <c r="G965" s="97">
        <v>640</v>
      </c>
      <c r="H965" s="21" t="s">
        <v>230</v>
      </c>
      <c r="I965" s="15">
        <v>240</v>
      </c>
      <c r="J965" s="15"/>
      <c r="K965" s="15">
        <f t="shared" si="372"/>
        <v>240</v>
      </c>
      <c r="L965" s="130"/>
      <c r="M965" s="15"/>
      <c r="N965" s="15"/>
      <c r="O965" s="15">
        <f t="shared" si="371"/>
        <v>0</v>
      </c>
      <c r="Q965" s="15">
        <f t="shared" si="369"/>
        <v>240</v>
      </c>
      <c r="R965" s="15">
        <f t="shared" si="379"/>
        <v>0</v>
      </c>
      <c r="S965" s="15">
        <f t="shared" si="380"/>
        <v>240</v>
      </c>
    </row>
    <row r="966" spans="2:19" x14ac:dyDescent="0.25">
      <c r="B966" s="73">
        <f t="shared" ref="B966:B971" si="396">B965+1</f>
        <v>390</v>
      </c>
      <c r="C966" s="21"/>
      <c r="D966" s="21"/>
      <c r="E966" s="21"/>
      <c r="F966" s="42"/>
      <c r="G966" s="97">
        <v>630</v>
      </c>
      <c r="H966" s="21" t="s">
        <v>660</v>
      </c>
      <c r="I966" s="15">
        <v>0</v>
      </c>
      <c r="J966" s="15">
        <v>1923</v>
      </c>
      <c r="K966" s="15">
        <f t="shared" si="372"/>
        <v>1923</v>
      </c>
      <c r="L966" s="130"/>
      <c r="M966" s="15"/>
      <c r="N966" s="15"/>
      <c r="O966" s="15">
        <f t="shared" ref="O966" si="397">M966+N966</f>
        <v>0</v>
      </c>
      <c r="Q966" s="15">
        <f t="shared" ref="Q966" si="398">I966+M966</f>
        <v>0</v>
      </c>
      <c r="R966" s="15">
        <f t="shared" ref="R966" si="399">J966+N966</f>
        <v>1923</v>
      </c>
      <c r="S966" s="15">
        <f t="shared" ref="S966" si="400">K966+O966</f>
        <v>1923</v>
      </c>
    </row>
    <row r="967" spans="2:19" x14ac:dyDescent="0.25">
      <c r="B967" s="73">
        <f t="shared" si="396"/>
        <v>391</v>
      </c>
      <c r="C967" s="21"/>
      <c r="D967" s="21"/>
      <c r="E967" s="21"/>
      <c r="F967" s="42" t="s">
        <v>306</v>
      </c>
      <c r="G967" s="97">
        <v>710</v>
      </c>
      <c r="H967" s="21" t="s">
        <v>235</v>
      </c>
      <c r="I967" s="15"/>
      <c r="J967" s="15"/>
      <c r="K967" s="15">
        <f t="shared" si="372"/>
        <v>0</v>
      </c>
      <c r="L967" s="130"/>
      <c r="M967" s="15">
        <f>M968</f>
        <v>226902</v>
      </c>
      <c r="N967" s="15">
        <f t="shared" ref="N967" si="401">N968</f>
        <v>0</v>
      </c>
      <c r="O967" s="15">
        <f t="shared" si="371"/>
        <v>226902</v>
      </c>
      <c r="Q967" s="15">
        <f t="shared" ref="Q967:Q1030" si="402">I967+M967</f>
        <v>226902</v>
      </c>
      <c r="R967" s="15">
        <f t="shared" si="379"/>
        <v>0</v>
      </c>
      <c r="S967" s="15">
        <f t="shared" si="380"/>
        <v>226902</v>
      </c>
    </row>
    <row r="968" spans="2:19" x14ac:dyDescent="0.25">
      <c r="B968" s="73">
        <f t="shared" si="396"/>
        <v>392</v>
      </c>
      <c r="C968" s="9"/>
      <c r="D968" s="9"/>
      <c r="E968" s="9"/>
      <c r="F968" s="43" t="s">
        <v>306</v>
      </c>
      <c r="G968" s="98">
        <v>717</v>
      </c>
      <c r="H968" s="9" t="s">
        <v>240</v>
      </c>
      <c r="I968" s="10"/>
      <c r="J968" s="10"/>
      <c r="K968" s="10">
        <f t="shared" si="372"/>
        <v>0</v>
      </c>
      <c r="L968" s="131"/>
      <c r="M968" s="10">
        <f>SUM(M969:M970)</f>
        <v>226902</v>
      </c>
      <c r="N968" s="10">
        <f t="shared" ref="N968" si="403">SUM(N969:N970)</f>
        <v>0</v>
      </c>
      <c r="O968" s="10">
        <f t="shared" ref="O968:O1031" si="404">M968+N968</f>
        <v>226902</v>
      </c>
      <c r="Q968" s="10">
        <f t="shared" si="402"/>
        <v>226902</v>
      </c>
      <c r="R968" s="10">
        <f t="shared" si="379"/>
        <v>0</v>
      </c>
      <c r="S968" s="10">
        <f t="shared" si="380"/>
        <v>226902</v>
      </c>
    </row>
    <row r="969" spans="2:19" x14ac:dyDescent="0.25">
      <c r="B969" s="73">
        <f t="shared" si="396"/>
        <v>393</v>
      </c>
      <c r="C969" s="12"/>
      <c r="D969" s="12"/>
      <c r="E969" s="12"/>
      <c r="F969" s="12"/>
      <c r="G969" s="99"/>
      <c r="H969" s="12" t="s">
        <v>527</v>
      </c>
      <c r="I969" s="13"/>
      <c r="J969" s="13"/>
      <c r="K969" s="13">
        <f t="shared" si="372"/>
        <v>0</v>
      </c>
      <c r="L969" s="132"/>
      <c r="M969" s="13">
        <v>59402</v>
      </c>
      <c r="N969" s="13"/>
      <c r="O969" s="13">
        <f t="shared" si="404"/>
        <v>59402</v>
      </c>
      <c r="Q969" s="13">
        <f t="shared" si="402"/>
        <v>59402</v>
      </c>
      <c r="R969" s="13">
        <f t="shared" si="379"/>
        <v>0</v>
      </c>
      <c r="S969" s="13">
        <f t="shared" si="380"/>
        <v>59402</v>
      </c>
    </row>
    <row r="970" spans="2:19" x14ac:dyDescent="0.25">
      <c r="B970" s="73">
        <f t="shared" si="396"/>
        <v>394</v>
      </c>
      <c r="C970" s="12"/>
      <c r="D970" s="12"/>
      <c r="E970" s="12"/>
      <c r="F970" s="12"/>
      <c r="G970" s="99"/>
      <c r="H970" s="67" t="s">
        <v>528</v>
      </c>
      <c r="I970" s="13"/>
      <c r="J970" s="13"/>
      <c r="K970" s="13">
        <f t="shared" ref="K970:K1033" si="405">I970+J970</f>
        <v>0</v>
      </c>
      <c r="L970" s="132"/>
      <c r="M970" s="13">
        <f>57500+110000</f>
        <v>167500</v>
      </c>
      <c r="N970" s="13"/>
      <c r="O970" s="13">
        <f t="shared" si="404"/>
        <v>167500</v>
      </c>
      <c r="Q970" s="13">
        <f t="shared" si="402"/>
        <v>167500</v>
      </c>
      <c r="R970" s="13">
        <f t="shared" si="379"/>
        <v>0</v>
      </c>
      <c r="S970" s="13">
        <f t="shared" si="380"/>
        <v>167500</v>
      </c>
    </row>
    <row r="971" spans="2:19" ht="15.75" x14ac:dyDescent="0.25">
      <c r="B971" s="73">
        <f t="shared" si="396"/>
        <v>395</v>
      </c>
      <c r="C971" s="34">
        <v>3</v>
      </c>
      <c r="D971" s="227" t="s">
        <v>310</v>
      </c>
      <c r="E971" s="228"/>
      <c r="F971" s="228"/>
      <c r="G971" s="228"/>
      <c r="H971" s="229"/>
      <c r="I971" s="35">
        <f>I972+I981+I991+I999+I1007+I1015+I1023+I1031+I1039+I1047+I1055+I1063</f>
        <v>2236761</v>
      </c>
      <c r="J971" s="35">
        <f t="shared" ref="J971" si="406">J972+J981+J991+J999+J1007+J1015+J1023+J1031+J1039+J1047+J1055+J1063</f>
        <v>0</v>
      </c>
      <c r="K971" s="35">
        <f t="shared" si="405"/>
        <v>2236761</v>
      </c>
      <c r="L971" s="135"/>
      <c r="M971" s="35">
        <v>0</v>
      </c>
      <c r="N971" s="35">
        <v>0</v>
      </c>
      <c r="O971" s="35">
        <f t="shared" si="404"/>
        <v>0</v>
      </c>
      <c r="Q971" s="35">
        <f t="shared" si="402"/>
        <v>2236761</v>
      </c>
      <c r="R971" s="35">
        <f t="shared" si="379"/>
        <v>0</v>
      </c>
      <c r="S971" s="35">
        <f t="shared" si="380"/>
        <v>2236761</v>
      </c>
    </row>
    <row r="972" spans="2:19" x14ac:dyDescent="0.25">
      <c r="B972" s="73">
        <f t="shared" ref="B972:B1031" si="407">B971+1</f>
        <v>396</v>
      </c>
      <c r="C972" s="21"/>
      <c r="D972" s="21"/>
      <c r="E972" s="21"/>
      <c r="F972" s="42" t="s">
        <v>266</v>
      </c>
      <c r="G972" s="97">
        <v>640</v>
      </c>
      <c r="H972" s="21" t="s">
        <v>230</v>
      </c>
      <c r="I972" s="15">
        <f>I973</f>
        <v>455505</v>
      </c>
      <c r="J972" s="15">
        <f t="shared" ref="J972" si="408">J973</f>
        <v>0</v>
      </c>
      <c r="K972" s="15">
        <f t="shared" si="405"/>
        <v>455505</v>
      </c>
      <c r="L972" s="130"/>
      <c r="M972" s="15"/>
      <c r="N972" s="15"/>
      <c r="O972" s="15">
        <f t="shared" si="404"/>
        <v>0</v>
      </c>
      <c r="Q972" s="15">
        <f t="shared" si="402"/>
        <v>455505</v>
      </c>
      <c r="R972" s="15">
        <f t="shared" si="379"/>
        <v>0</v>
      </c>
      <c r="S972" s="15">
        <f t="shared" si="380"/>
        <v>455505</v>
      </c>
    </row>
    <row r="973" spans="2:19" x14ac:dyDescent="0.25">
      <c r="B973" s="73">
        <f t="shared" si="407"/>
        <v>397</v>
      </c>
      <c r="C973" s="9"/>
      <c r="D973" s="9"/>
      <c r="E973" s="9"/>
      <c r="F973" s="43" t="s">
        <v>266</v>
      </c>
      <c r="G973" s="98">
        <v>642</v>
      </c>
      <c r="H973" s="9" t="s">
        <v>231</v>
      </c>
      <c r="I973" s="10">
        <f>SUM(I974:I980)</f>
        <v>455505</v>
      </c>
      <c r="J973" s="10">
        <f t="shared" ref="J973" si="409">SUM(J974:J980)</f>
        <v>0</v>
      </c>
      <c r="K973" s="10">
        <f t="shared" si="405"/>
        <v>455505</v>
      </c>
      <c r="L973" s="131"/>
      <c r="M973" s="10"/>
      <c r="N973" s="10"/>
      <c r="O973" s="10">
        <f t="shared" si="404"/>
        <v>0</v>
      </c>
      <c r="Q973" s="10">
        <f t="shared" si="402"/>
        <v>455505</v>
      </c>
      <c r="R973" s="10">
        <f t="shared" si="379"/>
        <v>0</v>
      </c>
      <c r="S973" s="10">
        <f t="shared" si="380"/>
        <v>455505</v>
      </c>
    </row>
    <row r="974" spans="2:19" x14ac:dyDescent="0.25">
      <c r="B974" s="73">
        <f t="shared" si="407"/>
        <v>398</v>
      </c>
      <c r="C974" s="12"/>
      <c r="D974" s="12"/>
      <c r="E974" s="12"/>
      <c r="F974" s="12"/>
      <c r="G974" s="99"/>
      <c r="H974" s="12" t="s">
        <v>457</v>
      </c>
      <c r="I974" s="13">
        <v>13635</v>
      </c>
      <c r="J974" s="13"/>
      <c r="K974" s="13">
        <f t="shared" si="405"/>
        <v>13635</v>
      </c>
      <c r="L974" s="132"/>
      <c r="M974" s="13"/>
      <c r="N974" s="13"/>
      <c r="O974" s="13">
        <f t="shared" si="404"/>
        <v>0</v>
      </c>
      <c r="Q974" s="13">
        <f t="shared" si="402"/>
        <v>13635</v>
      </c>
      <c r="R974" s="13">
        <f t="shared" si="379"/>
        <v>0</v>
      </c>
      <c r="S974" s="13">
        <f t="shared" si="380"/>
        <v>13635</v>
      </c>
    </row>
    <row r="975" spans="2:19" x14ac:dyDescent="0.25">
      <c r="B975" s="73">
        <f t="shared" si="407"/>
        <v>399</v>
      </c>
      <c r="C975" s="12"/>
      <c r="D975" s="12"/>
      <c r="E975" s="12"/>
      <c r="F975" s="12"/>
      <c r="G975" s="99"/>
      <c r="H975" s="12" t="s">
        <v>458</v>
      </c>
      <c r="I975" s="13">
        <v>21452</v>
      </c>
      <c r="J975" s="13"/>
      <c r="K975" s="13">
        <f t="shared" si="405"/>
        <v>21452</v>
      </c>
      <c r="L975" s="132"/>
      <c r="M975" s="13"/>
      <c r="N975" s="13"/>
      <c r="O975" s="13">
        <f t="shared" si="404"/>
        <v>0</v>
      </c>
      <c r="Q975" s="13">
        <f t="shared" si="402"/>
        <v>21452</v>
      </c>
      <c r="R975" s="13">
        <f t="shared" si="379"/>
        <v>0</v>
      </c>
      <c r="S975" s="13">
        <f t="shared" si="380"/>
        <v>21452</v>
      </c>
    </row>
    <row r="976" spans="2:19" x14ac:dyDescent="0.25">
      <c r="B976" s="73">
        <f t="shared" si="407"/>
        <v>400</v>
      </c>
      <c r="C976" s="12"/>
      <c r="D976" s="12"/>
      <c r="E976" s="12"/>
      <c r="F976" s="12"/>
      <c r="G976" s="99"/>
      <c r="H976" s="12" t="s">
        <v>459</v>
      </c>
      <c r="I976" s="13">
        <v>10536</v>
      </c>
      <c r="J976" s="13"/>
      <c r="K976" s="13">
        <f t="shared" si="405"/>
        <v>10536</v>
      </c>
      <c r="L976" s="132"/>
      <c r="M976" s="13"/>
      <c r="N976" s="13"/>
      <c r="O976" s="13">
        <f t="shared" si="404"/>
        <v>0</v>
      </c>
      <c r="Q976" s="13">
        <f t="shared" si="402"/>
        <v>10536</v>
      </c>
      <c r="R976" s="13">
        <f t="shared" si="379"/>
        <v>0</v>
      </c>
      <c r="S976" s="13">
        <f t="shared" si="380"/>
        <v>10536</v>
      </c>
    </row>
    <row r="977" spans="2:19" x14ac:dyDescent="0.25">
      <c r="B977" s="73">
        <f t="shared" si="407"/>
        <v>401</v>
      </c>
      <c r="C977" s="12"/>
      <c r="D977" s="12"/>
      <c r="E977" s="12"/>
      <c r="F977" s="12"/>
      <c r="G977" s="99"/>
      <c r="H977" s="12" t="s">
        <v>460</v>
      </c>
      <c r="I977" s="13">
        <v>13090</v>
      </c>
      <c r="J977" s="13"/>
      <c r="K977" s="13">
        <f t="shared" si="405"/>
        <v>13090</v>
      </c>
      <c r="L977" s="132"/>
      <c r="M977" s="13"/>
      <c r="N977" s="13"/>
      <c r="O977" s="13">
        <f t="shared" si="404"/>
        <v>0</v>
      </c>
      <c r="Q977" s="13">
        <f t="shared" si="402"/>
        <v>13090</v>
      </c>
      <c r="R977" s="13">
        <f t="shared" si="379"/>
        <v>0</v>
      </c>
      <c r="S977" s="13">
        <f t="shared" si="380"/>
        <v>13090</v>
      </c>
    </row>
    <row r="978" spans="2:19" x14ac:dyDescent="0.25">
      <c r="B978" s="73">
        <f t="shared" si="407"/>
        <v>402</v>
      </c>
      <c r="C978" s="12"/>
      <c r="D978" s="12"/>
      <c r="E978" s="12"/>
      <c r="F978" s="12"/>
      <c r="G978" s="99"/>
      <c r="H978" s="12" t="s">
        <v>461</v>
      </c>
      <c r="I978" s="13">
        <v>146717</v>
      </c>
      <c r="J978" s="13"/>
      <c r="K978" s="13">
        <f t="shared" si="405"/>
        <v>146717</v>
      </c>
      <c r="L978" s="132"/>
      <c r="M978" s="13"/>
      <c r="N978" s="13"/>
      <c r="O978" s="13">
        <f t="shared" si="404"/>
        <v>0</v>
      </c>
      <c r="Q978" s="13">
        <f t="shared" si="402"/>
        <v>146717</v>
      </c>
      <c r="R978" s="13">
        <f t="shared" si="379"/>
        <v>0</v>
      </c>
      <c r="S978" s="13">
        <f t="shared" si="380"/>
        <v>146717</v>
      </c>
    </row>
    <row r="979" spans="2:19" x14ac:dyDescent="0.25">
      <c r="B979" s="73">
        <f t="shared" si="407"/>
        <v>403</v>
      </c>
      <c r="C979" s="12"/>
      <c r="D979" s="12"/>
      <c r="E979" s="12"/>
      <c r="F979" s="12"/>
      <c r="G979" s="99"/>
      <c r="H979" s="12" t="s">
        <v>462</v>
      </c>
      <c r="I979" s="13">
        <v>246802</v>
      </c>
      <c r="J979" s="13"/>
      <c r="K979" s="13">
        <f t="shared" si="405"/>
        <v>246802</v>
      </c>
      <c r="L979" s="132"/>
      <c r="M979" s="13"/>
      <c r="N979" s="13"/>
      <c r="O979" s="13">
        <f t="shared" si="404"/>
        <v>0</v>
      </c>
      <c r="Q979" s="13">
        <f t="shared" si="402"/>
        <v>246802</v>
      </c>
      <c r="R979" s="13">
        <f t="shared" si="379"/>
        <v>0</v>
      </c>
      <c r="S979" s="13">
        <f t="shared" si="380"/>
        <v>246802</v>
      </c>
    </row>
    <row r="980" spans="2:19" x14ac:dyDescent="0.25">
      <c r="B980" s="73">
        <f t="shared" si="407"/>
        <v>404</v>
      </c>
      <c r="C980" s="12"/>
      <c r="D980" s="12"/>
      <c r="E980" s="12"/>
      <c r="F980" s="12"/>
      <c r="G980" s="99"/>
      <c r="H980" s="12" t="s">
        <v>463</v>
      </c>
      <c r="I980" s="13">
        <v>3273</v>
      </c>
      <c r="J980" s="13"/>
      <c r="K980" s="13">
        <f t="shared" si="405"/>
        <v>3273</v>
      </c>
      <c r="L980" s="132"/>
      <c r="M980" s="13"/>
      <c r="N980" s="13"/>
      <c r="O980" s="13">
        <f t="shared" si="404"/>
        <v>0</v>
      </c>
      <c r="Q980" s="13">
        <f t="shared" si="402"/>
        <v>3273</v>
      </c>
      <c r="R980" s="13">
        <f t="shared" si="379"/>
        <v>0</v>
      </c>
      <c r="S980" s="13">
        <f t="shared" si="380"/>
        <v>3273</v>
      </c>
    </row>
    <row r="981" spans="2:19" x14ac:dyDescent="0.25">
      <c r="B981" s="73">
        <f t="shared" si="407"/>
        <v>405</v>
      </c>
      <c r="C981" s="38"/>
      <c r="D981" s="38"/>
      <c r="E981" s="38">
        <v>1</v>
      </c>
      <c r="F981" s="38"/>
      <c r="G981" s="95"/>
      <c r="H981" s="38" t="s">
        <v>46</v>
      </c>
      <c r="I981" s="39">
        <f>I982+I983+I984+I990</f>
        <v>150648</v>
      </c>
      <c r="J981" s="39">
        <f t="shared" ref="J981" si="410">J982+J983+J984+J990</f>
        <v>0</v>
      </c>
      <c r="K981" s="39">
        <f t="shared" si="405"/>
        <v>150648</v>
      </c>
      <c r="L981" s="138"/>
      <c r="M981" s="39">
        <v>0</v>
      </c>
      <c r="N981" s="39">
        <v>0</v>
      </c>
      <c r="O981" s="39">
        <f t="shared" si="404"/>
        <v>0</v>
      </c>
      <c r="Q981" s="39">
        <f t="shared" si="402"/>
        <v>150648</v>
      </c>
      <c r="R981" s="39">
        <f t="shared" si="379"/>
        <v>0</v>
      </c>
      <c r="S981" s="39">
        <f t="shared" si="380"/>
        <v>150648</v>
      </c>
    </row>
    <row r="982" spans="2:19" x14ac:dyDescent="0.25">
      <c r="B982" s="73">
        <f t="shared" si="407"/>
        <v>406</v>
      </c>
      <c r="C982" s="21"/>
      <c r="D982" s="21"/>
      <c r="E982" s="21"/>
      <c r="F982" s="42" t="s">
        <v>266</v>
      </c>
      <c r="G982" s="97">
        <v>610</v>
      </c>
      <c r="H982" s="21" t="s">
        <v>245</v>
      </c>
      <c r="I982" s="15">
        <v>84000</v>
      </c>
      <c r="J982" s="15"/>
      <c r="K982" s="15">
        <f t="shared" si="405"/>
        <v>84000</v>
      </c>
      <c r="L982" s="130"/>
      <c r="M982" s="15"/>
      <c r="N982" s="15"/>
      <c r="O982" s="15">
        <f t="shared" si="404"/>
        <v>0</v>
      </c>
      <c r="Q982" s="15">
        <f t="shared" si="402"/>
        <v>84000</v>
      </c>
      <c r="R982" s="15">
        <f t="shared" si="379"/>
        <v>0</v>
      </c>
      <c r="S982" s="15">
        <f t="shared" si="380"/>
        <v>84000</v>
      </c>
    </row>
    <row r="983" spans="2:19" x14ac:dyDescent="0.25">
      <c r="B983" s="73">
        <f t="shared" si="407"/>
        <v>407</v>
      </c>
      <c r="C983" s="21"/>
      <c r="D983" s="21"/>
      <c r="E983" s="21"/>
      <c r="F983" s="42" t="s">
        <v>266</v>
      </c>
      <c r="G983" s="97">
        <v>620</v>
      </c>
      <c r="H983" s="21" t="s">
        <v>228</v>
      </c>
      <c r="I983" s="15">
        <v>31500</v>
      </c>
      <c r="J983" s="15"/>
      <c r="K983" s="15">
        <f t="shared" si="405"/>
        <v>31500</v>
      </c>
      <c r="L983" s="130"/>
      <c r="M983" s="15"/>
      <c r="N983" s="15"/>
      <c r="O983" s="15">
        <f t="shared" si="404"/>
        <v>0</v>
      </c>
      <c r="Q983" s="15">
        <f t="shared" si="402"/>
        <v>31500</v>
      </c>
      <c r="R983" s="15">
        <f t="shared" ref="R983:R1046" si="411">J983+N983</f>
        <v>0</v>
      </c>
      <c r="S983" s="15">
        <f t="shared" ref="S983:S1046" si="412">K983+O983</f>
        <v>31500</v>
      </c>
    </row>
    <row r="984" spans="2:19" x14ac:dyDescent="0.25">
      <c r="B984" s="73">
        <f t="shared" si="407"/>
        <v>408</v>
      </c>
      <c r="C984" s="21"/>
      <c r="D984" s="21"/>
      <c r="E984" s="21"/>
      <c r="F984" s="42" t="s">
        <v>266</v>
      </c>
      <c r="G984" s="97">
        <v>630</v>
      </c>
      <c r="H984" s="21" t="s">
        <v>218</v>
      </c>
      <c r="I984" s="15">
        <f>SUM(I985:I989)</f>
        <v>34648</v>
      </c>
      <c r="J984" s="15">
        <f t="shared" ref="J984" si="413">SUM(J985:J989)</f>
        <v>0</v>
      </c>
      <c r="K984" s="15">
        <f t="shared" si="405"/>
        <v>34648</v>
      </c>
      <c r="L984" s="130"/>
      <c r="M984" s="15"/>
      <c r="N984" s="15"/>
      <c r="O984" s="15">
        <f t="shared" si="404"/>
        <v>0</v>
      </c>
      <c r="Q984" s="15">
        <f t="shared" si="402"/>
        <v>34648</v>
      </c>
      <c r="R984" s="15">
        <f t="shared" si="411"/>
        <v>0</v>
      </c>
      <c r="S984" s="15">
        <f t="shared" si="412"/>
        <v>34648</v>
      </c>
    </row>
    <row r="985" spans="2:19" x14ac:dyDescent="0.25">
      <c r="B985" s="73">
        <f t="shared" si="407"/>
        <v>409</v>
      </c>
      <c r="C985" s="9"/>
      <c r="D985" s="9"/>
      <c r="E985" s="9"/>
      <c r="F985" s="43" t="s">
        <v>266</v>
      </c>
      <c r="G985" s="98">
        <v>631</v>
      </c>
      <c r="H985" s="9" t="s">
        <v>219</v>
      </c>
      <c r="I985" s="10">
        <v>400</v>
      </c>
      <c r="J985" s="10"/>
      <c r="K985" s="10">
        <f t="shared" si="405"/>
        <v>400</v>
      </c>
      <c r="L985" s="131"/>
      <c r="M985" s="10"/>
      <c r="N985" s="10"/>
      <c r="O985" s="10">
        <f t="shared" si="404"/>
        <v>0</v>
      </c>
      <c r="Q985" s="10">
        <f t="shared" si="402"/>
        <v>400</v>
      </c>
      <c r="R985" s="10">
        <f t="shared" si="411"/>
        <v>0</v>
      </c>
      <c r="S985" s="10">
        <f t="shared" si="412"/>
        <v>400</v>
      </c>
    </row>
    <row r="986" spans="2:19" x14ac:dyDescent="0.25">
      <c r="B986" s="73">
        <f t="shared" si="407"/>
        <v>410</v>
      </c>
      <c r="C986" s="9"/>
      <c r="D986" s="9"/>
      <c r="E986" s="9"/>
      <c r="F986" s="43" t="s">
        <v>266</v>
      </c>
      <c r="G986" s="98">
        <v>632</v>
      </c>
      <c r="H986" s="9" t="s">
        <v>229</v>
      </c>
      <c r="I986" s="10">
        <v>6900</v>
      </c>
      <c r="J986" s="10"/>
      <c r="K986" s="10">
        <f t="shared" si="405"/>
        <v>6900</v>
      </c>
      <c r="L986" s="131"/>
      <c r="M986" s="10"/>
      <c r="N986" s="10"/>
      <c r="O986" s="10">
        <f t="shared" si="404"/>
        <v>0</v>
      </c>
      <c r="Q986" s="10">
        <f t="shared" si="402"/>
        <v>6900</v>
      </c>
      <c r="R986" s="10">
        <f t="shared" si="411"/>
        <v>0</v>
      </c>
      <c r="S986" s="10">
        <f t="shared" si="412"/>
        <v>6900</v>
      </c>
    </row>
    <row r="987" spans="2:19" x14ac:dyDescent="0.25">
      <c r="B987" s="73">
        <f t="shared" si="407"/>
        <v>411</v>
      </c>
      <c r="C987" s="9"/>
      <c r="D987" s="9"/>
      <c r="E987" s="9"/>
      <c r="F987" s="43" t="s">
        <v>266</v>
      </c>
      <c r="G987" s="98">
        <v>633</v>
      </c>
      <c r="H987" s="9" t="s">
        <v>220</v>
      </c>
      <c r="I987" s="10">
        <v>7748</v>
      </c>
      <c r="J987" s="10"/>
      <c r="K987" s="10">
        <f t="shared" si="405"/>
        <v>7748</v>
      </c>
      <c r="L987" s="131"/>
      <c r="M987" s="10"/>
      <c r="N987" s="10"/>
      <c r="O987" s="10">
        <f t="shared" si="404"/>
        <v>0</v>
      </c>
      <c r="Q987" s="10">
        <f t="shared" si="402"/>
        <v>7748</v>
      </c>
      <c r="R987" s="10">
        <f t="shared" si="411"/>
        <v>0</v>
      </c>
      <c r="S987" s="10">
        <f t="shared" si="412"/>
        <v>7748</v>
      </c>
    </row>
    <row r="988" spans="2:19" x14ac:dyDescent="0.25">
      <c r="B988" s="73">
        <f t="shared" si="407"/>
        <v>412</v>
      </c>
      <c r="C988" s="9"/>
      <c r="D988" s="9"/>
      <c r="E988" s="9"/>
      <c r="F988" s="43" t="s">
        <v>266</v>
      </c>
      <c r="G988" s="98">
        <v>635</v>
      </c>
      <c r="H988" s="9" t="s">
        <v>234</v>
      </c>
      <c r="I988" s="10">
        <v>500</v>
      </c>
      <c r="J988" s="10"/>
      <c r="K988" s="10">
        <f t="shared" si="405"/>
        <v>500</v>
      </c>
      <c r="L988" s="131"/>
      <c r="M988" s="10"/>
      <c r="N988" s="10"/>
      <c r="O988" s="10">
        <f t="shared" si="404"/>
        <v>0</v>
      </c>
      <c r="Q988" s="10">
        <f t="shared" si="402"/>
        <v>500</v>
      </c>
      <c r="R988" s="10">
        <f t="shared" si="411"/>
        <v>0</v>
      </c>
      <c r="S988" s="10">
        <f t="shared" si="412"/>
        <v>500</v>
      </c>
    </row>
    <row r="989" spans="2:19" x14ac:dyDescent="0.25">
      <c r="B989" s="73">
        <f t="shared" si="407"/>
        <v>413</v>
      </c>
      <c r="C989" s="9"/>
      <c r="D989" s="9"/>
      <c r="E989" s="9"/>
      <c r="F989" s="43" t="s">
        <v>266</v>
      </c>
      <c r="G989" s="98">
        <v>637</v>
      </c>
      <c r="H989" s="9" t="s">
        <v>223</v>
      </c>
      <c r="I989" s="10">
        <f>15300+3800</f>
        <v>19100</v>
      </c>
      <c r="J989" s="10"/>
      <c r="K989" s="10">
        <f t="shared" si="405"/>
        <v>19100</v>
      </c>
      <c r="L989" s="131"/>
      <c r="M989" s="10"/>
      <c r="N989" s="10"/>
      <c r="O989" s="10">
        <f t="shared" si="404"/>
        <v>0</v>
      </c>
      <c r="Q989" s="10">
        <f t="shared" si="402"/>
        <v>19100</v>
      </c>
      <c r="R989" s="10">
        <f t="shared" si="411"/>
        <v>0</v>
      </c>
      <c r="S989" s="10">
        <f t="shared" si="412"/>
        <v>19100</v>
      </c>
    </row>
    <row r="990" spans="2:19" x14ac:dyDescent="0.25">
      <c r="B990" s="73">
        <f t="shared" si="407"/>
        <v>414</v>
      </c>
      <c r="C990" s="21"/>
      <c r="D990" s="21"/>
      <c r="E990" s="21"/>
      <c r="F990" s="42" t="s">
        <v>266</v>
      </c>
      <c r="G990" s="97">
        <v>640</v>
      </c>
      <c r="H990" s="21" t="s">
        <v>230</v>
      </c>
      <c r="I990" s="15">
        <v>500</v>
      </c>
      <c r="J990" s="15"/>
      <c r="K990" s="15">
        <f t="shared" si="405"/>
        <v>500</v>
      </c>
      <c r="L990" s="130"/>
      <c r="M990" s="15"/>
      <c r="N990" s="15"/>
      <c r="O990" s="15">
        <f t="shared" si="404"/>
        <v>0</v>
      </c>
      <c r="Q990" s="15">
        <f t="shared" si="402"/>
        <v>500</v>
      </c>
      <c r="R990" s="15">
        <f t="shared" si="411"/>
        <v>0</v>
      </c>
      <c r="S990" s="15">
        <f t="shared" si="412"/>
        <v>500</v>
      </c>
    </row>
    <row r="991" spans="2:19" x14ac:dyDescent="0.25">
      <c r="B991" s="73">
        <f t="shared" si="407"/>
        <v>415</v>
      </c>
      <c r="C991" s="38"/>
      <c r="D991" s="38"/>
      <c r="E991" s="38">
        <v>4</v>
      </c>
      <c r="F991" s="38"/>
      <c r="G991" s="95"/>
      <c r="H991" s="38" t="s">
        <v>83</v>
      </c>
      <c r="I991" s="39">
        <f>I992</f>
        <v>11850</v>
      </c>
      <c r="J991" s="39">
        <f t="shared" ref="J991" si="414">J992</f>
        <v>0</v>
      </c>
      <c r="K991" s="39">
        <f t="shared" si="405"/>
        <v>11850</v>
      </c>
      <c r="L991" s="138"/>
      <c r="M991" s="39">
        <v>0</v>
      </c>
      <c r="N991" s="39">
        <v>0</v>
      </c>
      <c r="O991" s="39">
        <f t="shared" si="404"/>
        <v>0</v>
      </c>
      <c r="Q991" s="39">
        <f t="shared" si="402"/>
        <v>11850</v>
      </c>
      <c r="R991" s="39">
        <f t="shared" si="411"/>
        <v>0</v>
      </c>
      <c r="S991" s="39">
        <f t="shared" si="412"/>
        <v>11850</v>
      </c>
    </row>
    <row r="992" spans="2:19" x14ac:dyDescent="0.25">
      <c r="B992" s="73">
        <f t="shared" si="407"/>
        <v>416</v>
      </c>
      <c r="C992" s="40"/>
      <c r="D992" s="40"/>
      <c r="E992" s="40" t="s">
        <v>115</v>
      </c>
      <c r="F992" s="40"/>
      <c r="G992" s="96"/>
      <c r="H992" s="40" t="s">
        <v>116</v>
      </c>
      <c r="I992" s="41">
        <f>I993+I994+I995</f>
        <v>11850</v>
      </c>
      <c r="J992" s="41">
        <f t="shared" ref="J992" si="415">J993+J994+J995</f>
        <v>0</v>
      </c>
      <c r="K992" s="41">
        <f t="shared" si="405"/>
        <v>11850</v>
      </c>
      <c r="L992" s="130"/>
      <c r="M992" s="41"/>
      <c r="N992" s="41"/>
      <c r="O992" s="41">
        <f t="shared" si="404"/>
        <v>0</v>
      </c>
      <c r="Q992" s="41">
        <f t="shared" si="402"/>
        <v>11850</v>
      </c>
      <c r="R992" s="41">
        <f t="shared" si="411"/>
        <v>0</v>
      </c>
      <c r="S992" s="41">
        <f t="shared" si="412"/>
        <v>11850</v>
      </c>
    </row>
    <row r="993" spans="2:19" x14ac:dyDescent="0.25">
      <c r="B993" s="73">
        <f t="shared" si="407"/>
        <v>417</v>
      </c>
      <c r="C993" s="21"/>
      <c r="D993" s="21"/>
      <c r="E993" s="21"/>
      <c r="F993" s="42" t="s">
        <v>266</v>
      </c>
      <c r="G993" s="97">
        <v>610</v>
      </c>
      <c r="H993" s="21" t="s">
        <v>245</v>
      </c>
      <c r="I993" s="15">
        <v>7950</v>
      </c>
      <c r="J993" s="15"/>
      <c r="K993" s="15">
        <f t="shared" si="405"/>
        <v>7950</v>
      </c>
      <c r="L993" s="130"/>
      <c r="M993" s="15"/>
      <c r="N993" s="15"/>
      <c r="O993" s="15">
        <f t="shared" si="404"/>
        <v>0</v>
      </c>
      <c r="Q993" s="15">
        <f t="shared" si="402"/>
        <v>7950</v>
      </c>
      <c r="R993" s="15">
        <f t="shared" si="411"/>
        <v>0</v>
      </c>
      <c r="S993" s="15">
        <f t="shared" si="412"/>
        <v>7950</v>
      </c>
    </row>
    <row r="994" spans="2:19" x14ac:dyDescent="0.25">
      <c r="B994" s="73">
        <f t="shared" si="407"/>
        <v>418</v>
      </c>
      <c r="C994" s="21"/>
      <c r="D994" s="21"/>
      <c r="E994" s="21"/>
      <c r="F994" s="42" t="s">
        <v>266</v>
      </c>
      <c r="G994" s="97">
        <v>620</v>
      </c>
      <c r="H994" s="21" t="s">
        <v>228</v>
      </c>
      <c r="I994" s="15">
        <v>2780</v>
      </c>
      <c r="J994" s="15"/>
      <c r="K994" s="15">
        <f t="shared" si="405"/>
        <v>2780</v>
      </c>
      <c r="L994" s="130"/>
      <c r="M994" s="15"/>
      <c r="N994" s="15"/>
      <c r="O994" s="15">
        <f t="shared" si="404"/>
        <v>0</v>
      </c>
      <c r="Q994" s="15">
        <f t="shared" si="402"/>
        <v>2780</v>
      </c>
      <c r="R994" s="15">
        <f t="shared" si="411"/>
        <v>0</v>
      </c>
      <c r="S994" s="15">
        <f t="shared" si="412"/>
        <v>2780</v>
      </c>
    </row>
    <row r="995" spans="2:19" x14ac:dyDescent="0.25">
      <c r="B995" s="73">
        <f t="shared" si="407"/>
        <v>419</v>
      </c>
      <c r="C995" s="21"/>
      <c r="D995" s="21"/>
      <c r="E995" s="21"/>
      <c r="F995" s="42" t="s">
        <v>266</v>
      </c>
      <c r="G995" s="97">
        <v>630</v>
      </c>
      <c r="H995" s="21" t="s">
        <v>218</v>
      </c>
      <c r="I995" s="15">
        <f>I996+I997+I998</f>
        <v>1120</v>
      </c>
      <c r="J995" s="15">
        <f t="shared" ref="J995" si="416">J996+J997+J998</f>
        <v>0</v>
      </c>
      <c r="K995" s="15">
        <f t="shared" si="405"/>
        <v>1120</v>
      </c>
      <c r="L995" s="130"/>
      <c r="M995" s="15"/>
      <c r="N995" s="15"/>
      <c r="O995" s="15">
        <f t="shared" si="404"/>
        <v>0</v>
      </c>
      <c r="Q995" s="15">
        <f t="shared" si="402"/>
        <v>1120</v>
      </c>
      <c r="R995" s="15">
        <f t="shared" si="411"/>
        <v>0</v>
      </c>
      <c r="S995" s="15">
        <f t="shared" si="412"/>
        <v>1120</v>
      </c>
    </row>
    <row r="996" spans="2:19" x14ac:dyDescent="0.25">
      <c r="B996" s="73">
        <f t="shared" si="407"/>
        <v>420</v>
      </c>
      <c r="C996" s="9"/>
      <c r="D996" s="9"/>
      <c r="E996" s="9"/>
      <c r="F996" s="43" t="s">
        <v>266</v>
      </c>
      <c r="G996" s="98">
        <v>632</v>
      </c>
      <c r="H996" s="9" t="s">
        <v>229</v>
      </c>
      <c r="I996" s="10">
        <v>580</v>
      </c>
      <c r="J996" s="10"/>
      <c r="K996" s="10">
        <f t="shared" si="405"/>
        <v>580</v>
      </c>
      <c r="L996" s="131"/>
      <c r="M996" s="10"/>
      <c r="N996" s="10"/>
      <c r="O996" s="10">
        <f t="shared" si="404"/>
        <v>0</v>
      </c>
      <c r="Q996" s="10">
        <f t="shared" si="402"/>
        <v>580</v>
      </c>
      <c r="R996" s="10">
        <f t="shared" si="411"/>
        <v>0</v>
      </c>
      <c r="S996" s="10">
        <f t="shared" si="412"/>
        <v>580</v>
      </c>
    </row>
    <row r="997" spans="2:19" x14ac:dyDescent="0.25">
      <c r="B997" s="73">
        <f t="shared" si="407"/>
        <v>421</v>
      </c>
      <c r="C997" s="9"/>
      <c r="D997" s="9"/>
      <c r="E997" s="9"/>
      <c r="F997" s="43" t="s">
        <v>266</v>
      </c>
      <c r="G997" s="98">
        <v>633</v>
      </c>
      <c r="H997" s="9" t="s">
        <v>220</v>
      </c>
      <c r="I997" s="10">
        <v>420</v>
      </c>
      <c r="J997" s="10"/>
      <c r="K997" s="10">
        <f t="shared" si="405"/>
        <v>420</v>
      </c>
      <c r="L997" s="131"/>
      <c r="M997" s="10"/>
      <c r="N997" s="10"/>
      <c r="O997" s="10">
        <f t="shared" si="404"/>
        <v>0</v>
      </c>
      <c r="Q997" s="10">
        <f t="shared" si="402"/>
        <v>420</v>
      </c>
      <c r="R997" s="10">
        <f t="shared" si="411"/>
        <v>0</v>
      </c>
      <c r="S997" s="10">
        <f t="shared" si="412"/>
        <v>420</v>
      </c>
    </row>
    <row r="998" spans="2:19" x14ac:dyDescent="0.25">
      <c r="B998" s="73">
        <f t="shared" si="407"/>
        <v>422</v>
      </c>
      <c r="C998" s="9"/>
      <c r="D998" s="9"/>
      <c r="E998" s="9"/>
      <c r="F998" s="43" t="s">
        <v>266</v>
      </c>
      <c r="G998" s="98">
        <v>637</v>
      </c>
      <c r="H998" s="9" t="s">
        <v>223</v>
      </c>
      <c r="I998" s="10">
        <v>120</v>
      </c>
      <c r="J998" s="10"/>
      <c r="K998" s="10">
        <f t="shared" si="405"/>
        <v>120</v>
      </c>
      <c r="L998" s="131"/>
      <c r="M998" s="10"/>
      <c r="N998" s="10"/>
      <c r="O998" s="10">
        <f t="shared" si="404"/>
        <v>0</v>
      </c>
      <c r="Q998" s="10">
        <f t="shared" si="402"/>
        <v>120</v>
      </c>
      <c r="R998" s="10">
        <f t="shared" si="411"/>
        <v>0</v>
      </c>
      <c r="S998" s="10">
        <f t="shared" si="412"/>
        <v>120</v>
      </c>
    </row>
    <row r="999" spans="2:19" x14ac:dyDescent="0.25">
      <c r="B999" s="73">
        <f t="shared" si="407"/>
        <v>423</v>
      </c>
      <c r="C999" s="38"/>
      <c r="D999" s="38"/>
      <c r="E999" s="38">
        <v>6</v>
      </c>
      <c r="F999" s="38"/>
      <c r="G999" s="95"/>
      <c r="H999" s="38" t="s">
        <v>167</v>
      </c>
      <c r="I999" s="39">
        <f>I1000+I1001+I1002+I1006</f>
        <v>84080</v>
      </c>
      <c r="J999" s="39">
        <f t="shared" ref="J999" si="417">J1000+J1001+J1002+J1006</f>
        <v>0</v>
      </c>
      <c r="K999" s="39">
        <f t="shared" si="405"/>
        <v>84080</v>
      </c>
      <c r="L999" s="138"/>
      <c r="M999" s="39">
        <v>0</v>
      </c>
      <c r="N999" s="39">
        <v>0</v>
      </c>
      <c r="O999" s="39">
        <f t="shared" si="404"/>
        <v>0</v>
      </c>
      <c r="Q999" s="39">
        <f t="shared" si="402"/>
        <v>84080</v>
      </c>
      <c r="R999" s="39">
        <f t="shared" si="411"/>
        <v>0</v>
      </c>
      <c r="S999" s="39">
        <f t="shared" si="412"/>
        <v>84080</v>
      </c>
    </row>
    <row r="1000" spans="2:19" x14ac:dyDescent="0.25">
      <c r="B1000" s="73">
        <f t="shared" si="407"/>
        <v>424</v>
      </c>
      <c r="C1000" s="21"/>
      <c r="D1000" s="21"/>
      <c r="E1000" s="21"/>
      <c r="F1000" s="42" t="s">
        <v>266</v>
      </c>
      <c r="G1000" s="97">
        <v>610</v>
      </c>
      <c r="H1000" s="21" t="s">
        <v>245</v>
      </c>
      <c r="I1000" s="15">
        <v>54533</v>
      </c>
      <c r="J1000" s="15"/>
      <c r="K1000" s="15">
        <f t="shared" si="405"/>
        <v>54533</v>
      </c>
      <c r="L1000" s="130"/>
      <c r="M1000" s="15"/>
      <c r="N1000" s="15"/>
      <c r="O1000" s="15">
        <f t="shared" si="404"/>
        <v>0</v>
      </c>
      <c r="Q1000" s="15">
        <f t="shared" si="402"/>
        <v>54533</v>
      </c>
      <c r="R1000" s="15">
        <f t="shared" si="411"/>
        <v>0</v>
      </c>
      <c r="S1000" s="15">
        <f t="shared" si="412"/>
        <v>54533</v>
      </c>
    </row>
    <row r="1001" spans="2:19" x14ac:dyDescent="0.25">
      <c r="B1001" s="73">
        <f t="shared" si="407"/>
        <v>425</v>
      </c>
      <c r="C1001" s="21"/>
      <c r="D1001" s="21"/>
      <c r="E1001" s="21"/>
      <c r="F1001" s="42" t="s">
        <v>266</v>
      </c>
      <c r="G1001" s="97">
        <v>620</v>
      </c>
      <c r="H1001" s="21" t="s">
        <v>228</v>
      </c>
      <c r="I1001" s="15">
        <v>20234</v>
      </c>
      <c r="J1001" s="15"/>
      <c r="K1001" s="15">
        <f t="shared" si="405"/>
        <v>20234</v>
      </c>
      <c r="L1001" s="130"/>
      <c r="M1001" s="15"/>
      <c r="N1001" s="15"/>
      <c r="O1001" s="15">
        <f t="shared" si="404"/>
        <v>0</v>
      </c>
      <c r="Q1001" s="15">
        <f t="shared" si="402"/>
        <v>20234</v>
      </c>
      <c r="R1001" s="15">
        <f t="shared" si="411"/>
        <v>0</v>
      </c>
      <c r="S1001" s="15">
        <f t="shared" si="412"/>
        <v>20234</v>
      </c>
    </row>
    <row r="1002" spans="2:19" x14ac:dyDescent="0.25">
      <c r="B1002" s="73">
        <f t="shared" si="407"/>
        <v>426</v>
      </c>
      <c r="C1002" s="21"/>
      <c r="D1002" s="21"/>
      <c r="E1002" s="21"/>
      <c r="F1002" s="42" t="s">
        <v>266</v>
      </c>
      <c r="G1002" s="97">
        <v>630</v>
      </c>
      <c r="H1002" s="21" t="s">
        <v>218</v>
      </c>
      <c r="I1002" s="15">
        <f>I1003+I1004+I1005</f>
        <v>8973</v>
      </c>
      <c r="J1002" s="15">
        <f t="shared" ref="J1002" si="418">J1003+J1004+J1005</f>
        <v>0</v>
      </c>
      <c r="K1002" s="15">
        <f t="shared" si="405"/>
        <v>8973</v>
      </c>
      <c r="L1002" s="130"/>
      <c r="M1002" s="15"/>
      <c r="N1002" s="15"/>
      <c r="O1002" s="15">
        <f t="shared" si="404"/>
        <v>0</v>
      </c>
      <c r="Q1002" s="15">
        <f t="shared" si="402"/>
        <v>8973</v>
      </c>
      <c r="R1002" s="15">
        <f t="shared" si="411"/>
        <v>0</v>
      </c>
      <c r="S1002" s="15">
        <f t="shared" si="412"/>
        <v>8973</v>
      </c>
    </row>
    <row r="1003" spans="2:19" x14ac:dyDescent="0.25">
      <c r="B1003" s="73">
        <f t="shared" si="407"/>
        <v>427</v>
      </c>
      <c r="C1003" s="9"/>
      <c r="D1003" s="9"/>
      <c r="E1003" s="9"/>
      <c r="F1003" s="43" t="s">
        <v>266</v>
      </c>
      <c r="G1003" s="98">
        <v>632</v>
      </c>
      <c r="H1003" s="9" t="s">
        <v>229</v>
      </c>
      <c r="I1003" s="10">
        <v>6703</v>
      </c>
      <c r="J1003" s="10"/>
      <c r="K1003" s="10">
        <f t="shared" si="405"/>
        <v>6703</v>
      </c>
      <c r="L1003" s="131"/>
      <c r="M1003" s="10"/>
      <c r="N1003" s="10"/>
      <c r="O1003" s="10">
        <f t="shared" si="404"/>
        <v>0</v>
      </c>
      <c r="Q1003" s="10">
        <f t="shared" si="402"/>
        <v>6703</v>
      </c>
      <c r="R1003" s="10">
        <f t="shared" si="411"/>
        <v>0</v>
      </c>
      <c r="S1003" s="10">
        <f t="shared" si="412"/>
        <v>6703</v>
      </c>
    </row>
    <row r="1004" spans="2:19" x14ac:dyDescent="0.25">
      <c r="B1004" s="73">
        <f t="shared" si="407"/>
        <v>428</v>
      </c>
      <c r="C1004" s="9"/>
      <c r="D1004" s="9"/>
      <c r="E1004" s="9"/>
      <c r="F1004" s="43" t="s">
        <v>266</v>
      </c>
      <c r="G1004" s="98">
        <v>633</v>
      </c>
      <c r="H1004" s="9" t="s">
        <v>220</v>
      </c>
      <c r="I1004" s="10">
        <v>1027</v>
      </c>
      <c r="J1004" s="10"/>
      <c r="K1004" s="10">
        <f t="shared" si="405"/>
        <v>1027</v>
      </c>
      <c r="L1004" s="131"/>
      <c r="M1004" s="10"/>
      <c r="N1004" s="10"/>
      <c r="O1004" s="10">
        <f t="shared" si="404"/>
        <v>0</v>
      </c>
      <c r="Q1004" s="10">
        <f t="shared" si="402"/>
        <v>1027</v>
      </c>
      <c r="R1004" s="10">
        <f t="shared" si="411"/>
        <v>0</v>
      </c>
      <c r="S1004" s="10">
        <f t="shared" si="412"/>
        <v>1027</v>
      </c>
    </row>
    <row r="1005" spans="2:19" x14ac:dyDescent="0.25">
      <c r="B1005" s="73">
        <f t="shared" si="407"/>
        <v>429</v>
      </c>
      <c r="C1005" s="9"/>
      <c r="D1005" s="9"/>
      <c r="E1005" s="9"/>
      <c r="F1005" s="43" t="s">
        <v>266</v>
      </c>
      <c r="G1005" s="98">
        <v>637</v>
      </c>
      <c r="H1005" s="9" t="s">
        <v>223</v>
      </c>
      <c r="I1005" s="10">
        <v>1243</v>
      </c>
      <c r="J1005" s="10"/>
      <c r="K1005" s="10">
        <f t="shared" si="405"/>
        <v>1243</v>
      </c>
      <c r="L1005" s="131"/>
      <c r="M1005" s="10"/>
      <c r="N1005" s="10"/>
      <c r="O1005" s="10">
        <f t="shared" si="404"/>
        <v>0</v>
      </c>
      <c r="Q1005" s="10">
        <f t="shared" si="402"/>
        <v>1243</v>
      </c>
      <c r="R1005" s="10">
        <f t="shared" si="411"/>
        <v>0</v>
      </c>
      <c r="S1005" s="10">
        <f t="shared" si="412"/>
        <v>1243</v>
      </c>
    </row>
    <row r="1006" spans="2:19" x14ac:dyDescent="0.25">
      <c r="B1006" s="73">
        <f t="shared" si="407"/>
        <v>430</v>
      </c>
      <c r="C1006" s="21"/>
      <c r="D1006" s="21"/>
      <c r="E1006" s="21"/>
      <c r="F1006" s="42" t="s">
        <v>266</v>
      </c>
      <c r="G1006" s="97">
        <v>640</v>
      </c>
      <c r="H1006" s="21" t="s">
        <v>230</v>
      </c>
      <c r="I1006" s="15">
        <v>340</v>
      </c>
      <c r="J1006" s="15"/>
      <c r="K1006" s="15">
        <f t="shared" si="405"/>
        <v>340</v>
      </c>
      <c r="L1006" s="130"/>
      <c r="M1006" s="15"/>
      <c r="N1006" s="15"/>
      <c r="O1006" s="15">
        <f t="shared" si="404"/>
        <v>0</v>
      </c>
      <c r="Q1006" s="15">
        <f t="shared" si="402"/>
        <v>340</v>
      </c>
      <c r="R1006" s="15">
        <f t="shared" si="411"/>
        <v>0</v>
      </c>
      <c r="S1006" s="15">
        <f t="shared" si="412"/>
        <v>340</v>
      </c>
    </row>
    <row r="1007" spans="2:19" x14ac:dyDescent="0.25">
      <c r="B1007" s="73">
        <f t="shared" si="407"/>
        <v>431</v>
      </c>
      <c r="C1007" s="38"/>
      <c r="D1007" s="38"/>
      <c r="E1007" s="38">
        <v>7</v>
      </c>
      <c r="F1007" s="38"/>
      <c r="G1007" s="95"/>
      <c r="H1007" s="38" t="s">
        <v>168</v>
      </c>
      <c r="I1007" s="39">
        <f>I1008+I1010+I1009+I1014</f>
        <v>106886</v>
      </c>
      <c r="J1007" s="39">
        <f t="shared" ref="J1007" si="419">J1008+J1010+J1009+J1014</f>
        <v>0</v>
      </c>
      <c r="K1007" s="39">
        <f t="shared" si="405"/>
        <v>106886</v>
      </c>
      <c r="L1007" s="138"/>
      <c r="M1007" s="39">
        <v>0</v>
      </c>
      <c r="N1007" s="39">
        <v>0</v>
      </c>
      <c r="O1007" s="39">
        <f t="shared" si="404"/>
        <v>0</v>
      </c>
      <c r="Q1007" s="39">
        <f t="shared" si="402"/>
        <v>106886</v>
      </c>
      <c r="R1007" s="39">
        <f t="shared" si="411"/>
        <v>0</v>
      </c>
      <c r="S1007" s="39">
        <f t="shared" si="412"/>
        <v>106886</v>
      </c>
    </row>
    <row r="1008" spans="2:19" x14ac:dyDescent="0.25">
      <c r="B1008" s="73">
        <f t="shared" si="407"/>
        <v>432</v>
      </c>
      <c r="C1008" s="21"/>
      <c r="D1008" s="21"/>
      <c r="E1008" s="21"/>
      <c r="F1008" s="42" t="s">
        <v>266</v>
      </c>
      <c r="G1008" s="97">
        <v>610</v>
      </c>
      <c r="H1008" s="21" t="s">
        <v>245</v>
      </c>
      <c r="I1008" s="15">
        <v>73039</v>
      </c>
      <c r="J1008" s="15"/>
      <c r="K1008" s="15">
        <f t="shared" si="405"/>
        <v>73039</v>
      </c>
      <c r="L1008" s="130"/>
      <c r="M1008" s="15"/>
      <c r="N1008" s="15"/>
      <c r="O1008" s="15">
        <f t="shared" si="404"/>
        <v>0</v>
      </c>
      <c r="Q1008" s="15">
        <f t="shared" si="402"/>
        <v>73039</v>
      </c>
      <c r="R1008" s="15">
        <f t="shared" si="411"/>
        <v>0</v>
      </c>
      <c r="S1008" s="15">
        <f t="shared" si="412"/>
        <v>73039</v>
      </c>
    </row>
    <row r="1009" spans="2:19" x14ac:dyDescent="0.25">
      <c r="B1009" s="73">
        <f t="shared" si="407"/>
        <v>433</v>
      </c>
      <c r="C1009" s="21"/>
      <c r="D1009" s="21"/>
      <c r="E1009" s="21"/>
      <c r="F1009" s="42" t="s">
        <v>266</v>
      </c>
      <c r="G1009" s="97">
        <v>620</v>
      </c>
      <c r="H1009" s="21" t="s">
        <v>228</v>
      </c>
      <c r="I1009" s="15">
        <v>25705</v>
      </c>
      <c r="J1009" s="15"/>
      <c r="K1009" s="15">
        <f t="shared" si="405"/>
        <v>25705</v>
      </c>
      <c r="L1009" s="130"/>
      <c r="M1009" s="15"/>
      <c r="N1009" s="15"/>
      <c r="O1009" s="15">
        <f t="shared" si="404"/>
        <v>0</v>
      </c>
      <c r="Q1009" s="15">
        <f t="shared" si="402"/>
        <v>25705</v>
      </c>
      <c r="R1009" s="15">
        <f t="shared" si="411"/>
        <v>0</v>
      </c>
      <c r="S1009" s="15">
        <f t="shared" si="412"/>
        <v>25705</v>
      </c>
    </row>
    <row r="1010" spans="2:19" x14ac:dyDescent="0.25">
      <c r="B1010" s="73">
        <f t="shared" si="407"/>
        <v>434</v>
      </c>
      <c r="C1010" s="21"/>
      <c r="D1010" s="21"/>
      <c r="E1010" s="21"/>
      <c r="F1010" s="42" t="s">
        <v>266</v>
      </c>
      <c r="G1010" s="97">
        <v>630</v>
      </c>
      <c r="H1010" s="21" t="s">
        <v>218</v>
      </c>
      <c r="I1010" s="15">
        <f>I1011+I1012+I1013</f>
        <v>5872</v>
      </c>
      <c r="J1010" s="15">
        <f t="shared" ref="J1010" si="420">J1011+J1012+J1013</f>
        <v>0</v>
      </c>
      <c r="K1010" s="15">
        <f t="shared" si="405"/>
        <v>5872</v>
      </c>
      <c r="L1010" s="130"/>
      <c r="M1010" s="15"/>
      <c r="N1010" s="15"/>
      <c r="O1010" s="15">
        <f t="shared" si="404"/>
        <v>0</v>
      </c>
      <c r="Q1010" s="15">
        <f t="shared" si="402"/>
        <v>5872</v>
      </c>
      <c r="R1010" s="15">
        <f t="shared" si="411"/>
        <v>0</v>
      </c>
      <c r="S1010" s="15">
        <f t="shared" si="412"/>
        <v>5872</v>
      </c>
    </row>
    <row r="1011" spans="2:19" x14ac:dyDescent="0.25">
      <c r="B1011" s="73">
        <f t="shared" si="407"/>
        <v>435</v>
      </c>
      <c r="C1011" s="9"/>
      <c r="D1011" s="9"/>
      <c r="E1011" s="9"/>
      <c r="F1011" s="43" t="s">
        <v>266</v>
      </c>
      <c r="G1011" s="98">
        <v>632</v>
      </c>
      <c r="H1011" s="9" t="s">
        <v>229</v>
      </c>
      <c r="I1011" s="10">
        <v>1000</v>
      </c>
      <c r="J1011" s="10"/>
      <c r="K1011" s="10">
        <f t="shared" si="405"/>
        <v>1000</v>
      </c>
      <c r="L1011" s="131"/>
      <c r="M1011" s="10"/>
      <c r="N1011" s="10"/>
      <c r="O1011" s="10">
        <f t="shared" si="404"/>
        <v>0</v>
      </c>
      <c r="Q1011" s="10">
        <f t="shared" si="402"/>
        <v>1000</v>
      </c>
      <c r="R1011" s="10">
        <f t="shared" si="411"/>
        <v>0</v>
      </c>
      <c r="S1011" s="10">
        <f t="shared" si="412"/>
        <v>1000</v>
      </c>
    </row>
    <row r="1012" spans="2:19" x14ac:dyDescent="0.25">
      <c r="B1012" s="73">
        <f t="shared" si="407"/>
        <v>436</v>
      </c>
      <c r="C1012" s="9"/>
      <c r="D1012" s="9"/>
      <c r="E1012" s="9"/>
      <c r="F1012" s="43" t="s">
        <v>266</v>
      </c>
      <c r="G1012" s="98">
        <v>633</v>
      </c>
      <c r="H1012" s="9" t="s">
        <v>220</v>
      </c>
      <c r="I1012" s="10">
        <v>2372</v>
      </c>
      <c r="J1012" s="10"/>
      <c r="K1012" s="10">
        <f t="shared" si="405"/>
        <v>2372</v>
      </c>
      <c r="L1012" s="131"/>
      <c r="M1012" s="10"/>
      <c r="N1012" s="10"/>
      <c r="O1012" s="10">
        <f t="shared" si="404"/>
        <v>0</v>
      </c>
      <c r="Q1012" s="10">
        <f t="shared" si="402"/>
        <v>2372</v>
      </c>
      <c r="R1012" s="10">
        <f t="shared" si="411"/>
        <v>0</v>
      </c>
      <c r="S1012" s="10">
        <f t="shared" si="412"/>
        <v>2372</v>
      </c>
    </row>
    <row r="1013" spans="2:19" x14ac:dyDescent="0.25">
      <c r="B1013" s="73">
        <f t="shared" si="407"/>
        <v>437</v>
      </c>
      <c r="C1013" s="9"/>
      <c r="D1013" s="9"/>
      <c r="E1013" s="9"/>
      <c r="F1013" s="43" t="s">
        <v>266</v>
      </c>
      <c r="G1013" s="98">
        <v>637</v>
      </c>
      <c r="H1013" s="9" t="s">
        <v>223</v>
      </c>
      <c r="I1013" s="10">
        <v>2500</v>
      </c>
      <c r="J1013" s="10"/>
      <c r="K1013" s="10">
        <f t="shared" si="405"/>
        <v>2500</v>
      </c>
      <c r="L1013" s="131"/>
      <c r="M1013" s="10"/>
      <c r="N1013" s="10"/>
      <c r="O1013" s="10">
        <f t="shared" si="404"/>
        <v>0</v>
      </c>
      <c r="Q1013" s="10">
        <f t="shared" si="402"/>
        <v>2500</v>
      </c>
      <c r="R1013" s="10">
        <f t="shared" si="411"/>
        <v>0</v>
      </c>
      <c r="S1013" s="10">
        <f t="shared" si="412"/>
        <v>2500</v>
      </c>
    </row>
    <row r="1014" spans="2:19" x14ac:dyDescent="0.25">
      <c r="B1014" s="73">
        <f t="shared" si="407"/>
        <v>438</v>
      </c>
      <c r="C1014" s="21"/>
      <c r="D1014" s="21"/>
      <c r="E1014" s="21"/>
      <c r="F1014" s="42" t="s">
        <v>266</v>
      </c>
      <c r="G1014" s="97">
        <v>640</v>
      </c>
      <c r="H1014" s="21" t="s">
        <v>230</v>
      </c>
      <c r="I1014" s="15">
        <v>2270</v>
      </c>
      <c r="J1014" s="15"/>
      <c r="K1014" s="15">
        <f t="shared" si="405"/>
        <v>2270</v>
      </c>
      <c r="L1014" s="130"/>
      <c r="M1014" s="15"/>
      <c r="N1014" s="15"/>
      <c r="O1014" s="15">
        <f t="shared" si="404"/>
        <v>0</v>
      </c>
      <c r="Q1014" s="15">
        <f t="shared" si="402"/>
        <v>2270</v>
      </c>
      <c r="R1014" s="15">
        <f t="shared" si="411"/>
        <v>0</v>
      </c>
      <c r="S1014" s="15">
        <f t="shared" si="412"/>
        <v>2270</v>
      </c>
    </row>
    <row r="1015" spans="2:19" x14ac:dyDescent="0.25">
      <c r="B1015" s="73">
        <f t="shared" si="407"/>
        <v>439</v>
      </c>
      <c r="C1015" s="38"/>
      <c r="D1015" s="38"/>
      <c r="E1015" s="38">
        <v>8</v>
      </c>
      <c r="F1015" s="38"/>
      <c r="G1015" s="95"/>
      <c r="H1015" s="38" t="s">
        <v>169</v>
      </c>
      <c r="I1015" s="39">
        <f>I1016+I1017+I1018+I1022</f>
        <v>164410</v>
      </c>
      <c r="J1015" s="39">
        <f t="shared" ref="J1015" si="421">J1016+J1017+J1018+J1022</f>
        <v>0</v>
      </c>
      <c r="K1015" s="39">
        <f t="shared" si="405"/>
        <v>164410</v>
      </c>
      <c r="L1015" s="138"/>
      <c r="M1015" s="39">
        <v>0</v>
      </c>
      <c r="N1015" s="39">
        <v>0</v>
      </c>
      <c r="O1015" s="39">
        <f t="shared" si="404"/>
        <v>0</v>
      </c>
      <c r="Q1015" s="39">
        <f t="shared" si="402"/>
        <v>164410</v>
      </c>
      <c r="R1015" s="39">
        <f t="shared" si="411"/>
        <v>0</v>
      </c>
      <c r="S1015" s="39">
        <f t="shared" si="412"/>
        <v>164410</v>
      </c>
    </row>
    <row r="1016" spans="2:19" x14ac:dyDescent="0.25">
      <c r="B1016" s="73">
        <f t="shared" si="407"/>
        <v>440</v>
      </c>
      <c r="C1016" s="21"/>
      <c r="D1016" s="21"/>
      <c r="E1016" s="21"/>
      <c r="F1016" s="42" t="s">
        <v>266</v>
      </c>
      <c r="G1016" s="97">
        <v>610</v>
      </c>
      <c r="H1016" s="21" t="s">
        <v>245</v>
      </c>
      <c r="I1016" s="15">
        <v>112660</v>
      </c>
      <c r="J1016" s="15"/>
      <c r="K1016" s="15">
        <f t="shared" si="405"/>
        <v>112660</v>
      </c>
      <c r="L1016" s="130"/>
      <c r="M1016" s="15"/>
      <c r="N1016" s="15"/>
      <c r="O1016" s="15">
        <f t="shared" si="404"/>
        <v>0</v>
      </c>
      <c r="Q1016" s="15">
        <f t="shared" si="402"/>
        <v>112660</v>
      </c>
      <c r="R1016" s="15">
        <f t="shared" si="411"/>
        <v>0</v>
      </c>
      <c r="S1016" s="15">
        <f t="shared" si="412"/>
        <v>112660</v>
      </c>
    </row>
    <row r="1017" spans="2:19" x14ac:dyDescent="0.25">
      <c r="B1017" s="73">
        <f t="shared" si="407"/>
        <v>441</v>
      </c>
      <c r="C1017" s="21"/>
      <c r="D1017" s="21"/>
      <c r="E1017" s="21"/>
      <c r="F1017" s="42" t="s">
        <v>266</v>
      </c>
      <c r="G1017" s="97">
        <v>620</v>
      </c>
      <c r="H1017" s="21" t="s">
        <v>228</v>
      </c>
      <c r="I1017" s="15">
        <v>39675</v>
      </c>
      <c r="J1017" s="15"/>
      <c r="K1017" s="15">
        <f t="shared" si="405"/>
        <v>39675</v>
      </c>
      <c r="L1017" s="130"/>
      <c r="M1017" s="15"/>
      <c r="N1017" s="15"/>
      <c r="O1017" s="15">
        <f t="shared" si="404"/>
        <v>0</v>
      </c>
      <c r="Q1017" s="15">
        <f t="shared" si="402"/>
        <v>39675</v>
      </c>
      <c r="R1017" s="15">
        <f t="shared" si="411"/>
        <v>0</v>
      </c>
      <c r="S1017" s="15">
        <f t="shared" si="412"/>
        <v>39675</v>
      </c>
    </row>
    <row r="1018" spans="2:19" x14ac:dyDescent="0.25">
      <c r="B1018" s="73">
        <f t="shared" si="407"/>
        <v>442</v>
      </c>
      <c r="C1018" s="21"/>
      <c r="D1018" s="21"/>
      <c r="E1018" s="21"/>
      <c r="F1018" s="42" t="s">
        <v>266</v>
      </c>
      <c r="G1018" s="97">
        <v>630</v>
      </c>
      <c r="H1018" s="21" t="s">
        <v>218</v>
      </c>
      <c r="I1018" s="15">
        <f>I1019+I1020+I1021</f>
        <v>11165</v>
      </c>
      <c r="J1018" s="15">
        <f t="shared" ref="J1018" si="422">J1019+J1020+J1021</f>
        <v>0</v>
      </c>
      <c r="K1018" s="15">
        <f t="shared" si="405"/>
        <v>11165</v>
      </c>
      <c r="L1018" s="130"/>
      <c r="M1018" s="15"/>
      <c r="N1018" s="15"/>
      <c r="O1018" s="15">
        <f t="shared" si="404"/>
        <v>0</v>
      </c>
      <c r="Q1018" s="15">
        <f t="shared" si="402"/>
        <v>11165</v>
      </c>
      <c r="R1018" s="15">
        <f t="shared" si="411"/>
        <v>0</v>
      </c>
      <c r="S1018" s="15">
        <f t="shared" si="412"/>
        <v>11165</v>
      </c>
    </row>
    <row r="1019" spans="2:19" x14ac:dyDescent="0.25">
      <c r="B1019" s="73">
        <f t="shared" si="407"/>
        <v>443</v>
      </c>
      <c r="C1019" s="9"/>
      <c r="D1019" s="9"/>
      <c r="E1019" s="9"/>
      <c r="F1019" s="43" t="s">
        <v>266</v>
      </c>
      <c r="G1019" s="98">
        <v>632</v>
      </c>
      <c r="H1019" s="9" t="s">
        <v>229</v>
      </c>
      <c r="I1019" s="10">
        <v>7030</v>
      </c>
      <c r="J1019" s="10"/>
      <c r="K1019" s="10">
        <f t="shared" si="405"/>
        <v>7030</v>
      </c>
      <c r="L1019" s="131"/>
      <c r="M1019" s="10"/>
      <c r="N1019" s="10"/>
      <c r="O1019" s="10">
        <f t="shared" si="404"/>
        <v>0</v>
      </c>
      <c r="Q1019" s="10">
        <f t="shared" si="402"/>
        <v>7030</v>
      </c>
      <c r="R1019" s="10">
        <f t="shared" si="411"/>
        <v>0</v>
      </c>
      <c r="S1019" s="10">
        <f t="shared" si="412"/>
        <v>7030</v>
      </c>
    </row>
    <row r="1020" spans="2:19" x14ac:dyDescent="0.25">
      <c r="B1020" s="73">
        <f t="shared" si="407"/>
        <v>444</v>
      </c>
      <c r="C1020" s="9"/>
      <c r="D1020" s="9"/>
      <c r="E1020" s="9"/>
      <c r="F1020" s="43" t="s">
        <v>266</v>
      </c>
      <c r="G1020" s="98">
        <v>633</v>
      </c>
      <c r="H1020" s="9" t="s">
        <v>220</v>
      </c>
      <c r="I1020" s="10">
        <v>600</v>
      </c>
      <c r="J1020" s="10"/>
      <c r="K1020" s="10">
        <f t="shared" si="405"/>
        <v>600</v>
      </c>
      <c r="L1020" s="131"/>
      <c r="M1020" s="10"/>
      <c r="N1020" s="10"/>
      <c r="O1020" s="10">
        <f t="shared" si="404"/>
        <v>0</v>
      </c>
      <c r="Q1020" s="10">
        <f t="shared" si="402"/>
        <v>600</v>
      </c>
      <c r="R1020" s="10">
        <f t="shared" si="411"/>
        <v>0</v>
      </c>
      <c r="S1020" s="10">
        <f t="shared" si="412"/>
        <v>600</v>
      </c>
    </row>
    <row r="1021" spans="2:19" x14ac:dyDescent="0.25">
      <c r="B1021" s="73">
        <f t="shared" si="407"/>
        <v>445</v>
      </c>
      <c r="C1021" s="9"/>
      <c r="D1021" s="9"/>
      <c r="E1021" s="9"/>
      <c r="F1021" s="43" t="s">
        <v>266</v>
      </c>
      <c r="G1021" s="98">
        <v>637</v>
      </c>
      <c r="H1021" s="9" t="s">
        <v>223</v>
      </c>
      <c r="I1021" s="10">
        <v>3535</v>
      </c>
      <c r="J1021" s="10"/>
      <c r="K1021" s="10">
        <f t="shared" si="405"/>
        <v>3535</v>
      </c>
      <c r="L1021" s="131"/>
      <c r="M1021" s="10"/>
      <c r="N1021" s="10"/>
      <c r="O1021" s="10">
        <f t="shared" si="404"/>
        <v>0</v>
      </c>
      <c r="Q1021" s="10">
        <f t="shared" si="402"/>
        <v>3535</v>
      </c>
      <c r="R1021" s="10">
        <f t="shared" si="411"/>
        <v>0</v>
      </c>
      <c r="S1021" s="10">
        <f t="shared" si="412"/>
        <v>3535</v>
      </c>
    </row>
    <row r="1022" spans="2:19" x14ac:dyDescent="0.25">
      <c r="B1022" s="73">
        <f t="shared" si="407"/>
        <v>446</v>
      </c>
      <c r="C1022" s="21"/>
      <c r="D1022" s="21"/>
      <c r="E1022" s="21"/>
      <c r="F1022" s="42" t="s">
        <v>266</v>
      </c>
      <c r="G1022" s="97">
        <v>640</v>
      </c>
      <c r="H1022" s="21" t="s">
        <v>230</v>
      </c>
      <c r="I1022" s="15">
        <v>910</v>
      </c>
      <c r="J1022" s="15"/>
      <c r="K1022" s="15">
        <f t="shared" si="405"/>
        <v>910</v>
      </c>
      <c r="L1022" s="130"/>
      <c r="M1022" s="15"/>
      <c r="N1022" s="15"/>
      <c r="O1022" s="15">
        <f t="shared" si="404"/>
        <v>0</v>
      </c>
      <c r="Q1022" s="15">
        <f t="shared" si="402"/>
        <v>910</v>
      </c>
      <c r="R1022" s="15">
        <f t="shared" si="411"/>
        <v>0</v>
      </c>
      <c r="S1022" s="15">
        <f t="shared" si="412"/>
        <v>910</v>
      </c>
    </row>
    <row r="1023" spans="2:19" x14ac:dyDescent="0.25">
      <c r="B1023" s="73">
        <f t="shared" si="407"/>
        <v>447</v>
      </c>
      <c r="C1023" s="38"/>
      <c r="D1023" s="38"/>
      <c r="E1023" s="38">
        <v>9</v>
      </c>
      <c r="F1023" s="38"/>
      <c r="G1023" s="95"/>
      <c r="H1023" s="38" t="s">
        <v>170</v>
      </c>
      <c r="I1023" s="39">
        <f>I1024+I1025+I1026</f>
        <v>59281</v>
      </c>
      <c r="J1023" s="39">
        <f t="shared" ref="J1023" si="423">J1024+J1025+J1026</f>
        <v>0</v>
      </c>
      <c r="K1023" s="39">
        <f t="shared" si="405"/>
        <v>59281</v>
      </c>
      <c r="L1023" s="138"/>
      <c r="M1023" s="39">
        <v>0</v>
      </c>
      <c r="N1023" s="39">
        <v>0</v>
      </c>
      <c r="O1023" s="39">
        <f t="shared" si="404"/>
        <v>0</v>
      </c>
      <c r="Q1023" s="39">
        <f t="shared" si="402"/>
        <v>59281</v>
      </c>
      <c r="R1023" s="39">
        <f t="shared" si="411"/>
        <v>0</v>
      </c>
      <c r="S1023" s="39">
        <f t="shared" si="412"/>
        <v>59281</v>
      </c>
    </row>
    <row r="1024" spans="2:19" x14ac:dyDescent="0.25">
      <c r="B1024" s="73">
        <f t="shared" si="407"/>
        <v>448</v>
      </c>
      <c r="C1024" s="21"/>
      <c r="D1024" s="21"/>
      <c r="E1024" s="21"/>
      <c r="F1024" s="42" t="s">
        <v>266</v>
      </c>
      <c r="G1024" s="97">
        <v>610</v>
      </c>
      <c r="H1024" s="21" t="s">
        <v>245</v>
      </c>
      <c r="I1024" s="15">
        <v>38000</v>
      </c>
      <c r="J1024" s="15"/>
      <c r="K1024" s="15">
        <f t="shared" si="405"/>
        <v>38000</v>
      </c>
      <c r="L1024" s="130"/>
      <c r="M1024" s="15"/>
      <c r="N1024" s="15"/>
      <c r="O1024" s="15">
        <f t="shared" si="404"/>
        <v>0</v>
      </c>
      <c r="Q1024" s="15">
        <f t="shared" si="402"/>
        <v>38000</v>
      </c>
      <c r="R1024" s="15">
        <f t="shared" si="411"/>
        <v>0</v>
      </c>
      <c r="S1024" s="15">
        <f t="shared" si="412"/>
        <v>38000</v>
      </c>
    </row>
    <row r="1025" spans="2:19" x14ac:dyDescent="0.25">
      <c r="B1025" s="73">
        <f t="shared" si="407"/>
        <v>449</v>
      </c>
      <c r="C1025" s="21"/>
      <c r="D1025" s="21"/>
      <c r="E1025" s="21"/>
      <c r="F1025" s="42" t="s">
        <v>266</v>
      </c>
      <c r="G1025" s="97">
        <v>620</v>
      </c>
      <c r="H1025" s="21" t="s">
        <v>228</v>
      </c>
      <c r="I1025" s="15">
        <v>13781</v>
      </c>
      <c r="J1025" s="15"/>
      <c r="K1025" s="15">
        <f t="shared" si="405"/>
        <v>13781</v>
      </c>
      <c r="L1025" s="130"/>
      <c r="M1025" s="15"/>
      <c r="N1025" s="15"/>
      <c r="O1025" s="15">
        <f t="shared" si="404"/>
        <v>0</v>
      </c>
      <c r="Q1025" s="15">
        <f t="shared" si="402"/>
        <v>13781</v>
      </c>
      <c r="R1025" s="15">
        <f t="shared" si="411"/>
        <v>0</v>
      </c>
      <c r="S1025" s="15">
        <f t="shared" si="412"/>
        <v>13781</v>
      </c>
    </row>
    <row r="1026" spans="2:19" x14ac:dyDescent="0.25">
      <c r="B1026" s="73">
        <f t="shared" si="407"/>
        <v>450</v>
      </c>
      <c r="C1026" s="21"/>
      <c r="D1026" s="21"/>
      <c r="E1026" s="21"/>
      <c r="F1026" s="42" t="s">
        <v>266</v>
      </c>
      <c r="G1026" s="97">
        <v>630</v>
      </c>
      <c r="H1026" s="21" t="s">
        <v>218</v>
      </c>
      <c r="I1026" s="15">
        <f>I1027+I1028+I1029+I1030</f>
        <v>7500</v>
      </c>
      <c r="J1026" s="15">
        <f t="shared" ref="J1026" si="424">J1027+J1028+J1029+J1030</f>
        <v>0</v>
      </c>
      <c r="K1026" s="15">
        <f t="shared" si="405"/>
        <v>7500</v>
      </c>
      <c r="L1026" s="130"/>
      <c r="M1026" s="15"/>
      <c r="N1026" s="15"/>
      <c r="O1026" s="15">
        <f t="shared" si="404"/>
        <v>0</v>
      </c>
      <c r="Q1026" s="15">
        <f t="shared" si="402"/>
        <v>7500</v>
      </c>
      <c r="R1026" s="15">
        <f t="shared" si="411"/>
        <v>0</v>
      </c>
      <c r="S1026" s="15">
        <f t="shared" si="412"/>
        <v>7500</v>
      </c>
    </row>
    <row r="1027" spans="2:19" x14ac:dyDescent="0.25">
      <c r="B1027" s="73">
        <f t="shared" si="407"/>
        <v>451</v>
      </c>
      <c r="C1027" s="9"/>
      <c r="D1027" s="9"/>
      <c r="E1027" s="9"/>
      <c r="F1027" s="43" t="s">
        <v>266</v>
      </c>
      <c r="G1027" s="98">
        <v>632</v>
      </c>
      <c r="H1027" s="9" t="s">
        <v>229</v>
      </c>
      <c r="I1027" s="10">
        <v>2000</v>
      </c>
      <c r="J1027" s="10"/>
      <c r="K1027" s="10">
        <f t="shared" si="405"/>
        <v>2000</v>
      </c>
      <c r="L1027" s="131"/>
      <c r="M1027" s="10"/>
      <c r="N1027" s="10"/>
      <c r="O1027" s="10">
        <f t="shared" si="404"/>
        <v>0</v>
      </c>
      <c r="Q1027" s="10">
        <f t="shared" si="402"/>
        <v>2000</v>
      </c>
      <c r="R1027" s="10">
        <f t="shared" si="411"/>
        <v>0</v>
      </c>
      <c r="S1027" s="10">
        <f t="shared" si="412"/>
        <v>2000</v>
      </c>
    </row>
    <row r="1028" spans="2:19" x14ac:dyDescent="0.25">
      <c r="B1028" s="73">
        <f t="shared" si="407"/>
        <v>452</v>
      </c>
      <c r="C1028" s="9"/>
      <c r="D1028" s="9"/>
      <c r="E1028" s="9"/>
      <c r="F1028" s="43" t="s">
        <v>266</v>
      </c>
      <c r="G1028" s="98">
        <v>633</v>
      </c>
      <c r="H1028" s="9" t="s">
        <v>220</v>
      </c>
      <c r="I1028" s="10">
        <v>500</v>
      </c>
      <c r="J1028" s="10"/>
      <c r="K1028" s="10">
        <f t="shared" si="405"/>
        <v>500</v>
      </c>
      <c r="L1028" s="131"/>
      <c r="M1028" s="10"/>
      <c r="N1028" s="10"/>
      <c r="O1028" s="10">
        <f t="shared" si="404"/>
        <v>0</v>
      </c>
      <c r="Q1028" s="10">
        <f t="shared" si="402"/>
        <v>500</v>
      </c>
      <c r="R1028" s="10">
        <f t="shared" si="411"/>
        <v>0</v>
      </c>
      <c r="S1028" s="10">
        <f t="shared" si="412"/>
        <v>500</v>
      </c>
    </row>
    <row r="1029" spans="2:19" x14ac:dyDescent="0.25">
      <c r="B1029" s="73">
        <f t="shared" si="407"/>
        <v>453</v>
      </c>
      <c r="C1029" s="9"/>
      <c r="D1029" s="9"/>
      <c r="E1029" s="9"/>
      <c r="F1029" s="43" t="s">
        <v>266</v>
      </c>
      <c r="G1029" s="98">
        <v>635</v>
      </c>
      <c r="H1029" s="9" t="s">
        <v>234</v>
      </c>
      <c r="I1029" s="10">
        <v>4000</v>
      </c>
      <c r="J1029" s="10"/>
      <c r="K1029" s="10">
        <f t="shared" si="405"/>
        <v>4000</v>
      </c>
      <c r="L1029" s="131"/>
      <c r="M1029" s="10"/>
      <c r="N1029" s="10"/>
      <c r="O1029" s="10">
        <f t="shared" si="404"/>
        <v>0</v>
      </c>
      <c r="Q1029" s="10">
        <f t="shared" si="402"/>
        <v>4000</v>
      </c>
      <c r="R1029" s="10">
        <f t="shared" si="411"/>
        <v>0</v>
      </c>
      <c r="S1029" s="10">
        <f t="shared" si="412"/>
        <v>4000</v>
      </c>
    </row>
    <row r="1030" spans="2:19" x14ac:dyDescent="0.25">
      <c r="B1030" s="73">
        <f t="shared" si="407"/>
        <v>454</v>
      </c>
      <c r="C1030" s="9"/>
      <c r="D1030" s="9"/>
      <c r="E1030" s="9"/>
      <c r="F1030" s="43" t="s">
        <v>266</v>
      </c>
      <c r="G1030" s="98">
        <v>637</v>
      </c>
      <c r="H1030" s="9" t="s">
        <v>223</v>
      </c>
      <c r="I1030" s="10">
        <v>1000</v>
      </c>
      <c r="J1030" s="10"/>
      <c r="K1030" s="10">
        <f t="shared" si="405"/>
        <v>1000</v>
      </c>
      <c r="L1030" s="131"/>
      <c r="M1030" s="10"/>
      <c r="N1030" s="10"/>
      <c r="O1030" s="10">
        <f t="shared" si="404"/>
        <v>0</v>
      </c>
      <c r="Q1030" s="10">
        <f t="shared" si="402"/>
        <v>1000</v>
      </c>
      <c r="R1030" s="10">
        <f t="shared" si="411"/>
        <v>0</v>
      </c>
      <c r="S1030" s="10">
        <f t="shared" si="412"/>
        <v>1000</v>
      </c>
    </row>
    <row r="1031" spans="2:19" x14ac:dyDescent="0.25">
      <c r="B1031" s="73">
        <f t="shared" si="407"/>
        <v>455</v>
      </c>
      <c r="C1031" s="38"/>
      <c r="D1031" s="38"/>
      <c r="E1031" s="38">
        <v>10</v>
      </c>
      <c r="F1031" s="38"/>
      <c r="G1031" s="95"/>
      <c r="H1031" s="38" t="s">
        <v>171</v>
      </c>
      <c r="I1031" s="39">
        <f>I1032+I1033+I1034+I1038</f>
        <v>55960</v>
      </c>
      <c r="J1031" s="39">
        <f t="shared" ref="J1031" si="425">J1032+J1033+J1034+J1038</f>
        <v>0</v>
      </c>
      <c r="K1031" s="39">
        <f t="shared" si="405"/>
        <v>55960</v>
      </c>
      <c r="L1031" s="138"/>
      <c r="M1031" s="39">
        <v>0</v>
      </c>
      <c r="N1031" s="39">
        <v>0</v>
      </c>
      <c r="O1031" s="39">
        <f t="shared" si="404"/>
        <v>0</v>
      </c>
      <c r="Q1031" s="39">
        <f t="shared" ref="Q1031:Q1094" si="426">I1031+M1031</f>
        <v>55960</v>
      </c>
      <c r="R1031" s="39">
        <f t="shared" si="411"/>
        <v>0</v>
      </c>
      <c r="S1031" s="39">
        <f t="shared" si="412"/>
        <v>55960</v>
      </c>
    </row>
    <row r="1032" spans="2:19" x14ac:dyDescent="0.25">
      <c r="B1032" s="73">
        <f t="shared" ref="B1032:B1095" si="427">B1031+1</f>
        <v>456</v>
      </c>
      <c r="C1032" s="21"/>
      <c r="D1032" s="21"/>
      <c r="E1032" s="21"/>
      <c r="F1032" s="42" t="s">
        <v>266</v>
      </c>
      <c r="G1032" s="97">
        <v>610</v>
      </c>
      <c r="H1032" s="21" t="s">
        <v>245</v>
      </c>
      <c r="I1032" s="15">
        <v>35580</v>
      </c>
      <c r="J1032" s="15"/>
      <c r="K1032" s="15">
        <f t="shared" si="405"/>
        <v>35580</v>
      </c>
      <c r="L1032" s="130"/>
      <c r="M1032" s="15"/>
      <c r="N1032" s="15"/>
      <c r="O1032" s="15">
        <f t="shared" ref="O1032:O1095" si="428">M1032+N1032</f>
        <v>0</v>
      </c>
      <c r="Q1032" s="15">
        <f t="shared" si="426"/>
        <v>35580</v>
      </c>
      <c r="R1032" s="15">
        <f t="shared" si="411"/>
        <v>0</v>
      </c>
      <c r="S1032" s="15">
        <f t="shared" si="412"/>
        <v>35580</v>
      </c>
    </row>
    <row r="1033" spans="2:19" x14ac:dyDescent="0.25">
      <c r="B1033" s="73">
        <f t="shared" si="427"/>
        <v>457</v>
      </c>
      <c r="C1033" s="21"/>
      <c r="D1033" s="21"/>
      <c r="E1033" s="21"/>
      <c r="F1033" s="42" t="s">
        <v>266</v>
      </c>
      <c r="G1033" s="97">
        <v>620</v>
      </c>
      <c r="H1033" s="21" t="s">
        <v>228</v>
      </c>
      <c r="I1033" s="15">
        <v>12970</v>
      </c>
      <c r="J1033" s="15"/>
      <c r="K1033" s="15">
        <f t="shared" si="405"/>
        <v>12970</v>
      </c>
      <c r="L1033" s="130"/>
      <c r="M1033" s="15"/>
      <c r="N1033" s="15"/>
      <c r="O1033" s="15">
        <f t="shared" si="428"/>
        <v>0</v>
      </c>
      <c r="Q1033" s="15">
        <f t="shared" si="426"/>
        <v>12970</v>
      </c>
      <c r="R1033" s="15">
        <f t="shared" si="411"/>
        <v>0</v>
      </c>
      <c r="S1033" s="15">
        <f t="shared" si="412"/>
        <v>12970</v>
      </c>
    </row>
    <row r="1034" spans="2:19" x14ac:dyDescent="0.25">
      <c r="B1034" s="73">
        <f t="shared" si="427"/>
        <v>458</v>
      </c>
      <c r="C1034" s="21"/>
      <c r="D1034" s="21"/>
      <c r="E1034" s="21"/>
      <c r="F1034" s="42" t="s">
        <v>266</v>
      </c>
      <c r="G1034" s="97">
        <v>630</v>
      </c>
      <c r="H1034" s="21" t="s">
        <v>218</v>
      </c>
      <c r="I1034" s="15">
        <f>I1035+I1036+I1037</f>
        <v>5670</v>
      </c>
      <c r="J1034" s="15">
        <f t="shared" ref="J1034" si="429">J1035+J1036+J1037</f>
        <v>0</v>
      </c>
      <c r="K1034" s="15">
        <f t="shared" ref="K1034:K1097" si="430">I1034+J1034</f>
        <v>5670</v>
      </c>
      <c r="L1034" s="130"/>
      <c r="M1034" s="15"/>
      <c r="N1034" s="15"/>
      <c r="O1034" s="15">
        <f t="shared" si="428"/>
        <v>0</v>
      </c>
      <c r="Q1034" s="15">
        <f t="shared" si="426"/>
        <v>5670</v>
      </c>
      <c r="R1034" s="15">
        <f t="shared" si="411"/>
        <v>0</v>
      </c>
      <c r="S1034" s="15">
        <f t="shared" si="412"/>
        <v>5670</v>
      </c>
    </row>
    <row r="1035" spans="2:19" x14ac:dyDescent="0.25">
      <c r="B1035" s="73">
        <f t="shared" si="427"/>
        <v>459</v>
      </c>
      <c r="C1035" s="9"/>
      <c r="D1035" s="9"/>
      <c r="E1035" s="9"/>
      <c r="F1035" s="43" t="s">
        <v>266</v>
      </c>
      <c r="G1035" s="98">
        <v>632</v>
      </c>
      <c r="H1035" s="9" t="s">
        <v>229</v>
      </c>
      <c r="I1035" s="10">
        <v>2000</v>
      </c>
      <c r="J1035" s="10"/>
      <c r="K1035" s="10">
        <f t="shared" si="430"/>
        <v>2000</v>
      </c>
      <c r="L1035" s="131"/>
      <c r="M1035" s="10"/>
      <c r="N1035" s="10"/>
      <c r="O1035" s="10">
        <f t="shared" si="428"/>
        <v>0</v>
      </c>
      <c r="Q1035" s="10">
        <f t="shared" si="426"/>
        <v>2000</v>
      </c>
      <c r="R1035" s="10">
        <f t="shared" si="411"/>
        <v>0</v>
      </c>
      <c r="S1035" s="10">
        <f t="shared" si="412"/>
        <v>2000</v>
      </c>
    </row>
    <row r="1036" spans="2:19" x14ac:dyDescent="0.25">
      <c r="B1036" s="73">
        <f t="shared" si="427"/>
        <v>460</v>
      </c>
      <c r="C1036" s="9"/>
      <c r="D1036" s="9"/>
      <c r="E1036" s="9"/>
      <c r="F1036" s="43" t="s">
        <v>266</v>
      </c>
      <c r="G1036" s="98">
        <v>633</v>
      </c>
      <c r="H1036" s="9" t="s">
        <v>220</v>
      </c>
      <c r="I1036" s="10">
        <v>1670</v>
      </c>
      <c r="J1036" s="10"/>
      <c r="K1036" s="10">
        <f t="shared" si="430"/>
        <v>1670</v>
      </c>
      <c r="L1036" s="131"/>
      <c r="M1036" s="10"/>
      <c r="N1036" s="10"/>
      <c r="O1036" s="10">
        <f t="shared" si="428"/>
        <v>0</v>
      </c>
      <c r="Q1036" s="10">
        <f t="shared" si="426"/>
        <v>1670</v>
      </c>
      <c r="R1036" s="10">
        <f t="shared" si="411"/>
        <v>0</v>
      </c>
      <c r="S1036" s="10">
        <f t="shared" si="412"/>
        <v>1670</v>
      </c>
    </row>
    <row r="1037" spans="2:19" x14ac:dyDescent="0.25">
      <c r="B1037" s="73">
        <f t="shared" si="427"/>
        <v>461</v>
      </c>
      <c r="C1037" s="9"/>
      <c r="D1037" s="9"/>
      <c r="E1037" s="9"/>
      <c r="F1037" s="43" t="s">
        <v>266</v>
      </c>
      <c r="G1037" s="98">
        <v>637</v>
      </c>
      <c r="H1037" s="9" t="s">
        <v>223</v>
      </c>
      <c r="I1037" s="10">
        <v>2000</v>
      </c>
      <c r="J1037" s="10"/>
      <c r="K1037" s="10">
        <f t="shared" si="430"/>
        <v>2000</v>
      </c>
      <c r="L1037" s="131"/>
      <c r="M1037" s="10"/>
      <c r="N1037" s="10"/>
      <c r="O1037" s="10">
        <f t="shared" si="428"/>
        <v>0</v>
      </c>
      <c r="Q1037" s="10">
        <f t="shared" si="426"/>
        <v>2000</v>
      </c>
      <c r="R1037" s="10">
        <f t="shared" si="411"/>
        <v>0</v>
      </c>
      <c r="S1037" s="10">
        <f t="shared" si="412"/>
        <v>2000</v>
      </c>
    </row>
    <row r="1038" spans="2:19" x14ac:dyDescent="0.25">
      <c r="B1038" s="73">
        <f t="shared" si="427"/>
        <v>462</v>
      </c>
      <c r="C1038" s="21"/>
      <c r="D1038" s="21"/>
      <c r="E1038" s="21"/>
      <c r="F1038" s="42" t="s">
        <v>266</v>
      </c>
      <c r="G1038" s="97">
        <v>640</v>
      </c>
      <c r="H1038" s="21" t="s">
        <v>230</v>
      </c>
      <c r="I1038" s="15">
        <v>1740</v>
      </c>
      <c r="J1038" s="15"/>
      <c r="K1038" s="15">
        <f t="shared" si="430"/>
        <v>1740</v>
      </c>
      <c r="L1038" s="130"/>
      <c r="M1038" s="15"/>
      <c r="N1038" s="15"/>
      <c r="O1038" s="15">
        <f t="shared" si="428"/>
        <v>0</v>
      </c>
      <c r="Q1038" s="15">
        <f t="shared" si="426"/>
        <v>1740</v>
      </c>
      <c r="R1038" s="15">
        <f t="shared" si="411"/>
        <v>0</v>
      </c>
      <c r="S1038" s="15">
        <f t="shared" si="412"/>
        <v>1740</v>
      </c>
    </row>
    <row r="1039" spans="2:19" x14ac:dyDescent="0.25">
      <c r="B1039" s="73">
        <f t="shared" si="427"/>
        <v>463</v>
      </c>
      <c r="C1039" s="38"/>
      <c r="D1039" s="38"/>
      <c r="E1039" s="38">
        <v>11</v>
      </c>
      <c r="F1039" s="38"/>
      <c r="G1039" s="95"/>
      <c r="H1039" s="38" t="s">
        <v>172</v>
      </c>
      <c r="I1039" s="39">
        <f>I1040+I1041+I1042+I1046</f>
        <v>117866</v>
      </c>
      <c r="J1039" s="39">
        <f t="shared" ref="J1039" si="431">J1040+J1041+J1042+J1046</f>
        <v>0</v>
      </c>
      <c r="K1039" s="39">
        <f t="shared" si="430"/>
        <v>117866</v>
      </c>
      <c r="L1039" s="138"/>
      <c r="M1039" s="39">
        <v>0</v>
      </c>
      <c r="N1039" s="39">
        <v>0</v>
      </c>
      <c r="O1039" s="39">
        <f t="shared" si="428"/>
        <v>0</v>
      </c>
      <c r="Q1039" s="39">
        <f t="shared" si="426"/>
        <v>117866</v>
      </c>
      <c r="R1039" s="39">
        <f t="shared" si="411"/>
        <v>0</v>
      </c>
      <c r="S1039" s="39">
        <f t="shared" si="412"/>
        <v>117866</v>
      </c>
    </row>
    <row r="1040" spans="2:19" x14ac:dyDescent="0.25">
      <c r="B1040" s="73">
        <f t="shared" si="427"/>
        <v>464</v>
      </c>
      <c r="C1040" s="21"/>
      <c r="D1040" s="21"/>
      <c r="E1040" s="21"/>
      <c r="F1040" s="42" t="s">
        <v>266</v>
      </c>
      <c r="G1040" s="97">
        <v>610</v>
      </c>
      <c r="H1040" s="21" t="s">
        <v>245</v>
      </c>
      <c r="I1040" s="15">
        <v>77698</v>
      </c>
      <c r="J1040" s="15"/>
      <c r="K1040" s="15">
        <f t="shared" si="430"/>
        <v>77698</v>
      </c>
      <c r="L1040" s="130"/>
      <c r="M1040" s="15"/>
      <c r="N1040" s="15"/>
      <c r="O1040" s="15">
        <f t="shared" si="428"/>
        <v>0</v>
      </c>
      <c r="Q1040" s="15">
        <f t="shared" si="426"/>
        <v>77698</v>
      </c>
      <c r="R1040" s="15">
        <f t="shared" si="411"/>
        <v>0</v>
      </c>
      <c r="S1040" s="15">
        <f t="shared" si="412"/>
        <v>77698</v>
      </c>
    </row>
    <row r="1041" spans="2:19" x14ac:dyDescent="0.25">
      <c r="B1041" s="73">
        <f t="shared" si="427"/>
        <v>465</v>
      </c>
      <c r="C1041" s="21"/>
      <c r="D1041" s="21"/>
      <c r="E1041" s="21"/>
      <c r="F1041" s="42" t="s">
        <v>266</v>
      </c>
      <c r="G1041" s="97">
        <v>620</v>
      </c>
      <c r="H1041" s="21" t="s">
        <v>228</v>
      </c>
      <c r="I1041" s="15">
        <v>27171</v>
      </c>
      <c r="J1041" s="15"/>
      <c r="K1041" s="15">
        <f t="shared" si="430"/>
        <v>27171</v>
      </c>
      <c r="L1041" s="130"/>
      <c r="M1041" s="15"/>
      <c r="N1041" s="15"/>
      <c r="O1041" s="15">
        <f t="shared" si="428"/>
        <v>0</v>
      </c>
      <c r="Q1041" s="15">
        <f t="shared" si="426"/>
        <v>27171</v>
      </c>
      <c r="R1041" s="15">
        <f t="shared" si="411"/>
        <v>0</v>
      </c>
      <c r="S1041" s="15">
        <f t="shared" si="412"/>
        <v>27171</v>
      </c>
    </row>
    <row r="1042" spans="2:19" x14ac:dyDescent="0.25">
      <c r="B1042" s="73">
        <f t="shared" si="427"/>
        <v>466</v>
      </c>
      <c r="C1042" s="21"/>
      <c r="D1042" s="21"/>
      <c r="E1042" s="21"/>
      <c r="F1042" s="42" t="s">
        <v>266</v>
      </c>
      <c r="G1042" s="97">
        <v>630</v>
      </c>
      <c r="H1042" s="21" t="s">
        <v>218</v>
      </c>
      <c r="I1042" s="15">
        <f>I1043+I1044+I1045</f>
        <v>11137</v>
      </c>
      <c r="J1042" s="15">
        <f t="shared" ref="J1042" si="432">J1043+J1044+J1045</f>
        <v>0</v>
      </c>
      <c r="K1042" s="15">
        <f t="shared" si="430"/>
        <v>11137</v>
      </c>
      <c r="L1042" s="130"/>
      <c r="M1042" s="15"/>
      <c r="N1042" s="15"/>
      <c r="O1042" s="15">
        <f t="shared" si="428"/>
        <v>0</v>
      </c>
      <c r="Q1042" s="15">
        <f t="shared" si="426"/>
        <v>11137</v>
      </c>
      <c r="R1042" s="15">
        <f t="shared" si="411"/>
        <v>0</v>
      </c>
      <c r="S1042" s="15">
        <f t="shared" si="412"/>
        <v>11137</v>
      </c>
    </row>
    <row r="1043" spans="2:19" x14ac:dyDescent="0.25">
      <c r="B1043" s="73">
        <f t="shared" si="427"/>
        <v>467</v>
      </c>
      <c r="C1043" s="9"/>
      <c r="D1043" s="9"/>
      <c r="E1043" s="9"/>
      <c r="F1043" s="43" t="s">
        <v>266</v>
      </c>
      <c r="G1043" s="98">
        <v>632</v>
      </c>
      <c r="H1043" s="9" t="s">
        <v>229</v>
      </c>
      <c r="I1043" s="10">
        <v>2349</v>
      </c>
      <c r="J1043" s="10"/>
      <c r="K1043" s="10">
        <f t="shared" si="430"/>
        <v>2349</v>
      </c>
      <c r="L1043" s="131"/>
      <c r="M1043" s="10"/>
      <c r="N1043" s="10"/>
      <c r="O1043" s="10">
        <f t="shared" si="428"/>
        <v>0</v>
      </c>
      <c r="Q1043" s="10">
        <f t="shared" si="426"/>
        <v>2349</v>
      </c>
      <c r="R1043" s="10">
        <f t="shared" si="411"/>
        <v>0</v>
      </c>
      <c r="S1043" s="10">
        <f t="shared" si="412"/>
        <v>2349</v>
      </c>
    </row>
    <row r="1044" spans="2:19" x14ac:dyDescent="0.25">
      <c r="B1044" s="73">
        <f t="shared" si="427"/>
        <v>468</v>
      </c>
      <c r="C1044" s="9"/>
      <c r="D1044" s="9"/>
      <c r="E1044" s="9"/>
      <c r="F1044" s="43" t="s">
        <v>266</v>
      </c>
      <c r="G1044" s="98">
        <v>633</v>
      </c>
      <c r="H1044" s="9" t="s">
        <v>220</v>
      </c>
      <c r="I1044" s="10">
        <v>5717</v>
      </c>
      <c r="J1044" s="10"/>
      <c r="K1044" s="10">
        <f t="shared" si="430"/>
        <v>5717</v>
      </c>
      <c r="L1044" s="131"/>
      <c r="M1044" s="10"/>
      <c r="N1044" s="10"/>
      <c r="O1044" s="10">
        <f t="shared" si="428"/>
        <v>0</v>
      </c>
      <c r="Q1044" s="10">
        <f t="shared" si="426"/>
        <v>5717</v>
      </c>
      <c r="R1044" s="10">
        <f t="shared" si="411"/>
        <v>0</v>
      </c>
      <c r="S1044" s="10">
        <f t="shared" si="412"/>
        <v>5717</v>
      </c>
    </row>
    <row r="1045" spans="2:19" x14ac:dyDescent="0.25">
      <c r="B1045" s="73">
        <f t="shared" si="427"/>
        <v>469</v>
      </c>
      <c r="C1045" s="9"/>
      <c r="D1045" s="9"/>
      <c r="E1045" s="9"/>
      <c r="F1045" s="43" t="s">
        <v>266</v>
      </c>
      <c r="G1045" s="98">
        <v>637</v>
      </c>
      <c r="H1045" s="9" t="s">
        <v>223</v>
      </c>
      <c r="I1045" s="10">
        <v>3071</v>
      </c>
      <c r="J1045" s="10"/>
      <c r="K1045" s="10">
        <f t="shared" si="430"/>
        <v>3071</v>
      </c>
      <c r="L1045" s="131"/>
      <c r="M1045" s="10"/>
      <c r="N1045" s="10"/>
      <c r="O1045" s="10">
        <f t="shared" si="428"/>
        <v>0</v>
      </c>
      <c r="Q1045" s="10">
        <f t="shared" si="426"/>
        <v>3071</v>
      </c>
      <c r="R1045" s="10">
        <f t="shared" si="411"/>
        <v>0</v>
      </c>
      <c r="S1045" s="10">
        <f t="shared" si="412"/>
        <v>3071</v>
      </c>
    </row>
    <row r="1046" spans="2:19" x14ac:dyDescent="0.25">
      <c r="B1046" s="73">
        <f t="shared" si="427"/>
        <v>470</v>
      </c>
      <c r="C1046" s="21"/>
      <c r="D1046" s="21"/>
      <c r="E1046" s="21"/>
      <c r="F1046" s="42" t="s">
        <v>266</v>
      </c>
      <c r="G1046" s="97">
        <v>640</v>
      </c>
      <c r="H1046" s="21" t="s">
        <v>230</v>
      </c>
      <c r="I1046" s="15">
        <v>1860</v>
      </c>
      <c r="J1046" s="15"/>
      <c r="K1046" s="15">
        <f t="shared" si="430"/>
        <v>1860</v>
      </c>
      <c r="L1046" s="130"/>
      <c r="M1046" s="15"/>
      <c r="N1046" s="15"/>
      <c r="O1046" s="15">
        <f t="shared" si="428"/>
        <v>0</v>
      </c>
      <c r="Q1046" s="15">
        <f t="shared" si="426"/>
        <v>1860</v>
      </c>
      <c r="R1046" s="15">
        <f t="shared" si="411"/>
        <v>0</v>
      </c>
      <c r="S1046" s="15">
        <f t="shared" si="412"/>
        <v>1860</v>
      </c>
    </row>
    <row r="1047" spans="2:19" x14ac:dyDescent="0.25">
      <c r="B1047" s="73">
        <f t="shared" si="427"/>
        <v>471</v>
      </c>
      <c r="C1047" s="38"/>
      <c r="D1047" s="38"/>
      <c r="E1047" s="38">
        <v>12</v>
      </c>
      <c r="F1047" s="38"/>
      <c r="G1047" s="95"/>
      <c r="H1047" s="38" t="s">
        <v>173</v>
      </c>
      <c r="I1047" s="39">
        <f>I1048+I1049+I1050+I1054</f>
        <v>96405</v>
      </c>
      <c r="J1047" s="39">
        <f t="shared" ref="J1047" si="433">J1048+J1049+J1050+J1054</f>
        <v>0</v>
      </c>
      <c r="K1047" s="39">
        <f t="shared" si="430"/>
        <v>96405</v>
      </c>
      <c r="L1047" s="138"/>
      <c r="M1047" s="39">
        <v>0</v>
      </c>
      <c r="N1047" s="39">
        <v>0</v>
      </c>
      <c r="O1047" s="39">
        <f t="shared" si="428"/>
        <v>0</v>
      </c>
      <c r="Q1047" s="39">
        <f t="shared" si="426"/>
        <v>96405</v>
      </c>
      <c r="R1047" s="39">
        <f t="shared" ref="R1047:R1110" si="434">J1047+N1047</f>
        <v>0</v>
      </c>
      <c r="S1047" s="39">
        <f t="shared" ref="S1047:S1110" si="435">K1047+O1047</f>
        <v>96405</v>
      </c>
    </row>
    <row r="1048" spans="2:19" x14ac:dyDescent="0.25">
      <c r="B1048" s="73">
        <f t="shared" si="427"/>
        <v>472</v>
      </c>
      <c r="C1048" s="21"/>
      <c r="D1048" s="21"/>
      <c r="E1048" s="21"/>
      <c r="F1048" s="42" t="s">
        <v>266</v>
      </c>
      <c r="G1048" s="97">
        <v>610</v>
      </c>
      <c r="H1048" s="21" t="s">
        <v>245</v>
      </c>
      <c r="I1048" s="15">
        <v>64500</v>
      </c>
      <c r="J1048" s="15"/>
      <c r="K1048" s="15">
        <f t="shared" si="430"/>
        <v>64500</v>
      </c>
      <c r="L1048" s="130"/>
      <c r="M1048" s="15"/>
      <c r="N1048" s="15"/>
      <c r="O1048" s="15">
        <f t="shared" si="428"/>
        <v>0</v>
      </c>
      <c r="Q1048" s="15">
        <f t="shared" si="426"/>
        <v>64500</v>
      </c>
      <c r="R1048" s="15">
        <f t="shared" si="434"/>
        <v>0</v>
      </c>
      <c r="S1048" s="15">
        <f t="shared" si="435"/>
        <v>64500</v>
      </c>
    </row>
    <row r="1049" spans="2:19" x14ac:dyDescent="0.25">
      <c r="B1049" s="73">
        <f t="shared" si="427"/>
        <v>473</v>
      </c>
      <c r="C1049" s="21"/>
      <c r="D1049" s="21"/>
      <c r="E1049" s="21"/>
      <c r="F1049" s="42" t="s">
        <v>266</v>
      </c>
      <c r="G1049" s="97">
        <v>620</v>
      </c>
      <c r="H1049" s="21" t="s">
        <v>228</v>
      </c>
      <c r="I1049" s="15">
        <v>22570</v>
      </c>
      <c r="J1049" s="15"/>
      <c r="K1049" s="15">
        <f t="shared" si="430"/>
        <v>22570</v>
      </c>
      <c r="L1049" s="130"/>
      <c r="M1049" s="15"/>
      <c r="N1049" s="15"/>
      <c r="O1049" s="15">
        <f t="shared" si="428"/>
        <v>0</v>
      </c>
      <c r="Q1049" s="15">
        <f t="shared" si="426"/>
        <v>22570</v>
      </c>
      <c r="R1049" s="15">
        <f t="shared" si="434"/>
        <v>0</v>
      </c>
      <c r="S1049" s="15">
        <f t="shared" si="435"/>
        <v>22570</v>
      </c>
    </row>
    <row r="1050" spans="2:19" x14ac:dyDescent="0.25">
      <c r="B1050" s="73">
        <f t="shared" si="427"/>
        <v>474</v>
      </c>
      <c r="C1050" s="21"/>
      <c r="D1050" s="21"/>
      <c r="E1050" s="21"/>
      <c r="F1050" s="42" t="s">
        <v>266</v>
      </c>
      <c r="G1050" s="97">
        <v>630</v>
      </c>
      <c r="H1050" s="21" t="s">
        <v>218</v>
      </c>
      <c r="I1050" s="15">
        <f>I1051+I1052+I1053</f>
        <v>5835</v>
      </c>
      <c r="J1050" s="15">
        <f t="shared" ref="J1050" si="436">J1051+J1052+J1053</f>
        <v>0</v>
      </c>
      <c r="K1050" s="15">
        <f t="shared" si="430"/>
        <v>5835</v>
      </c>
      <c r="L1050" s="130"/>
      <c r="M1050" s="15"/>
      <c r="N1050" s="15"/>
      <c r="O1050" s="15">
        <f t="shared" si="428"/>
        <v>0</v>
      </c>
      <c r="Q1050" s="15">
        <f t="shared" si="426"/>
        <v>5835</v>
      </c>
      <c r="R1050" s="15">
        <f t="shared" si="434"/>
        <v>0</v>
      </c>
      <c r="S1050" s="15">
        <f t="shared" si="435"/>
        <v>5835</v>
      </c>
    </row>
    <row r="1051" spans="2:19" x14ac:dyDescent="0.25">
      <c r="B1051" s="73">
        <f t="shared" si="427"/>
        <v>475</v>
      </c>
      <c r="C1051" s="9"/>
      <c r="D1051" s="9"/>
      <c r="E1051" s="9"/>
      <c r="F1051" s="43" t="s">
        <v>266</v>
      </c>
      <c r="G1051" s="98">
        <v>632</v>
      </c>
      <c r="H1051" s="9" t="s">
        <v>229</v>
      </c>
      <c r="I1051" s="10">
        <v>325</v>
      </c>
      <c r="J1051" s="10"/>
      <c r="K1051" s="10">
        <f t="shared" si="430"/>
        <v>325</v>
      </c>
      <c r="L1051" s="131"/>
      <c r="M1051" s="10"/>
      <c r="N1051" s="10"/>
      <c r="O1051" s="10">
        <f t="shared" si="428"/>
        <v>0</v>
      </c>
      <c r="Q1051" s="10">
        <f t="shared" si="426"/>
        <v>325</v>
      </c>
      <c r="R1051" s="10">
        <f t="shared" si="434"/>
        <v>0</v>
      </c>
      <c r="S1051" s="10">
        <f t="shared" si="435"/>
        <v>325</v>
      </c>
    </row>
    <row r="1052" spans="2:19" x14ac:dyDescent="0.25">
      <c r="B1052" s="73">
        <f t="shared" si="427"/>
        <v>476</v>
      </c>
      <c r="C1052" s="9"/>
      <c r="D1052" s="9"/>
      <c r="E1052" s="9"/>
      <c r="F1052" s="43" t="s">
        <v>266</v>
      </c>
      <c r="G1052" s="98">
        <v>633</v>
      </c>
      <c r="H1052" s="9" t="s">
        <v>220</v>
      </c>
      <c r="I1052" s="10">
        <v>4725</v>
      </c>
      <c r="J1052" s="10"/>
      <c r="K1052" s="10">
        <f t="shared" si="430"/>
        <v>4725</v>
      </c>
      <c r="L1052" s="131"/>
      <c r="M1052" s="10"/>
      <c r="N1052" s="10"/>
      <c r="O1052" s="10">
        <f t="shared" si="428"/>
        <v>0</v>
      </c>
      <c r="Q1052" s="10">
        <f t="shared" si="426"/>
        <v>4725</v>
      </c>
      <c r="R1052" s="10">
        <f t="shared" si="434"/>
        <v>0</v>
      </c>
      <c r="S1052" s="10">
        <f t="shared" si="435"/>
        <v>4725</v>
      </c>
    </row>
    <row r="1053" spans="2:19" x14ac:dyDescent="0.25">
      <c r="B1053" s="73">
        <f t="shared" si="427"/>
        <v>477</v>
      </c>
      <c r="C1053" s="9"/>
      <c r="D1053" s="9"/>
      <c r="E1053" s="9"/>
      <c r="F1053" s="43" t="s">
        <v>266</v>
      </c>
      <c r="G1053" s="98">
        <v>637</v>
      </c>
      <c r="H1053" s="9" t="s">
        <v>223</v>
      </c>
      <c r="I1053" s="10">
        <v>785</v>
      </c>
      <c r="J1053" s="10"/>
      <c r="K1053" s="10">
        <f t="shared" si="430"/>
        <v>785</v>
      </c>
      <c r="L1053" s="131"/>
      <c r="M1053" s="10"/>
      <c r="N1053" s="10"/>
      <c r="O1053" s="10">
        <f t="shared" si="428"/>
        <v>0</v>
      </c>
      <c r="Q1053" s="10">
        <f t="shared" si="426"/>
        <v>785</v>
      </c>
      <c r="R1053" s="10">
        <f t="shared" si="434"/>
        <v>0</v>
      </c>
      <c r="S1053" s="10">
        <f t="shared" si="435"/>
        <v>785</v>
      </c>
    </row>
    <row r="1054" spans="2:19" x14ac:dyDescent="0.25">
      <c r="B1054" s="73">
        <f t="shared" si="427"/>
        <v>478</v>
      </c>
      <c r="C1054" s="21"/>
      <c r="D1054" s="21"/>
      <c r="E1054" s="21"/>
      <c r="F1054" s="42" t="s">
        <v>266</v>
      </c>
      <c r="G1054" s="97">
        <v>640</v>
      </c>
      <c r="H1054" s="21" t="s">
        <v>230</v>
      </c>
      <c r="I1054" s="15">
        <v>3500</v>
      </c>
      <c r="J1054" s="15"/>
      <c r="K1054" s="15">
        <f t="shared" si="430"/>
        <v>3500</v>
      </c>
      <c r="L1054" s="130"/>
      <c r="M1054" s="15"/>
      <c r="N1054" s="15"/>
      <c r="O1054" s="15">
        <f t="shared" si="428"/>
        <v>0</v>
      </c>
      <c r="Q1054" s="15">
        <f t="shared" si="426"/>
        <v>3500</v>
      </c>
      <c r="R1054" s="15">
        <f t="shared" si="434"/>
        <v>0</v>
      </c>
      <c r="S1054" s="15">
        <f t="shared" si="435"/>
        <v>3500</v>
      </c>
    </row>
    <row r="1055" spans="2:19" x14ac:dyDescent="0.25">
      <c r="B1055" s="73">
        <f t="shared" si="427"/>
        <v>479</v>
      </c>
      <c r="C1055" s="38"/>
      <c r="D1055" s="38"/>
      <c r="E1055" s="38">
        <v>13</v>
      </c>
      <c r="F1055" s="38"/>
      <c r="G1055" s="95"/>
      <c r="H1055" s="38" t="s">
        <v>174</v>
      </c>
      <c r="I1055" s="39">
        <f>I1056+I1057+I1058+I1062</f>
        <v>40140</v>
      </c>
      <c r="J1055" s="39">
        <f t="shared" ref="J1055" si="437">J1056+J1057+J1058+J1062</f>
        <v>0</v>
      </c>
      <c r="K1055" s="39">
        <f t="shared" si="430"/>
        <v>40140</v>
      </c>
      <c r="L1055" s="138"/>
      <c r="M1055" s="39">
        <v>0</v>
      </c>
      <c r="N1055" s="39">
        <v>0</v>
      </c>
      <c r="O1055" s="39">
        <f t="shared" si="428"/>
        <v>0</v>
      </c>
      <c r="Q1055" s="39">
        <f t="shared" si="426"/>
        <v>40140</v>
      </c>
      <c r="R1055" s="39">
        <f t="shared" si="434"/>
        <v>0</v>
      </c>
      <c r="S1055" s="39">
        <f t="shared" si="435"/>
        <v>40140</v>
      </c>
    </row>
    <row r="1056" spans="2:19" x14ac:dyDescent="0.25">
      <c r="B1056" s="73">
        <f t="shared" si="427"/>
        <v>480</v>
      </c>
      <c r="C1056" s="21"/>
      <c r="D1056" s="21"/>
      <c r="E1056" s="21"/>
      <c r="F1056" s="42" t="s">
        <v>266</v>
      </c>
      <c r="G1056" s="97">
        <v>610</v>
      </c>
      <c r="H1056" s="21" t="s">
        <v>245</v>
      </c>
      <c r="I1056" s="15">
        <v>25312</v>
      </c>
      <c r="J1056" s="15"/>
      <c r="K1056" s="15">
        <f t="shared" si="430"/>
        <v>25312</v>
      </c>
      <c r="L1056" s="130"/>
      <c r="M1056" s="15"/>
      <c r="N1056" s="15"/>
      <c r="O1056" s="15">
        <f t="shared" si="428"/>
        <v>0</v>
      </c>
      <c r="Q1056" s="15">
        <f t="shared" si="426"/>
        <v>25312</v>
      </c>
      <c r="R1056" s="15">
        <f t="shared" si="434"/>
        <v>0</v>
      </c>
      <c r="S1056" s="15">
        <f t="shared" si="435"/>
        <v>25312</v>
      </c>
    </row>
    <row r="1057" spans="2:19" x14ac:dyDescent="0.25">
      <c r="B1057" s="73">
        <f t="shared" si="427"/>
        <v>481</v>
      </c>
      <c r="C1057" s="21"/>
      <c r="D1057" s="21"/>
      <c r="E1057" s="21"/>
      <c r="F1057" s="42" t="s">
        <v>266</v>
      </c>
      <c r="G1057" s="97">
        <v>620</v>
      </c>
      <c r="H1057" s="21" t="s">
        <v>228</v>
      </c>
      <c r="I1057" s="15">
        <v>8850</v>
      </c>
      <c r="J1057" s="15"/>
      <c r="K1057" s="15">
        <f t="shared" si="430"/>
        <v>8850</v>
      </c>
      <c r="L1057" s="130"/>
      <c r="M1057" s="15"/>
      <c r="N1057" s="15"/>
      <c r="O1057" s="15">
        <f t="shared" si="428"/>
        <v>0</v>
      </c>
      <c r="Q1057" s="15">
        <f t="shared" si="426"/>
        <v>8850</v>
      </c>
      <c r="R1057" s="15">
        <f t="shared" si="434"/>
        <v>0</v>
      </c>
      <c r="S1057" s="15">
        <f t="shared" si="435"/>
        <v>8850</v>
      </c>
    </row>
    <row r="1058" spans="2:19" x14ac:dyDescent="0.25">
      <c r="B1058" s="73">
        <f t="shared" si="427"/>
        <v>482</v>
      </c>
      <c r="C1058" s="21"/>
      <c r="D1058" s="21"/>
      <c r="E1058" s="21"/>
      <c r="F1058" s="42" t="s">
        <v>266</v>
      </c>
      <c r="G1058" s="97">
        <v>630</v>
      </c>
      <c r="H1058" s="21" t="s">
        <v>218</v>
      </c>
      <c r="I1058" s="15">
        <f>I1059+I1060+I1061</f>
        <v>5928</v>
      </c>
      <c r="J1058" s="15">
        <f t="shared" ref="J1058" si="438">J1059+J1060+J1061</f>
        <v>0</v>
      </c>
      <c r="K1058" s="15">
        <f t="shared" si="430"/>
        <v>5928</v>
      </c>
      <c r="L1058" s="130"/>
      <c r="M1058" s="15"/>
      <c r="N1058" s="15"/>
      <c r="O1058" s="15">
        <f t="shared" si="428"/>
        <v>0</v>
      </c>
      <c r="Q1058" s="15">
        <f t="shared" si="426"/>
        <v>5928</v>
      </c>
      <c r="R1058" s="15">
        <f t="shared" si="434"/>
        <v>0</v>
      </c>
      <c r="S1058" s="15">
        <f t="shared" si="435"/>
        <v>5928</v>
      </c>
    </row>
    <row r="1059" spans="2:19" x14ac:dyDescent="0.25">
      <c r="B1059" s="73">
        <f t="shared" si="427"/>
        <v>483</v>
      </c>
      <c r="C1059" s="9"/>
      <c r="D1059" s="9"/>
      <c r="E1059" s="9"/>
      <c r="F1059" s="43" t="s">
        <v>266</v>
      </c>
      <c r="G1059" s="98">
        <v>632</v>
      </c>
      <c r="H1059" s="9" t="s">
        <v>229</v>
      </c>
      <c r="I1059" s="10">
        <v>5110</v>
      </c>
      <c r="J1059" s="10"/>
      <c r="K1059" s="10">
        <f t="shared" si="430"/>
        <v>5110</v>
      </c>
      <c r="L1059" s="131"/>
      <c r="M1059" s="10"/>
      <c r="N1059" s="10"/>
      <c r="O1059" s="10">
        <f t="shared" si="428"/>
        <v>0</v>
      </c>
      <c r="Q1059" s="10">
        <f t="shared" si="426"/>
        <v>5110</v>
      </c>
      <c r="R1059" s="10">
        <f t="shared" si="434"/>
        <v>0</v>
      </c>
      <c r="S1059" s="10">
        <f t="shared" si="435"/>
        <v>5110</v>
      </c>
    </row>
    <row r="1060" spans="2:19" x14ac:dyDescent="0.25">
      <c r="B1060" s="73">
        <f t="shared" si="427"/>
        <v>484</v>
      </c>
      <c r="C1060" s="9"/>
      <c r="D1060" s="9"/>
      <c r="E1060" s="9"/>
      <c r="F1060" s="43" t="s">
        <v>266</v>
      </c>
      <c r="G1060" s="98">
        <v>633</v>
      </c>
      <c r="H1060" s="9" t="s">
        <v>220</v>
      </c>
      <c r="I1060" s="10">
        <v>155</v>
      </c>
      <c r="J1060" s="10"/>
      <c r="K1060" s="10">
        <f t="shared" si="430"/>
        <v>155</v>
      </c>
      <c r="L1060" s="131"/>
      <c r="M1060" s="10"/>
      <c r="N1060" s="10"/>
      <c r="O1060" s="10">
        <f t="shared" si="428"/>
        <v>0</v>
      </c>
      <c r="Q1060" s="10">
        <f t="shared" si="426"/>
        <v>155</v>
      </c>
      <c r="R1060" s="10">
        <f t="shared" si="434"/>
        <v>0</v>
      </c>
      <c r="S1060" s="10">
        <f t="shared" si="435"/>
        <v>155</v>
      </c>
    </row>
    <row r="1061" spans="2:19" x14ac:dyDescent="0.25">
      <c r="B1061" s="73">
        <f t="shared" si="427"/>
        <v>485</v>
      </c>
      <c r="C1061" s="9"/>
      <c r="D1061" s="9"/>
      <c r="E1061" s="9"/>
      <c r="F1061" s="43" t="s">
        <v>266</v>
      </c>
      <c r="G1061" s="98">
        <v>637</v>
      </c>
      <c r="H1061" s="9" t="s">
        <v>223</v>
      </c>
      <c r="I1061" s="10">
        <v>663</v>
      </c>
      <c r="J1061" s="10"/>
      <c r="K1061" s="10">
        <f t="shared" si="430"/>
        <v>663</v>
      </c>
      <c r="L1061" s="131"/>
      <c r="M1061" s="10"/>
      <c r="N1061" s="10"/>
      <c r="O1061" s="10">
        <f t="shared" si="428"/>
        <v>0</v>
      </c>
      <c r="Q1061" s="10">
        <f t="shared" si="426"/>
        <v>663</v>
      </c>
      <c r="R1061" s="10">
        <f t="shared" si="434"/>
        <v>0</v>
      </c>
      <c r="S1061" s="10">
        <f t="shared" si="435"/>
        <v>663</v>
      </c>
    </row>
    <row r="1062" spans="2:19" x14ac:dyDescent="0.25">
      <c r="B1062" s="73">
        <f t="shared" si="427"/>
        <v>486</v>
      </c>
      <c r="C1062" s="21"/>
      <c r="D1062" s="21"/>
      <c r="E1062" s="21"/>
      <c r="F1062" s="42" t="s">
        <v>266</v>
      </c>
      <c r="G1062" s="97">
        <v>640</v>
      </c>
      <c r="H1062" s="21" t="s">
        <v>230</v>
      </c>
      <c r="I1062" s="15">
        <v>50</v>
      </c>
      <c r="J1062" s="15"/>
      <c r="K1062" s="15">
        <f t="shared" si="430"/>
        <v>50</v>
      </c>
      <c r="L1062" s="130"/>
      <c r="M1062" s="15"/>
      <c r="N1062" s="15"/>
      <c r="O1062" s="15">
        <f t="shared" si="428"/>
        <v>0</v>
      </c>
      <c r="Q1062" s="15">
        <f t="shared" si="426"/>
        <v>50</v>
      </c>
      <c r="R1062" s="15">
        <f t="shared" si="434"/>
        <v>0</v>
      </c>
      <c r="S1062" s="15">
        <f t="shared" si="435"/>
        <v>50</v>
      </c>
    </row>
    <row r="1063" spans="2:19" x14ac:dyDescent="0.25">
      <c r="B1063" s="73">
        <f t="shared" si="427"/>
        <v>487</v>
      </c>
      <c r="C1063" s="38"/>
      <c r="D1063" s="38"/>
      <c r="E1063" s="38">
        <v>14</v>
      </c>
      <c r="F1063" s="38"/>
      <c r="G1063" s="95"/>
      <c r="H1063" s="38" t="s">
        <v>175</v>
      </c>
      <c r="I1063" s="39">
        <f>I1064+I1065+I1066+I1073</f>
        <v>893730</v>
      </c>
      <c r="J1063" s="39">
        <f t="shared" ref="J1063" si="439">J1064+J1065+J1066+J1073</f>
        <v>0</v>
      </c>
      <c r="K1063" s="39">
        <f t="shared" si="430"/>
        <v>893730</v>
      </c>
      <c r="L1063" s="138"/>
      <c r="M1063" s="39">
        <v>0</v>
      </c>
      <c r="N1063" s="39">
        <v>0</v>
      </c>
      <c r="O1063" s="39">
        <f t="shared" si="428"/>
        <v>0</v>
      </c>
      <c r="Q1063" s="39">
        <f t="shared" si="426"/>
        <v>893730</v>
      </c>
      <c r="R1063" s="39">
        <f t="shared" si="434"/>
        <v>0</v>
      </c>
      <c r="S1063" s="39">
        <f t="shared" si="435"/>
        <v>893730</v>
      </c>
    </row>
    <row r="1064" spans="2:19" x14ac:dyDescent="0.25">
      <c r="B1064" s="73">
        <f t="shared" si="427"/>
        <v>488</v>
      </c>
      <c r="C1064" s="21"/>
      <c r="D1064" s="21"/>
      <c r="E1064" s="21"/>
      <c r="F1064" s="42" t="s">
        <v>266</v>
      </c>
      <c r="G1064" s="97">
        <v>610</v>
      </c>
      <c r="H1064" s="21" t="s">
        <v>245</v>
      </c>
      <c r="I1064" s="15">
        <v>580700</v>
      </c>
      <c r="J1064" s="15"/>
      <c r="K1064" s="15">
        <f t="shared" si="430"/>
        <v>580700</v>
      </c>
      <c r="L1064" s="130"/>
      <c r="M1064" s="15"/>
      <c r="N1064" s="15"/>
      <c r="O1064" s="15">
        <f t="shared" si="428"/>
        <v>0</v>
      </c>
      <c r="Q1064" s="15">
        <f t="shared" si="426"/>
        <v>580700</v>
      </c>
      <c r="R1064" s="15">
        <f t="shared" si="434"/>
        <v>0</v>
      </c>
      <c r="S1064" s="15">
        <f t="shared" si="435"/>
        <v>580700</v>
      </c>
    </row>
    <row r="1065" spans="2:19" x14ac:dyDescent="0.25">
      <c r="B1065" s="73">
        <f t="shared" si="427"/>
        <v>489</v>
      </c>
      <c r="C1065" s="21"/>
      <c r="D1065" s="21"/>
      <c r="E1065" s="21"/>
      <c r="F1065" s="42" t="s">
        <v>266</v>
      </c>
      <c r="G1065" s="97">
        <v>620</v>
      </c>
      <c r="H1065" s="21" t="s">
        <v>228</v>
      </c>
      <c r="I1065" s="15">
        <v>202800</v>
      </c>
      <c r="J1065" s="15"/>
      <c r="K1065" s="15">
        <f t="shared" si="430"/>
        <v>202800</v>
      </c>
      <c r="L1065" s="130"/>
      <c r="M1065" s="15"/>
      <c r="N1065" s="15"/>
      <c r="O1065" s="15">
        <f t="shared" si="428"/>
        <v>0</v>
      </c>
      <c r="Q1065" s="15">
        <f t="shared" si="426"/>
        <v>202800</v>
      </c>
      <c r="R1065" s="15">
        <f t="shared" si="434"/>
        <v>0</v>
      </c>
      <c r="S1065" s="15">
        <f t="shared" si="435"/>
        <v>202800</v>
      </c>
    </row>
    <row r="1066" spans="2:19" x14ac:dyDescent="0.25">
      <c r="B1066" s="73">
        <f t="shared" si="427"/>
        <v>490</v>
      </c>
      <c r="C1066" s="21"/>
      <c r="D1066" s="21"/>
      <c r="E1066" s="21"/>
      <c r="F1066" s="42" t="s">
        <v>266</v>
      </c>
      <c r="G1066" s="97">
        <v>630</v>
      </c>
      <c r="H1066" s="21" t="s">
        <v>218</v>
      </c>
      <c r="I1066" s="15">
        <f>I1067+I1068+I1069+I1070+I1071+I1072</f>
        <v>104730</v>
      </c>
      <c r="J1066" s="15">
        <f t="shared" ref="J1066" si="440">J1067+J1068+J1069+J1070+J1071+J1072</f>
        <v>0</v>
      </c>
      <c r="K1066" s="15">
        <f t="shared" si="430"/>
        <v>104730</v>
      </c>
      <c r="L1066" s="130"/>
      <c r="M1066" s="15"/>
      <c r="N1066" s="15"/>
      <c r="O1066" s="15">
        <f t="shared" si="428"/>
        <v>0</v>
      </c>
      <c r="Q1066" s="15">
        <f t="shared" si="426"/>
        <v>104730</v>
      </c>
      <c r="R1066" s="15">
        <f t="shared" si="434"/>
        <v>0</v>
      </c>
      <c r="S1066" s="15">
        <f t="shared" si="435"/>
        <v>104730</v>
      </c>
    </row>
    <row r="1067" spans="2:19" x14ac:dyDescent="0.25">
      <c r="B1067" s="73">
        <f t="shared" si="427"/>
        <v>491</v>
      </c>
      <c r="C1067" s="9"/>
      <c r="D1067" s="9"/>
      <c r="E1067" s="9"/>
      <c r="F1067" s="43" t="s">
        <v>266</v>
      </c>
      <c r="G1067" s="98">
        <v>631</v>
      </c>
      <c r="H1067" s="9" t="s">
        <v>219</v>
      </c>
      <c r="I1067" s="10">
        <v>400</v>
      </c>
      <c r="J1067" s="10"/>
      <c r="K1067" s="10">
        <f t="shared" si="430"/>
        <v>400</v>
      </c>
      <c r="L1067" s="131"/>
      <c r="M1067" s="10"/>
      <c r="N1067" s="10"/>
      <c r="O1067" s="10">
        <f t="shared" si="428"/>
        <v>0</v>
      </c>
      <c r="Q1067" s="10">
        <f t="shared" si="426"/>
        <v>400</v>
      </c>
      <c r="R1067" s="10">
        <f t="shared" si="434"/>
        <v>0</v>
      </c>
      <c r="S1067" s="10">
        <f t="shared" si="435"/>
        <v>400</v>
      </c>
    </row>
    <row r="1068" spans="2:19" x14ac:dyDescent="0.25">
      <c r="B1068" s="73">
        <f t="shared" si="427"/>
        <v>492</v>
      </c>
      <c r="C1068" s="9"/>
      <c r="D1068" s="9"/>
      <c r="E1068" s="9"/>
      <c r="F1068" s="43" t="s">
        <v>266</v>
      </c>
      <c r="G1068" s="98">
        <v>632</v>
      </c>
      <c r="H1068" s="9" t="s">
        <v>229</v>
      </c>
      <c r="I1068" s="10">
        <v>30500</v>
      </c>
      <c r="J1068" s="10"/>
      <c r="K1068" s="10">
        <f t="shared" si="430"/>
        <v>30500</v>
      </c>
      <c r="L1068" s="131"/>
      <c r="M1068" s="10"/>
      <c r="N1068" s="10"/>
      <c r="O1068" s="10">
        <f t="shared" si="428"/>
        <v>0</v>
      </c>
      <c r="Q1068" s="10">
        <f t="shared" si="426"/>
        <v>30500</v>
      </c>
      <c r="R1068" s="10">
        <f t="shared" si="434"/>
        <v>0</v>
      </c>
      <c r="S1068" s="10">
        <f t="shared" si="435"/>
        <v>30500</v>
      </c>
    </row>
    <row r="1069" spans="2:19" x14ac:dyDescent="0.25">
      <c r="B1069" s="73">
        <f t="shared" si="427"/>
        <v>493</v>
      </c>
      <c r="C1069" s="9"/>
      <c r="D1069" s="9"/>
      <c r="E1069" s="9"/>
      <c r="F1069" s="43" t="s">
        <v>266</v>
      </c>
      <c r="G1069" s="98">
        <v>633</v>
      </c>
      <c r="H1069" s="9" t="s">
        <v>220</v>
      </c>
      <c r="I1069" s="10">
        <v>24500</v>
      </c>
      <c r="J1069" s="10"/>
      <c r="K1069" s="10">
        <f t="shared" si="430"/>
        <v>24500</v>
      </c>
      <c r="L1069" s="131"/>
      <c r="M1069" s="10"/>
      <c r="N1069" s="10"/>
      <c r="O1069" s="10">
        <f t="shared" si="428"/>
        <v>0</v>
      </c>
      <c r="Q1069" s="10">
        <f t="shared" si="426"/>
        <v>24500</v>
      </c>
      <c r="R1069" s="10">
        <f t="shared" si="434"/>
        <v>0</v>
      </c>
      <c r="S1069" s="10">
        <f t="shared" si="435"/>
        <v>24500</v>
      </c>
    </row>
    <row r="1070" spans="2:19" x14ac:dyDescent="0.25">
      <c r="B1070" s="73">
        <f t="shared" si="427"/>
        <v>494</v>
      </c>
      <c r="C1070" s="9"/>
      <c r="D1070" s="9"/>
      <c r="E1070" s="9"/>
      <c r="F1070" s="43" t="s">
        <v>266</v>
      </c>
      <c r="G1070" s="98">
        <v>635</v>
      </c>
      <c r="H1070" s="9" t="s">
        <v>234</v>
      </c>
      <c r="I1070" s="10">
        <v>6200</v>
      </c>
      <c r="J1070" s="10"/>
      <c r="K1070" s="10">
        <f t="shared" si="430"/>
        <v>6200</v>
      </c>
      <c r="L1070" s="131"/>
      <c r="M1070" s="10"/>
      <c r="N1070" s="10"/>
      <c r="O1070" s="10">
        <f t="shared" si="428"/>
        <v>0</v>
      </c>
      <c r="Q1070" s="10">
        <f t="shared" si="426"/>
        <v>6200</v>
      </c>
      <c r="R1070" s="10">
        <f t="shared" si="434"/>
        <v>0</v>
      </c>
      <c r="S1070" s="10">
        <f t="shared" si="435"/>
        <v>6200</v>
      </c>
    </row>
    <row r="1071" spans="2:19" x14ac:dyDescent="0.25">
      <c r="B1071" s="73">
        <f t="shared" si="427"/>
        <v>495</v>
      </c>
      <c r="C1071" s="9"/>
      <c r="D1071" s="9"/>
      <c r="E1071" s="9"/>
      <c r="F1071" s="43" t="s">
        <v>266</v>
      </c>
      <c r="G1071" s="98">
        <v>636</v>
      </c>
      <c r="H1071" s="9" t="s">
        <v>222</v>
      </c>
      <c r="I1071" s="10">
        <v>200</v>
      </c>
      <c r="J1071" s="10"/>
      <c r="K1071" s="10">
        <f t="shared" si="430"/>
        <v>200</v>
      </c>
      <c r="L1071" s="131"/>
      <c r="M1071" s="10"/>
      <c r="N1071" s="10"/>
      <c r="O1071" s="10">
        <f t="shared" si="428"/>
        <v>0</v>
      </c>
      <c r="Q1071" s="10">
        <f t="shared" si="426"/>
        <v>200</v>
      </c>
      <c r="R1071" s="10">
        <f t="shared" si="434"/>
        <v>0</v>
      </c>
      <c r="S1071" s="10">
        <f t="shared" si="435"/>
        <v>200</v>
      </c>
    </row>
    <row r="1072" spans="2:19" x14ac:dyDescent="0.25">
      <c r="B1072" s="73">
        <f t="shared" si="427"/>
        <v>496</v>
      </c>
      <c r="C1072" s="9"/>
      <c r="D1072" s="9"/>
      <c r="E1072" s="9"/>
      <c r="F1072" s="43" t="s">
        <v>266</v>
      </c>
      <c r="G1072" s="98">
        <v>637</v>
      </c>
      <c r="H1072" s="9" t="s">
        <v>223</v>
      </c>
      <c r="I1072" s="10">
        <v>42930</v>
      </c>
      <c r="J1072" s="10"/>
      <c r="K1072" s="10">
        <f t="shared" si="430"/>
        <v>42930</v>
      </c>
      <c r="L1072" s="131"/>
      <c r="M1072" s="10"/>
      <c r="N1072" s="10"/>
      <c r="O1072" s="10">
        <f t="shared" si="428"/>
        <v>0</v>
      </c>
      <c r="Q1072" s="10">
        <f t="shared" si="426"/>
        <v>42930</v>
      </c>
      <c r="R1072" s="10">
        <f t="shared" si="434"/>
        <v>0</v>
      </c>
      <c r="S1072" s="10">
        <f t="shared" si="435"/>
        <v>42930</v>
      </c>
    </row>
    <row r="1073" spans="2:19" x14ac:dyDescent="0.25">
      <c r="B1073" s="73">
        <f t="shared" si="427"/>
        <v>497</v>
      </c>
      <c r="C1073" s="21"/>
      <c r="D1073" s="21"/>
      <c r="E1073" s="21"/>
      <c r="F1073" s="42" t="s">
        <v>266</v>
      </c>
      <c r="G1073" s="97">
        <v>640</v>
      </c>
      <c r="H1073" s="21" t="s">
        <v>230</v>
      </c>
      <c r="I1073" s="15">
        <v>5500</v>
      </c>
      <c r="J1073" s="15"/>
      <c r="K1073" s="15">
        <f t="shared" si="430"/>
        <v>5500</v>
      </c>
      <c r="L1073" s="130"/>
      <c r="M1073" s="15"/>
      <c r="N1073" s="15"/>
      <c r="O1073" s="15">
        <f t="shared" si="428"/>
        <v>0</v>
      </c>
      <c r="Q1073" s="15">
        <f t="shared" si="426"/>
        <v>5500</v>
      </c>
      <c r="R1073" s="15">
        <f t="shared" si="434"/>
        <v>0</v>
      </c>
      <c r="S1073" s="15">
        <f t="shared" si="435"/>
        <v>5500</v>
      </c>
    </row>
    <row r="1074" spans="2:19" ht="15.75" x14ac:dyDescent="0.25">
      <c r="B1074" s="73">
        <f t="shared" si="427"/>
        <v>498</v>
      </c>
      <c r="C1074" s="34">
        <v>4</v>
      </c>
      <c r="D1074" s="227" t="s">
        <v>311</v>
      </c>
      <c r="E1074" s="228"/>
      <c r="F1074" s="228"/>
      <c r="G1074" s="228"/>
      <c r="H1074" s="229"/>
      <c r="I1074" s="35">
        <f>I1075+I1082+I1183+I1200+I1217+I1222+I1237+I1254+I1273+I1293</f>
        <v>1301371</v>
      </c>
      <c r="J1074" s="35">
        <f t="shared" ref="J1074" si="441">J1075+J1082+J1183+J1200+J1217+J1222+J1237+J1254+J1273+J1293</f>
        <v>0</v>
      </c>
      <c r="K1074" s="35">
        <f t="shared" si="430"/>
        <v>1301371</v>
      </c>
      <c r="L1074" s="135"/>
      <c r="M1074" s="35">
        <f>M1082+M1183+M1200+M1217+M1222+M1237+M1254+M1273+M1293</f>
        <v>68000</v>
      </c>
      <c r="N1074" s="35">
        <f t="shared" ref="N1074" si="442">N1082+N1183+N1200+N1217+N1222+N1237+N1254+N1273+N1293</f>
        <v>0</v>
      </c>
      <c r="O1074" s="35">
        <f t="shared" si="428"/>
        <v>68000</v>
      </c>
      <c r="Q1074" s="35">
        <f t="shared" si="426"/>
        <v>1369371</v>
      </c>
      <c r="R1074" s="35">
        <f t="shared" si="434"/>
        <v>0</v>
      </c>
      <c r="S1074" s="35">
        <f t="shared" si="435"/>
        <v>1369371</v>
      </c>
    </row>
    <row r="1075" spans="2:19" x14ac:dyDescent="0.25">
      <c r="B1075" s="73">
        <f t="shared" si="427"/>
        <v>499</v>
      </c>
      <c r="C1075" s="21"/>
      <c r="D1075" s="21"/>
      <c r="E1075" s="21"/>
      <c r="F1075" s="42" t="s">
        <v>312</v>
      </c>
      <c r="G1075" s="97">
        <v>640</v>
      </c>
      <c r="H1075" s="21" t="s">
        <v>230</v>
      </c>
      <c r="I1075" s="15">
        <f>I1076</f>
        <v>65783</v>
      </c>
      <c r="J1075" s="15">
        <f t="shared" ref="J1075" si="443">J1076</f>
        <v>0</v>
      </c>
      <c r="K1075" s="15">
        <f t="shared" si="430"/>
        <v>65783</v>
      </c>
      <c r="L1075" s="130"/>
      <c r="M1075" s="15"/>
      <c r="N1075" s="15"/>
      <c r="O1075" s="15">
        <f t="shared" si="428"/>
        <v>0</v>
      </c>
      <c r="Q1075" s="15">
        <f t="shared" si="426"/>
        <v>65783</v>
      </c>
      <c r="R1075" s="15">
        <f t="shared" si="434"/>
        <v>0</v>
      </c>
      <c r="S1075" s="15">
        <f t="shared" si="435"/>
        <v>65783</v>
      </c>
    </row>
    <row r="1076" spans="2:19" x14ac:dyDescent="0.25">
      <c r="B1076" s="73">
        <f t="shared" si="427"/>
        <v>500</v>
      </c>
      <c r="C1076" s="9"/>
      <c r="D1076" s="9"/>
      <c r="E1076" s="9"/>
      <c r="F1076" s="43" t="s">
        <v>312</v>
      </c>
      <c r="G1076" s="98">
        <v>642</v>
      </c>
      <c r="H1076" s="9" t="s">
        <v>231</v>
      </c>
      <c r="I1076" s="10">
        <f>SUM(I1077:I1081)</f>
        <v>65783</v>
      </c>
      <c r="J1076" s="10">
        <f t="shared" ref="J1076" si="444">SUM(J1077:J1081)</f>
        <v>0</v>
      </c>
      <c r="K1076" s="10">
        <f t="shared" si="430"/>
        <v>65783</v>
      </c>
      <c r="L1076" s="131"/>
      <c r="M1076" s="10"/>
      <c r="N1076" s="10"/>
      <c r="O1076" s="10">
        <f t="shared" si="428"/>
        <v>0</v>
      </c>
      <c r="Q1076" s="10">
        <f t="shared" si="426"/>
        <v>65783</v>
      </c>
      <c r="R1076" s="10">
        <f t="shared" si="434"/>
        <v>0</v>
      </c>
      <c r="S1076" s="10">
        <f t="shared" si="435"/>
        <v>65783</v>
      </c>
    </row>
    <row r="1077" spans="2:19" x14ac:dyDescent="0.25">
      <c r="B1077" s="73">
        <f t="shared" si="427"/>
        <v>501</v>
      </c>
      <c r="C1077" s="12"/>
      <c r="D1077" s="12"/>
      <c r="E1077" s="12"/>
      <c r="F1077" s="12"/>
      <c r="G1077" s="99"/>
      <c r="H1077" s="12" t="s">
        <v>471</v>
      </c>
      <c r="I1077" s="13">
        <v>26007</v>
      </c>
      <c r="J1077" s="13"/>
      <c r="K1077" s="13">
        <f t="shared" si="430"/>
        <v>26007</v>
      </c>
      <c r="L1077" s="132"/>
      <c r="M1077" s="13"/>
      <c r="N1077" s="13"/>
      <c r="O1077" s="13">
        <f t="shared" si="428"/>
        <v>0</v>
      </c>
      <c r="Q1077" s="13">
        <f t="shared" si="426"/>
        <v>26007</v>
      </c>
      <c r="R1077" s="13">
        <f t="shared" si="434"/>
        <v>0</v>
      </c>
      <c r="S1077" s="13">
        <f t="shared" si="435"/>
        <v>26007</v>
      </c>
    </row>
    <row r="1078" spans="2:19" x14ac:dyDescent="0.25">
      <c r="B1078" s="73">
        <f t="shared" si="427"/>
        <v>502</v>
      </c>
      <c r="C1078" s="12"/>
      <c r="D1078" s="12"/>
      <c r="E1078" s="12"/>
      <c r="F1078" s="12"/>
      <c r="G1078" s="99"/>
      <c r="H1078" s="12" t="s">
        <v>472</v>
      </c>
      <c r="I1078" s="13">
        <v>23100</v>
      </c>
      <c r="J1078" s="13"/>
      <c r="K1078" s="13">
        <f t="shared" si="430"/>
        <v>23100</v>
      </c>
      <c r="L1078" s="132"/>
      <c r="M1078" s="13"/>
      <c r="N1078" s="13"/>
      <c r="O1078" s="13">
        <f t="shared" si="428"/>
        <v>0</v>
      </c>
      <c r="Q1078" s="13">
        <f t="shared" si="426"/>
        <v>23100</v>
      </c>
      <c r="R1078" s="13">
        <f t="shared" si="434"/>
        <v>0</v>
      </c>
      <c r="S1078" s="13">
        <f t="shared" si="435"/>
        <v>23100</v>
      </c>
    </row>
    <row r="1079" spans="2:19" x14ac:dyDescent="0.25">
      <c r="B1079" s="73">
        <f t="shared" si="427"/>
        <v>503</v>
      </c>
      <c r="C1079" s="12"/>
      <c r="D1079" s="12"/>
      <c r="E1079" s="12"/>
      <c r="F1079" s="12"/>
      <c r="G1079" s="99"/>
      <c r="H1079" s="12" t="s">
        <v>313</v>
      </c>
      <c r="I1079" s="13">
        <v>9332</v>
      </c>
      <c r="J1079" s="13"/>
      <c r="K1079" s="13">
        <f t="shared" si="430"/>
        <v>9332</v>
      </c>
      <c r="L1079" s="132"/>
      <c r="M1079" s="13"/>
      <c r="N1079" s="13"/>
      <c r="O1079" s="13">
        <f t="shared" si="428"/>
        <v>0</v>
      </c>
      <c r="Q1079" s="13">
        <f t="shared" si="426"/>
        <v>9332</v>
      </c>
      <c r="R1079" s="13">
        <f t="shared" si="434"/>
        <v>0</v>
      </c>
      <c r="S1079" s="13">
        <f t="shared" si="435"/>
        <v>9332</v>
      </c>
    </row>
    <row r="1080" spans="2:19" x14ac:dyDescent="0.25">
      <c r="B1080" s="73">
        <f t="shared" si="427"/>
        <v>504</v>
      </c>
      <c r="C1080" s="12"/>
      <c r="D1080" s="12"/>
      <c r="E1080" s="12"/>
      <c r="F1080" s="12"/>
      <c r="G1080" s="99"/>
      <c r="H1080" s="12" t="s">
        <v>314</v>
      </c>
      <c r="I1080" s="13">
        <v>1530</v>
      </c>
      <c r="J1080" s="13"/>
      <c r="K1080" s="13">
        <f t="shared" si="430"/>
        <v>1530</v>
      </c>
      <c r="L1080" s="132"/>
      <c r="M1080" s="13"/>
      <c r="N1080" s="13"/>
      <c r="O1080" s="13">
        <f t="shared" si="428"/>
        <v>0</v>
      </c>
      <c r="Q1080" s="13">
        <f t="shared" si="426"/>
        <v>1530</v>
      </c>
      <c r="R1080" s="13">
        <f t="shared" si="434"/>
        <v>0</v>
      </c>
      <c r="S1080" s="13">
        <f t="shared" si="435"/>
        <v>1530</v>
      </c>
    </row>
    <row r="1081" spans="2:19" x14ac:dyDescent="0.25">
      <c r="B1081" s="73">
        <f t="shared" si="427"/>
        <v>505</v>
      </c>
      <c r="C1081" s="12"/>
      <c r="D1081" s="12"/>
      <c r="E1081" s="12"/>
      <c r="F1081" s="12"/>
      <c r="G1081" s="99"/>
      <c r="H1081" s="12" t="s">
        <v>315</v>
      </c>
      <c r="I1081" s="13">
        <v>5814</v>
      </c>
      <c r="J1081" s="13"/>
      <c r="K1081" s="13">
        <f t="shared" si="430"/>
        <v>5814</v>
      </c>
      <c r="L1081" s="132"/>
      <c r="M1081" s="13"/>
      <c r="N1081" s="13"/>
      <c r="O1081" s="13">
        <f t="shared" si="428"/>
        <v>0</v>
      </c>
      <c r="Q1081" s="13">
        <f t="shared" si="426"/>
        <v>5814</v>
      </c>
      <c r="R1081" s="13">
        <f t="shared" si="434"/>
        <v>0</v>
      </c>
      <c r="S1081" s="13">
        <f t="shared" si="435"/>
        <v>5814</v>
      </c>
    </row>
    <row r="1082" spans="2:19" x14ac:dyDescent="0.25">
      <c r="B1082" s="73">
        <f t="shared" si="427"/>
        <v>506</v>
      </c>
      <c r="C1082" s="38"/>
      <c r="D1082" s="38"/>
      <c r="E1082" s="38">
        <v>4</v>
      </c>
      <c r="F1082" s="38"/>
      <c r="G1082" s="95"/>
      <c r="H1082" s="38" t="s">
        <v>83</v>
      </c>
      <c r="I1082" s="39">
        <f>I1083+I1090+I1097+I1104+I1111+I1118+I1125+I1132+I1139+I1146+I1153+I1160+I1168+I1175</f>
        <v>433710</v>
      </c>
      <c r="J1082" s="39">
        <f t="shared" ref="J1082" si="445">J1083+J1090+J1097+J1104+J1111+J1118+J1125+J1132+J1139+J1146+J1153+J1160+J1168+J1175</f>
        <v>0</v>
      </c>
      <c r="K1082" s="39">
        <f t="shared" si="430"/>
        <v>433710</v>
      </c>
      <c r="L1082" s="138"/>
      <c r="M1082" s="39">
        <v>0</v>
      </c>
      <c r="N1082" s="39">
        <v>0</v>
      </c>
      <c r="O1082" s="39">
        <f t="shared" si="428"/>
        <v>0</v>
      </c>
      <c r="Q1082" s="39">
        <f t="shared" si="426"/>
        <v>433710</v>
      </c>
      <c r="R1082" s="39">
        <f t="shared" si="434"/>
        <v>0</v>
      </c>
      <c r="S1082" s="39">
        <f t="shared" si="435"/>
        <v>433710</v>
      </c>
    </row>
    <row r="1083" spans="2:19" x14ac:dyDescent="0.25">
      <c r="B1083" s="73">
        <f t="shared" si="427"/>
        <v>507</v>
      </c>
      <c r="C1083" s="40"/>
      <c r="D1083" s="40"/>
      <c r="E1083" s="40" t="s">
        <v>85</v>
      </c>
      <c r="F1083" s="40"/>
      <c r="G1083" s="96"/>
      <c r="H1083" s="40" t="s">
        <v>86</v>
      </c>
      <c r="I1083" s="41">
        <f>I1084+I1085+I1086</f>
        <v>22403</v>
      </c>
      <c r="J1083" s="41">
        <f t="shared" ref="J1083" si="446">J1084+J1085+J1086</f>
        <v>0</v>
      </c>
      <c r="K1083" s="41">
        <f t="shared" si="430"/>
        <v>22403</v>
      </c>
      <c r="L1083" s="130"/>
      <c r="M1083" s="41">
        <v>0</v>
      </c>
      <c r="N1083" s="41">
        <v>0</v>
      </c>
      <c r="O1083" s="41">
        <f t="shared" si="428"/>
        <v>0</v>
      </c>
      <c r="Q1083" s="41">
        <f t="shared" si="426"/>
        <v>22403</v>
      </c>
      <c r="R1083" s="41">
        <f t="shared" si="434"/>
        <v>0</v>
      </c>
      <c r="S1083" s="41">
        <f t="shared" si="435"/>
        <v>22403</v>
      </c>
    </row>
    <row r="1084" spans="2:19" x14ac:dyDescent="0.25">
      <c r="B1084" s="73">
        <f t="shared" si="427"/>
        <v>508</v>
      </c>
      <c r="C1084" s="21"/>
      <c r="D1084" s="21"/>
      <c r="E1084" s="21"/>
      <c r="F1084" s="42" t="s">
        <v>312</v>
      </c>
      <c r="G1084" s="97">
        <v>610</v>
      </c>
      <c r="H1084" s="21" t="s">
        <v>245</v>
      </c>
      <c r="I1084" s="15">
        <f>13780+180</f>
        <v>13960</v>
      </c>
      <c r="J1084" s="15"/>
      <c r="K1084" s="15">
        <f t="shared" si="430"/>
        <v>13960</v>
      </c>
      <c r="L1084" s="130"/>
      <c r="M1084" s="15"/>
      <c r="N1084" s="15"/>
      <c r="O1084" s="15">
        <f t="shared" si="428"/>
        <v>0</v>
      </c>
      <c r="Q1084" s="15">
        <f t="shared" si="426"/>
        <v>13960</v>
      </c>
      <c r="R1084" s="15">
        <f t="shared" si="434"/>
        <v>0</v>
      </c>
      <c r="S1084" s="15">
        <f t="shared" si="435"/>
        <v>13960</v>
      </c>
    </row>
    <row r="1085" spans="2:19" x14ac:dyDescent="0.25">
      <c r="B1085" s="73">
        <f t="shared" si="427"/>
        <v>509</v>
      </c>
      <c r="C1085" s="21"/>
      <c r="D1085" s="21"/>
      <c r="E1085" s="21"/>
      <c r="F1085" s="42" t="s">
        <v>312</v>
      </c>
      <c r="G1085" s="97">
        <v>620</v>
      </c>
      <c r="H1085" s="21" t="s">
        <v>228</v>
      </c>
      <c r="I1085" s="15">
        <f>5100+63</f>
        <v>5163</v>
      </c>
      <c r="J1085" s="15"/>
      <c r="K1085" s="15">
        <f t="shared" si="430"/>
        <v>5163</v>
      </c>
      <c r="L1085" s="130"/>
      <c r="M1085" s="15"/>
      <c r="N1085" s="15"/>
      <c r="O1085" s="15">
        <f t="shared" si="428"/>
        <v>0</v>
      </c>
      <c r="Q1085" s="15">
        <f t="shared" si="426"/>
        <v>5163</v>
      </c>
      <c r="R1085" s="15">
        <f t="shared" si="434"/>
        <v>0</v>
      </c>
      <c r="S1085" s="15">
        <f t="shared" si="435"/>
        <v>5163</v>
      </c>
    </row>
    <row r="1086" spans="2:19" x14ac:dyDescent="0.25">
      <c r="B1086" s="73">
        <f t="shared" si="427"/>
        <v>510</v>
      </c>
      <c r="C1086" s="21"/>
      <c r="D1086" s="21"/>
      <c r="E1086" s="21"/>
      <c r="F1086" s="42" t="s">
        <v>312</v>
      </c>
      <c r="G1086" s="97">
        <v>630</v>
      </c>
      <c r="H1086" s="21" t="s">
        <v>218</v>
      </c>
      <c r="I1086" s="15">
        <f>I1087+I1088+I1089</f>
        <v>3280</v>
      </c>
      <c r="J1086" s="15">
        <f t="shared" ref="J1086" si="447">J1087+J1088+J1089</f>
        <v>0</v>
      </c>
      <c r="K1086" s="15">
        <f t="shared" si="430"/>
        <v>3280</v>
      </c>
      <c r="L1086" s="130"/>
      <c r="M1086" s="15"/>
      <c r="N1086" s="15"/>
      <c r="O1086" s="15">
        <f t="shared" si="428"/>
        <v>0</v>
      </c>
      <c r="Q1086" s="15">
        <f t="shared" si="426"/>
        <v>3280</v>
      </c>
      <c r="R1086" s="15">
        <f t="shared" si="434"/>
        <v>0</v>
      </c>
      <c r="S1086" s="15">
        <f t="shared" si="435"/>
        <v>3280</v>
      </c>
    </row>
    <row r="1087" spans="2:19" x14ac:dyDescent="0.25">
      <c r="B1087" s="73">
        <f t="shared" si="427"/>
        <v>511</v>
      </c>
      <c r="C1087" s="9"/>
      <c r="D1087" s="9"/>
      <c r="E1087" s="9"/>
      <c r="F1087" s="43" t="s">
        <v>312</v>
      </c>
      <c r="G1087" s="98">
        <v>633</v>
      </c>
      <c r="H1087" s="9" t="s">
        <v>220</v>
      </c>
      <c r="I1087" s="10">
        <v>1200</v>
      </c>
      <c r="J1087" s="10"/>
      <c r="K1087" s="10">
        <f t="shared" si="430"/>
        <v>1200</v>
      </c>
      <c r="L1087" s="131"/>
      <c r="M1087" s="10"/>
      <c r="N1087" s="10"/>
      <c r="O1087" s="10">
        <f t="shared" si="428"/>
        <v>0</v>
      </c>
      <c r="Q1087" s="10">
        <f t="shared" si="426"/>
        <v>1200</v>
      </c>
      <c r="R1087" s="10">
        <f t="shared" si="434"/>
        <v>0</v>
      </c>
      <c r="S1087" s="10">
        <f t="shared" si="435"/>
        <v>1200</v>
      </c>
    </row>
    <row r="1088" spans="2:19" x14ac:dyDescent="0.25">
      <c r="B1088" s="73">
        <f t="shared" si="427"/>
        <v>512</v>
      </c>
      <c r="C1088" s="9"/>
      <c r="D1088" s="9"/>
      <c r="E1088" s="9"/>
      <c r="F1088" s="43" t="s">
        <v>312</v>
      </c>
      <c r="G1088" s="98">
        <v>635</v>
      </c>
      <c r="H1088" s="9" t="s">
        <v>234</v>
      </c>
      <c r="I1088" s="10">
        <v>1400</v>
      </c>
      <c r="J1088" s="10"/>
      <c r="K1088" s="10">
        <f t="shared" si="430"/>
        <v>1400</v>
      </c>
      <c r="L1088" s="131"/>
      <c r="M1088" s="10"/>
      <c r="N1088" s="10"/>
      <c r="O1088" s="10">
        <f t="shared" si="428"/>
        <v>0</v>
      </c>
      <c r="Q1088" s="10">
        <f t="shared" si="426"/>
        <v>1400</v>
      </c>
      <c r="R1088" s="10">
        <f t="shared" si="434"/>
        <v>0</v>
      </c>
      <c r="S1088" s="10">
        <f t="shared" si="435"/>
        <v>1400</v>
      </c>
    </row>
    <row r="1089" spans="2:19" x14ac:dyDescent="0.25">
      <c r="B1089" s="73">
        <f t="shared" si="427"/>
        <v>513</v>
      </c>
      <c r="C1089" s="9"/>
      <c r="D1089" s="9"/>
      <c r="E1089" s="9"/>
      <c r="F1089" s="43" t="s">
        <v>312</v>
      </c>
      <c r="G1089" s="98">
        <v>637</v>
      </c>
      <c r="H1089" s="9" t="s">
        <v>223</v>
      </c>
      <c r="I1089" s="10">
        <v>680</v>
      </c>
      <c r="J1089" s="10"/>
      <c r="K1089" s="10">
        <f t="shared" si="430"/>
        <v>680</v>
      </c>
      <c r="L1089" s="131"/>
      <c r="M1089" s="10"/>
      <c r="N1089" s="10"/>
      <c r="O1089" s="10">
        <f t="shared" si="428"/>
        <v>0</v>
      </c>
      <c r="Q1089" s="10">
        <f t="shared" si="426"/>
        <v>680</v>
      </c>
      <c r="R1089" s="10">
        <f t="shared" si="434"/>
        <v>0</v>
      </c>
      <c r="S1089" s="10">
        <f t="shared" si="435"/>
        <v>680</v>
      </c>
    </row>
    <row r="1090" spans="2:19" x14ac:dyDescent="0.25">
      <c r="B1090" s="73">
        <f t="shared" si="427"/>
        <v>514</v>
      </c>
      <c r="C1090" s="40"/>
      <c r="D1090" s="40"/>
      <c r="E1090" s="40" t="s">
        <v>87</v>
      </c>
      <c r="F1090" s="40"/>
      <c r="G1090" s="96"/>
      <c r="H1090" s="40" t="s">
        <v>88</v>
      </c>
      <c r="I1090" s="41">
        <f>I1091+I1092+I1093</f>
        <v>29555</v>
      </c>
      <c r="J1090" s="41">
        <f t="shared" ref="J1090" si="448">J1091+J1092+J1093</f>
        <v>0</v>
      </c>
      <c r="K1090" s="41">
        <f t="shared" si="430"/>
        <v>29555</v>
      </c>
      <c r="L1090" s="130"/>
      <c r="M1090" s="41">
        <v>0</v>
      </c>
      <c r="N1090" s="41">
        <v>0</v>
      </c>
      <c r="O1090" s="41">
        <f t="shared" si="428"/>
        <v>0</v>
      </c>
      <c r="Q1090" s="41">
        <f t="shared" si="426"/>
        <v>29555</v>
      </c>
      <c r="R1090" s="41">
        <f t="shared" si="434"/>
        <v>0</v>
      </c>
      <c r="S1090" s="41">
        <f t="shared" si="435"/>
        <v>29555</v>
      </c>
    </row>
    <row r="1091" spans="2:19" x14ac:dyDescent="0.25">
      <c r="B1091" s="73">
        <f t="shared" si="427"/>
        <v>515</v>
      </c>
      <c r="C1091" s="21"/>
      <c r="D1091" s="21"/>
      <c r="E1091" s="21"/>
      <c r="F1091" s="42" t="s">
        <v>312</v>
      </c>
      <c r="G1091" s="97">
        <v>610</v>
      </c>
      <c r="H1091" s="21" t="s">
        <v>245</v>
      </c>
      <c r="I1091" s="15">
        <f>17384+720</f>
        <v>18104</v>
      </c>
      <c r="J1091" s="15"/>
      <c r="K1091" s="15">
        <f t="shared" si="430"/>
        <v>18104</v>
      </c>
      <c r="L1091" s="130"/>
      <c r="M1091" s="15"/>
      <c r="N1091" s="15"/>
      <c r="O1091" s="15">
        <f t="shared" si="428"/>
        <v>0</v>
      </c>
      <c r="Q1091" s="15">
        <f t="shared" si="426"/>
        <v>18104</v>
      </c>
      <c r="R1091" s="15">
        <f t="shared" si="434"/>
        <v>0</v>
      </c>
      <c r="S1091" s="15">
        <f t="shared" si="435"/>
        <v>18104</v>
      </c>
    </row>
    <row r="1092" spans="2:19" x14ac:dyDescent="0.25">
      <c r="B1092" s="73">
        <f t="shared" si="427"/>
        <v>516</v>
      </c>
      <c r="C1092" s="21"/>
      <c r="D1092" s="21"/>
      <c r="E1092" s="21"/>
      <c r="F1092" s="42" t="s">
        <v>312</v>
      </c>
      <c r="G1092" s="97">
        <v>620</v>
      </c>
      <c r="H1092" s="21" t="s">
        <v>228</v>
      </c>
      <c r="I1092" s="15">
        <f>6459+252</f>
        <v>6711</v>
      </c>
      <c r="J1092" s="15"/>
      <c r="K1092" s="15">
        <f t="shared" si="430"/>
        <v>6711</v>
      </c>
      <c r="L1092" s="130"/>
      <c r="M1092" s="15"/>
      <c r="N1092" s="15"/>
      <c r="O1092" s="15">
        <f t="shared" si="428"/>
        <v>0</v>
      </c>
      <c r="Q1092" s="15">
        <f t="shared" si="426"/>
        <v>6711</v>
      </c>
      <c r="R1092" s="15">
        <f t="shared" si="434"/>
        <v>0</v>
      </c>
      <c r="S1092" s="15">
        <f t="shared" si="435"/>
        <v>6711</v>
      </c>
    </row>
    <row r="1093" spans="2:19" x14ac:dyDescent="0.25">
      <c r="B1093" s="73">
        <f t="shared" si="427"/>
        <v>517</v>
      </c>
      <c r="C1093" s="21"/>
      <c r="D1093" s="21"/>
      <c r="E1093" s="21"/>
      <c r="F1093" s="42" t="s">
        <v>312</v>
      </c>
      <c r="G1093" s="97">
        <v>630</v>
      </c>
      <c r="H1093" s="21" t="s">
        <v>218</v>
      </c>
      <c r="I1093" s="15">
        <f>I1094+I1095+I1096</f>
        <v>4740</v>
      </c>
      <c r="J1093" s="15">
        <f t="shared" ref="J1093" si="449">J1094+J1095+J1096</f>
        <v>0</v>
      </c>
      <c r="K1093" s="15">
        <f t="shared" si="430"/>
        <v>4740</v>
      </c>
      <c r="L1093" s="130"/>
      <c r="M1093" s="15"/>
      <c r="N1093" s="15"/>
      <c r="O1093" s="15">
        <f t="shared" si="428"/>
        <v>0</v>
      </c>
      <c r="Q1093" s="15">
        <f t="shared" si="426"/>
        <v>4740</v>
      </c>
      <c r="R1093" s="15">
        <f t="shared" si="434"/>
        <v>0</v>
      </c>
      <c r="S1093" s="15">
        <f t="shared" si="435"/>
        <v>4740</v>
      </c>
    </row>
    <row r="1094" spans="2:19" x14ac:dyDescent="0.25">
      <c r="B1094" s="73">
        <f t="shared" si="427"/>
        <v>518</v>
      </c>
      <c r="C1094" s="9"/>
      <c r="D1094" s="9"/>
      <c r="E1094" s="9"/>
      <c r="F1094" s="43" t="s">
        <v>312</v>
      </c>
      <c r="G1094" s="98">
        <v>633</v>
      </c>
      <c r="H1094" s="9" t="s">
        <v>220</v>
      </c>
      <c r="I1094" s="10">
        <v>1900</v>
      </c>
      <c r="J1094" s="10"/>
      <c r="K1094" s="10">
        <f t="shared" si="430"/>
        <v>1900</v>
      </c>
      <c r="L1094" s="131"/>
      <c r="M1094" s="10"/>
      <c r="N1094" s="10"/>
      <c r="O1094" s="10">
        <f t="shared" si="428"/>
        <v>0</v>
      </c>
      <c r="Q1094" s="10">
        <f t="shared" si="426"/>
        <v>1900</v>
      </c>
      <c r="R1094" s="10">
        <f t="shared" si="434"/>
        <v>0</v>
      </c>
      <c r="S1094" s="10">
        <f t="shared" si="435"/>
        <v>1900</v>
      </c>
    </row>
    <row r="1095" spans="2:19" x14ac:dyDescent="0.25">
      <c r="B1095" s="73">
        <f t="shared" si="427"/>
        <v>519</v>
      </c>
      <c r="C1095" s="9"/>
      <c r="D1095" s="9"/>
      <c r="E1095" s="9"/>
      <c r="F1095" s="43" t="s">
        <v>312</v>
      </c>
      <c r="G1095" s="98">
        <v>635</v>
      </c>
      <c r="H1095" s="9" t="s">
        <v>234</v>
      </c>
      <c r="I1095" s="10">
        <v>1600</v>
      </c>
      <c r="J1095" s="10"/>
      <c r="K1095" s="10">
        <f t="shared" si="430"/>
        <v>1600</v>
      </c>
      <c r="L1095" s="131"/>
      <c r="M1095" s="10"/>
      <c r="N1095" s="10"/>
      <c r="O1095" s="10">
        <f t="shared" si="428"/>
        <v>0</v>
      </c>
      <c r="Q1095" s="10">
        <f t="shared" ref="Q1095:Q1158" si="450">I1095+M1095</f>
        <v>1600</v>
      </c>
      <c r="R1095" s="10">
        <f t="shared" si="434"/>
        <v>0</v>
      </c>
      <c r="S1095" s="10">
        <f t="shared" si="435"/>
        <v>1600</v>
      </c>
    </row>
    <row r="1096" spans="2:19" x14ac:dyDescent="0.25">
      <c r="B1096" s="73">
        <f t="shared" ref="B1096:B1159" si="451">B1095+1</f>
        <v>520</v>
      </c>
      <c r="C1096" s="9"/>
      <c r="D1096" s="9"/>
      <c r="E1096" s="9"/>
      <c r="F1096" s="43" t="s">
        <v>312</v>
      </c>
      <c r="G1096" s="98">
        <v>637</v>
      </c>
      <c r="H1096" s="9" t="s">
        <v>223</v>
      </c>
      <c r="I1096" s="10">
        <v>1240</v>
      </c>
      <c r="J1096" s="10"/>
      <c r="K1096" s="10">
        <f t="shared" si="430"/>
        <v>1240</v>
      </c>
      <c r="L1096" s="131"/>
      <c r="M1096" s="10"/>
      <c r="N1096" s="10"/>
      <c r="O1096" s="10">
        <f t="shared" ref="O1096:O1159" si="452">M1096+N1096</f>
        <v>0</v>
      </c>
      <c r="Q1096" s="10">
        <f t="shared" si="450"/>
        <v>1240</v>
      </c>
      <c r="R1096" s="10">
        <f t="shared" si="434"/>
        <v>0</v>
      </c>
      <c r="S1096" s="10">
        <f t="shared" si="435"/>
        <v>1240</v>
      </c>
    </row>
    <row r="1097" spans="2:19" x14ac:dyDescent="0.25">
      <c r="B1097" s="73">
        <f t="shared" si="451"/>
        <v>521</v>
      </c>
      <c r="C1097" s="40"/>
      <c r="D1097" s="40"/>
      <c r="E1097" s="40" t="s">
        <v>89</v>
      </c>
      <c r="F1097" s="40"/>
      <c r="G1097" s="96"/>
      <c r="H1097" s="40" t="s">
        <v>90</v>
      </c>
      <c r="I1097" s="41">
        <f>I1098+I1099+I1100</f>
        <v>20763</v>
      </c>
      <c r="J1097" s="41">
        <f t="shared" ref="J1097" si="453">J1098+J1099+J1100</f>
        <v>0</v>
      </c>
      <c r="K1097" s="41">
        <f t="shared" si="430"/>
        <v>20763</v>
      </c>
      <c r="L1097" s="130"/>
      <c r="M1097" s="41">
        <v>0</v>
      </c>
      <c r="N1097" s="41">
        <v>0</v>
      </c>
      <c r="O1097" s="41">
        <f t="shared" si="452"/>
        <v>0</v>
      </c>
      <c r="Q1097" s="41">
        <f t="shared" si="450"/>
        <v>20763</v>
      </c>
      <c r="R1097" s="41">
        <f t="shared" si="434"/>
        <v>0</v>
      </c>
      <c r="S1097" s="41">
        <f t="shared" si="435"/>
        <v>20763</v>
      </c>
    </row>
    <row r="1098" spans="2:19" x14ac:dyDescent="0.25">
      <c r="B1098" s="73">
        <f t="shared" si="451"/>
        <v>522</v>
      </c>
      <c r="C1098" s="21"/>
      <c r="D1098" s="21"/>
      <c r="E1098" s="21"/>
      <c r="F1098" s="42" t="s">
        <v>312</v>
      </c>
      <c r="G1098" s="97">
        <v>610</v>
      </c>
      <c r="H1098" s="21" t="s">
        <v>245</v>
      </c>
      <c r="I1098" s="15">
        <f>12640+180</f>
        <v>12820</v>
      </c>
      <c r="J1098" s="15"/>
      <c r="K1098" s="15">
        <f t="shared" ref="K1098:K1161" si="454">I1098+J1098</f>
        <v>12820</v>
      </c>
      <c r="L1098" s="130"/>
      <c r="M1098" s="15"/>
      <c r="N1098" s="15"/>
      <c r="O1098" s="15">
        <f t="shared" si="452"/>
        <v>0</v>
      </c>
      <c r="Q1098" s="15">
        <f t="shared" si="450"/>
        <v>12820</v>
      </c>
      <c r="R1098" s="15">
        <f t="shared" si="434"/>
        <v>0</v>
      </c>
      <c r="S1098" s="15">
        <f t="shared" si="435"/>
        <v>12820</v>
      </c>
    </row>
    <row r="1099" spans="2:19" x14ac:dyDescent="0.25">
      <c r="B1099" s="73">
        <f t="shared" si="451"/>
        <v>523</v>
      </c>
      <c r="C1099" s="21"/>
      <c r="D1099" s="21"/>
      <c r="E1099" s="21"/>
      <c r="F1099" s="42" t="s">
        <v>312</v>
      </c>
      <c r="G1099" s="97">
        <v>620</v>
      </c>
      <c r="H1099" s="21" t="s">
        <v>228</v>
      </c>
      <c r="I1099" s="15">
        <f>4740+63</f>
        <v>4803</v>
      </c>
      <c r="J1099" s="15"/>
      <c r="K1099" s="15">
        <f t="shared" si="454"/>
        <v>4803</v>
      </c>
      <c r="L1099" s="130"/>
      <c r="M1099" s="15"/>
      <c r="N1099" s="15"/>
      <c r="O1099" s="15">
        <f t="shared" si="452"/>
        <v>0</v>
      </c>
      <c r="Q1099" s="15">
        <f t="shared" si="450"/>
        <v>4803</v>
      </c>
      <c r="R1099" s="15">
        <f t="shared" si="434"/>
        <v>0</v>
      </c>
      <c r="S1099" s="15">
        <f t="shared" si="435"/>
        <v>4803</v>
      </c>
    </row>
    <row r="1100" spans="2:19" x14ac:dyDescent="0.25">
      <c r="B1100" s="73">
        <f t="shared" si="451"/>
        <v>524</v>
      </c>
      <c r="C1100" s="21"/>
      <c r="D1100" s="21"/>
      <c r="E1100" s="21"/>
      <c r="F1100" s="42" t="s">
        <v>312</v>
      </c>
      <c r="G1100" s="97">
        <v>630</v>
      </c>
      <c r="H1100" s="21" t="s">
        <v>218</v>
      </c>
      <c r="I1100" s="15">
        <f>I1101+I1102+I1103</f>
        <v>3140</v>
      </c>
      <c r="J1100" s="15">
        <f t="shared" ref="J1100" si="455">J1101+J1102+J1103</f>
        <v>0</v>
      </c>
      <c r="K1100" s="15">
        <f t="shared" si="454"/>
        <v>3140</v>
      </c>
      <c r="L1100" s="130"/>
      <c r="M1100" s="15"/>
      <c r="N1100" s="15"/>
      <c r="O1100" s="15">
        <f t="shared" si="452"/>
        <v>0</v>
      </c>
      <c r="Q1100" s="15">
        <f t="shared" si="450"/>
        <v>3140</v>
      </c>
      <c r="R1100" s="15">
        <f t="shared" si="434"/>
        <v>0</v>
      </c>
      <c r="S1100" s="15">
        <f t="shared" si="435"/>
        <v>3140</v>
      </c>
    </row>
    <row r="1101" spans="2:19" x14ac:dyDescent="0.25">
      <c r="B1101" s="73">
        <f t="shared" si="451"/>
        <v>525</v>
      </c>
      <c r="C1101" s="9"/>
      <c r="D1101" s="9"/>
      <c r="E1101" s="9"/>
      <c r="F1101" s="43" t="s">
        <v>312</v>
      </c>
      <c r="G1101" s="98">
        <v>633</v>
      </c>
      <c r="H1101" s="9" t="s">
        <v>220</v>
      </c>
      <c r="I1101" s="10">
        <v>1390</v>
      </c>
      <c r="J1101" s="10"/>
      <c r="K1101" s="10">
        <f t="shared" si="454"/>
        <v>1390</v>
      </c>
      <c r="L1101" s="131"/>
      <c r="M1101" s="10"/>
      <c r="N1101" s="10"/>
      <c r="O1101" s="10">
        <f t="shared" si="452"/>
        <v>0</v>
      </c>
      <c r="Q1101" s="10">
        <f t="shared" si="450"/>
        <v>1390</v>
      </c>
      <c r="R1101" s="10">
        <f t="shared" si="434"/>
        <v>0</v>
      </c>
      <c r="S1101" s="10">
        <f t="shared" si="435"/>
        <v>1390</v>
      </c>
    </row>
    <row r="1102" spans="2:19" x14ac:dyDescent="0.25">
      <c r="B1102" s="73">
        <f t="shared" si="451"/>
        <v>526</v>
      </c>
      <c r="C1102" s="9"/>
      <c r="D1102" s="9"/>
      <c r="E1102" s="9"/>
      <c r="F1102" s="43" t="s">
        <v>312</v>
      </c>
      <c r="G1102" s="98">
        <v>635</v>
      </c>
      <c r="H1102" s="9" t="s">
        <v>234</v>
      </c>
      <c r="I1102" s="10">
        <v>1100</v>
      </c>
      <c r="J1102" s="10"/>
      <c r="K1102" s="10">
        <f t="shared" si="454"/>
        <v>1100</v>
      </c>
      <c r="L1102" s="131"/>
      <c r="M1102" s="10"/>
      <c r="N1102" s="10"/>
      <c r="O1102" s="10">
        <f t="shared" si="452"/>
        <v>0</v>
      </c>
      <c r="Q1102" s="10">
        <f t="shared" si="450"/>
        <v>1100</v>
      </c>
      <c r="R1102" s="10">
        <f t="shared" si="434"/>
        <v>0</v>
      </c>
      <c r="S1102" s="10">
        <f t="shared" si="435"/>
        <v>1100</v>
      </c>
    </row>
    <row r="1103" spans="2:19" x14ac:dyDescent="0.25">
      <c r="B1103" s="73">
        <f t="shared" si="451"/>
        <v>527</v>
      </c>
      <c r="C1103" s="9"/>
      <c r="D1103" s="9"/>
      <c r="E1103" s="9"/>
      <c r="F1103" s="43" t="s">
        <v>312</v>
      </c>
      <c r="G1103" s="98">
        <v>637</v>
      </c>
      <c r="H1103" s="9" t="s">
        <v>223</v>
      </c>
      <c r="I1103" s="10">
        <v>650</v>
      </c>
      <c r="J1103" s="10"/>
      <c r="K1103" s="10">
        <f t="shared" si="454"/>
        <v>650</v>
      </c>
      <c r="L1103" s="131"/>
      <c r="M1103" s="10"/>
      <c r="N1103" s="10"/>
      <c r="O1103" s="10">
        <f t="shared" si="452"/>
        <v>0</v>
      </c>
      <c r="Q1103" s="10">
        <f t="shared" si="450"/>
        <v>650</v>
      </c>
      <c r="R1103" s="10">
        <f t="shared" si="434"/>
        <v>0</v>
      </c>
      <c r="S1103" s="10">
        <f t="shared" si="435"/>
        <v>650</v>
      </c>
    </row>
    <row r="1104" spans="2:19" x14ac:dyDescent="0.25">
      <c r="B1104" s="73">
        <f t="shared" si="451"/>
        <v>528</v>
      </c>
      <c r="C1104" s="40"/>
      <c r="D1104" s="40"/>
      <c r="E1104" s="40" t="s">
        <v>91</v>
      </c>
      <c r="F1104" s="40"/>
      <c r="G1104" s="96"/>
      <c r="H1104" s="40" t="s">
        <v>92</v>
      </c>
      <c r="I1104" s="41">
        <f>I1105+I1106+I1107</f>
        <v>27763</v>
      </c>
      <c r="J1104" s="41">
        <f t="shared" ref="J1104" si="456">J1105+J1106+J1107</f>
        <v>0</v>
      </c>
      <c r="K1104" s="41">
        <f t="shared" si="454"/>
        <v>27763</v>
      </c>
      <c r="L1104" s="130"/>
      <c r="M1104" s="41">
        <v>0</v>
      </c>
      <c r="N1104" s="41">
        <v>0</v>
      </c>
      <c r="O1104" s="41">
        <f t="shared" si="452"/>
        <v>0</v>
      </c>
      <c r="Q1104" s="41">
        <f t="shared" si="450"/>
        <v>27763</v>
      </c>
      <c r="R1104" s="41">
        <f t="shared" si="434"/>
        <v>0</v>
      </c>
      <c r="S1104" s="41">
        <f t="shared" si="435"/>
        <v>27763</v>
      </c>
    </row>
    <row r="1105" spans="2:19" x14ac:dyDescent="0.25">
      <c r="B1105" s="73">
        <f t="shared" si="451"/>
        <v>529</v>
      </c>
      <c r="C1105" s="21"/>
      <c r="D1105" s="21"/>
      <c r="E1105" s="21"/>
      <c r="F1105" s="42" t="s">
        <v>312</v>
      </c>
      <c r="G1105" s="97">
        <v>610</v>
      </c>
      <c r="H1105" s="21" t="s">
        <v>245</v>
      </c>
      <c r="I1105" s="15">
        <f>16410+360</f>
        <v>16770</v>
      </c>
      <c r="J1105" s="15"/>
      <c r="K1105" s="15">
        <f t="shared" si="454"/>
        <v>16770</v>
      </c>
      <c r="L1105" s="130"/>
      <c r="M1105" s="15"/>
      <c r="N1105" s="15"/>
      <c r="O1105" s="15">
        <f t="shared" si="452"/>
        <v>0</v>
      </c>
      <c r="Q1105" s="15">
        <f t="shared" si="450"/>
        <v>16770</v>
      </c>
      <c r="R1105" s="15">
        <f t="shared" si="434"/>
        <v>0</v>
      </c>
      <c r="S1105" s="15">
        <f t="shared" si="435"/>
        <v>16770</v>
      </c>
    </row>
    <row r="1106" spans="2:19" x14ac:dyDescent="0.25">
      <c r="B1106" s="73">
        <f t="shared" si="451"/>
        <v>530</v>
      </c>
      <c r="C1106" s="21"/>
      <c r="D1106" s="21"/>
      <c r="E1106" s="21"/>
      <c r="F1106" s="42" t="s">
        <v>312</v>
      </c>
      <c r="G1106" s="97">
        <v>620</v>
      </c>
      <c r="H1106" s="21" t="s">
        <v>228</v>
      </c>
      <c r="I1106" s="15">
        <f>6097+126</f>
        <v>6223</v>
      </c>
      <c r="J1106" s="15"/>
      <c r="K1106" s="15">
        <f t="shared" si="454"/>
        <v>6223</v>
      </c>
      <c r="L1106" s="130"/>
      <c r="M1106" s="15"/>
      <c r="N1106" s="15"/>
      <c r="O1106" s="15">
        <f t="shared" si="452"/>
        <v>0</v>
      </c>
      <c r="Q1106" s="15">
        <f t="shared" si="450"/>
        <v>6223</v>
      </c>
      <c r="R1106" s="15">
        <f t="shared" si="434"/>
        <v>0</v>
      </c>
      <c r="S1106" s="15">
        <f t="shared" si="435"/>
        <v>6223</v>
      </c>
    </row>
    <row r="1107" spans="2:19" x14ac:dyDescent="0.25">
      <c r="B1107" s="73">
        <f t="shared" si="451"/>
        <v>531</v>
      </c>
      <c r="C1107" s="21"/>
      <c r="D1107" s="21"/>
      <c r="E1107" s="21"/>
      <c r="F1107" s="42" t="s">
        <v>312</v>
      </c>
      <c r="G1107" s="97">
        <v>630</v>
      </c>
      <c r="H1107" s="21" t="s">
        <v>218</v>
      </c>
      <c r="I1107" s="15">
        <f>I1108+I1109+I1110</f>
        <v>4770</v>
      </c>
      <c r="J1107" s="15">
        <f t="shared" ref="J1107" si="457">J1108+J1109+J1110</f>
        <v>0</v>
      </c>
      <c r="K1107" s="15">
        <f t="shared" si="454"/>
        <v>4770</v>
      </c>
      <c r="L1107" s="130"/>
      <c r="M1107" s="15"/>
      <c r="N1107" s="15"/>
      <c r="O1107" s="15">
        <f t="shared" si="452"/>
        <v>0</v>
      </c>
      <c r="Q1107" s="15">
        <f t="shared" si="450"/>
        <v>4770</v>
      </c>
      <c r="R1107" s="15">
        <f t="shared" si="434"/>
        <v>0</v>
      </c>
      <c r="S1107" s="15">
        <f t="shared" si="435"/>
        <v>4770</v>
      </c>
    </row>
    <row r="1108" spans="2:19" x14ac:dyDescent="0.25">
      <c r="B1108" s="73">
        <f t="shared" si="451"/>
        <v>532</v>
      </c>
      <c r="C1108" s="9"/>
      <c r="D1108" s="9"/>
      <c r="E1108" s="9"/>
      <c r="F1108" s="43" t="s">
        <v>312</v>
      </c>
      <c r="G1108" s="98">
        <v>633</v>
      </c>
      <c r="H1108" s="9" t="s">
        <v>220</v>
      </c>
      <c r="I1108" s="10">
        <v>1450</v>
      </c>
      <c r="J1108" s="10"/>
      <c r="K1108" s="10">
        <f t="shared" si="454"/>
        <v>1450</v>
      </c>
      <c r="L1108" s="131"/>
      <c r="M1108" s="10"/>
      <c r="N1108" s="10"/>
      <c r="O1108" s="10">
        <f t="shared" si="452"/>
        <v>0</v>
      </c>
      <c r="Q1108" s="10">
        <f t="shared" si="450"/>
        <v>1450</v>
      </c>
      <c r="R1108" s="10">
        <f t="shared" si="434"/>
        <v>0</v>
      </c>
      <c r="S1108" s="10">
        <f t="shared" si="435"/>
        <v>1450</v>
      </c>
    </row>
    <row r="1109" spans="2:19" x14ac:dyDescent="0.25">
      <c r="B1109" s="73">
        <f t="shared" si="451"/>
        <v>533</v>
      </c>
      <c r="C1109" s="9"/>
      <c r="D1109" s="9"/>
      <c r="E1109" s="9"/>
      <c r="F1109" s="43" t="s">
        <v>312</v>
      </c>
      <c r="G1109" s="98">
        <v>635</v>
      </c>
      <c r="H1109" s="9" t="s">
        <v>234</v>
      </c>
      <c r="I1109" s="10">
        <v>2600</v>
      </c>
      <c r="J1109" s="10"/>
      <c r="K1109" s="10">
        <f t="shared" si="454"/>
        <v>2600</v>
      </c>
      <c r="L1109" s="131"/>
      <c r="M1109" s="10"/>
      <c r="N1109" s="10"/>
      <c r="O1109" s="10">
        <f t="shared" si="452"/>
        <v>0</v>
      </c>
      <c r="Q1109" s="10">
        <f t="shared" si="450"/>
        <v>2600</v>
      </c>
      <c r="R1109" s="10">
        <f t="shared" si="434"/>
        <v>0</v>
      </c>
      <c r="S1109" s="10">
        <f t="shared" si="435"/>
        <v>2600</v>
      </c>
    </row>
    <row r="1110" spans="2:19" x14ac:dyDescent="0.25">
      <c r="B1110" s="73">
        <f t="shared" si="451"/>
        <v>534</v>
      </c>
      <c r="C1110" s="9"/>
      <c r="D1110" s="9"/>
      <c r="E1110" s="9"/>
      <c r="F1110" s="43" t="s">
        <v>312</v>
      </c>
      <c r="G1110" s="98">
        <v>637</v>
      </c>
      <c r="H1110" s="9" t="s">
        <v>223</v>
      </c>
      <c r="I1110" s="10">
        <v>720</v>
      </c>
      <c r="J1110" s="10"/>
      <c r="K1110" s="10">
        <f t="shared" si="454"/>
        <v>720</v>
      </c>
      <c r="L1110" s="131"/>
      <c r="M1110" s="10"/>
      <c r="N1110" s="10"/>
      <c r="O1110" s="10">
        <f t="shared" si="452"/>
        <v>0</v>
      </c>
      <c r="Q1110" s="10">
        <f t="shared" si="450"/>
        <v>720</v>
      </c>
      <c r="R1110" s="10">
        <f t="shared" si="434"/>
        <v>0</v>
      </c>
      <c r="S1110" s="10">
        <f t="shared" si="435"/>
        <v>720</v>
      </c>
    </row>
    <row r="1111" spans="2:19" x14ac:dyDescent="0.25">
      <c r="B1111" s="73">
        <f t="shared" si="451"/>
        <v>535</v>
      </c>
      <c r="C1111" s="40"/>
      <c r="D1111" s="40"/>
      <c r="E1111" s="40" t="s">
        <v>93</v>
      </c>
      <c r="F1111" s="40"/>
      <c r="G1111" s="96"/>
      <c r="H1111" s="40" t="s">
        <v>94</v>
      </c>
      <c r="I1111" s="41">
        <f>I1112+I1113+I1114</f>
        <v>28070</v>
      </c>
      <c r="J1111" s="41">
        <f t="shared" ref="J1111" si="458">J1112+J1113+J1114</f>
        <v>0</v>
      </c>
      <c r="K1111" s="41">
        <f t="shared" si="454"/>
        <v>28070</v>
      </c>
      <c r="L1111" s="130"/>
      <c r="M1111" s="41">
        <v>0</v>
      </c>
      <c r="N1111" s="41">
        <v>0</v>
      </c>
      <c r="O1111" s="41">
        <f t="shared" si="452"/>
        <v>0</v>
      </c>
      <c r="Q1111" s="41">
        <f t="shared" si="450"/>
        <v>28070</v>
      </c>
      <c r="R1111" s="41">
        <f t="shared" ref="R1111:R1174" si="459">J1111+N1111</f>
        <v>0</v>
      </c>
      <c r="S1111" s="41">
        <f t="shared" ref="S1111:S1174" si="460">K1111+O1111</f>
        <v>28070</v>
      </c>
    </row>
    <row r="1112" spans="2:19" x14ac:dyDescent="0.25">
      <c r="B1112" s="73">
        <f t="shared" si="451"/>
        <v>536</v>
      </c>
      <c r="C1112" s="21"/>
      <c r="D1112" s="21"/>
      <c r="E1112" s="21"/>
      <c r="F1112" s="42" t="s">
        <v>312</v>
      </c>
      <c r="G1112" s="97">
        <v>610</v>
      </c>
      <c r="H1112" s="21" t="s">
        <v>245</v>
      </c>
      <c r="I1112" s="15">
        <f>17680+360</f>
        <v>18040</v>
      </c>
      <c r="J1112" s="15"/>
      <c r="K1112" s="15">
        <f t="shared" si="454"/>
        <v>18040</v>
      </c>
      <c r="L1112" s="130"/>
      <c r="M1112" s="15"/>
      <c r="N1112" s="15"/>
      <c r="O1112" s="15">
        <f t="shared" si="452"/>
        <v>0</v>
      </c>
      <c r="Q1112" s="15">
        <f t="shared" si="450"/>
        <v>18040</v>
      </c>
      <c r="R1112" s="15">
        <f t="shared" si="459"/>
        <v>0</v>
      </c>
      <c r="S1112" s="15">
        <f t="shared" si="460"/>
        <v>18040</v>
      </c>
    </row>
    <row r="1113" spans="2:19" x14ac:dyDescent="0.25">
      <c r="B1113" s="73">
        <f t="shared" si="451"/>
        <v>537</v>
      </c>
      <c r="C1113" s="21"/>
      <c r="D1113" s="21"/>
      <c r="E1113" s="21"/>
      <c r="F1113" s="42" t="s">
        <v>312</v>
      </c>
      <c r="G1113" s="97">
        <v>620</v>
      </c>
      <c r="H1113" s="21" t="s">
        <v>228</v>
      </c>
      <c r="I1113" s="15">
        <f>6515+125</f>
        <v>6640</v>
      </c>
      <c r="J1113" s="15"/>
      <c r="K1113" s="15">
        <f t="shared" si="454"/>
        <v>6640</v>
      </c>
      <c r="L1113" s="130"/>
      <c r="M1113" s="15"/>
      <c r="N1113" s="15"/>
      <c r="O1113" s="15">
        <f t="shared" si="452"/>
        <v>0</v>
      </c>
      <c r="Q1113" s="15">
        <f t="shared" si="450"/>
        <v>6640</v>
      </c>
      <c r="R1113" s="15">
        <f t="shared" si="459"/>
        <v>0</v>
      </c>
      <c r="S1113" s="15">
        <f t="shared" si="460"/>
        <v>6640</v>
      </c>
    </row>
    <row r="1114" spans="2:19" x14ac:dyDescent="0.25">
      <c r="B1114" s="73">
        <f t="shared" si="451"/>
        <v>538</v>
      </c>
      <c r="C1114" s="21"/>
      <c r="D1114" s="21"/>
      <c r="E1114" s="21"/>
      <c r="F1114" s="42" t="s">
        <v>312</v>
      </c>
      <c r="G1114" s="97">
        <v>630</v>
      </c>
      <c r="H1114" s="21" t="s">
        <v>218</v>
      </c>
      <c r="I1114" s="15">
        <f>I1115+I1116+I1117</f>
        <v>3390</v>
      </c>
      <c r="J1114" s="15">
        <f t="shared" ref="J1114" si="461">J1115+J1116+J1117</f>
        <v>0</v>
      </c>
      <c r="K1114" s="15">
        <f t="shared" si="454"/>
        <v>3390</v>
      </c>
      <c r="L1114" s="130"/>
      <c r="M1114" s="15"/>
      <c r="N1114" s="15"/>
      <c r="O1114" s="15">
        <f t="shared" si="452"/>
        <v>0</v>
      </c>
      <c r="Q1114" s="15">
        <f t="shared" si="450"/>
        <v>3390</v>
      </c>
      <c r="R1114" s="15">
        <f t="shared" si="459"/>
        <v>0</v>
      </c>
      <c r="S1114" s="15">
        <f t="shared" si="460"/>
        <v>3390</v>
      </c>
    </row>
    <row r="1115" spans="2:19" x14ac:dyDescent="0.25">
      <c r="B1115" s="73">
        <f t="shared" si="451"/>
        <v>539</v>
      </c>
      <c r="C1115" s="9"/>
      <c r="D1115" s="9"/>
      <c r="E1115" s="9"/>
      <c r="F1115" s="43" t="s">
        <v>312</v>
      </c>
      <c r="G1115" s="98">
        <v>633</v>
      </c>
      <c r="H1115" s="9" t="s">
        <v>220</v>
      </c>
      <c r="I1115" s="10">
        <v>1350</v>
      </c>
      <c r="J1115" s="10"/>
      <c r="K1115" s="10">
        <f t="shared" si="454"/>
        <v>1350</v>
      </c>
      <c r="L1115" s="131"/>
      <c r="M1115" s="10"/>
      <c r="N1115" s="10"/>
      <c r="O1115" s="10">
        <f t="shared" si="452"/>
        <v>0</v>
      </c>
      <c r="Q1115" s="10">
        <f t="shared" si="450"/>
        <v>1350</v>
      </c>
      <c r="R1115" s="10">
        <f t="shared" si="459"/>
        <v>0</v>
      </c>
      <c r="S1115" s="10">
        <f t="shared" si="460"/>
        <v>1350</v>
      </c>
    </row>
    <row r="1116" spans="2:19" x14ac:dyDescent="0.25">
      <c r="B1116" s="73">
        <f t="shared" si="451"/>
        <v>540</v>
      </c>
      <c r="C1116" s="9"/>
      <c r="D1116" s="9"/>
      <c r="E1116" s="9"/>
      <c r="F1116" s="43" t="s">
        <v>312</v>
      </c>
      <c r="G1116" s="98">
        <v>635</v>
      </c>
      <c r="H1116" s="9" t="s">
        <v>234</v>
      </c>
      <c r="I1116" s="10">
        <v>1300</v>
      </c>
      <c r="J1116" s="10"/>
      <c r="K1116" s="10">
        <f t="shared" si="454"/>
        <v>1300</v>
      </c>
      <c r="L1116" s="131"/>
      <c r="M1116" s="10"/>
      <c r="N1116" s="10"/>
      <c r="O1116" s="10">
        <f t="shared" si="452"/>
        <v>0</v>
      </c>
      <c r="Q1116" s="10">
        <f t="shared" si="450"/>
        <v>1300</v>
      </c>
      <c r="R1116" s="10">
        <f t="shared" si="459"/>
        <v>0</v>
      </c>
      <c r="S1116" s="10">
        <f t="shared" si="460"/>
        <v>1300</v>
      </c>
    </row>
    <row r="1117" spans="2:19" x14ac:dyDescent="0.25">
      <c r="B1117" s="73">
        <f t="shared" si="451"/>
        <v>541</v>
      </c>
      <c r="C1117" s="9"/>
      <c r="D1117" s="9"/>
      <c r="E1117" s="9"/>
      <c r="F1117" s="43" t="s">
        <v>312</v>
      </c>
      <c r="G1117" s="98">
        <v>637</v>
      </c>
      <c r="H1117" s="9" t="s">
        <v>223</v>
      </c>
      <c r="I1117" s="10">
        <v>740</v>
      </c>
      <c r="J1117" s="10"/>
      <c r="K1117" s="10">
        <f t="shared" si="454"/>
        <v>740</v>
      </c>
      <c r="L1117" s="131"/>
      <c r="M1117" s="10"/>
      <c r="N1117" s="10"/>
      <c r="O1117" s="10">
        <f t="shared" si="452"/>
        <v>0</v>
      </c>
      <c r="Q1117" s="10">
        <f t="shared" si="450"/>
        <v>740</v>
      </c>
      <c r="R1117" s="10">
        <f t="shared" si="459"/>
        <v>0</v>
      </c>
      <c r="S1117" s="10">
        <f t="shared" si="460"/>
        <v>740</v>
      </c>
    </row>
    <row r="1118" spans="2:19" x14ac:dyDescent="0.25">
      <c r="B1118" s="73">
        <f t="shared" si="451"/>
        <v>542</v>
      </c>
      <c r="C1118" s="40"/>
      <c r="D1118" s="40"/>
      <c r="E1118" s="40" t="s">
        <v>95</v>
      </c>
      <c r="F1118" s="40"/>
      <c r="G1118" s="96"/>
      <c r="H1118" s="40" t="s">
        <v>96</v>
      </c>
      <c r="I1118" s="41">
        <f>I1119+I1120+I1121</f>
        <v>42335</v>
      </c>
      <c r="J1118" s="41">
        <f t="shared" ref="J1118" si="462">J1119+J1120+J1121</f>
        <v>0</v>
      </c>
      <c r="K1118" s="41">
        <f t="shared" si="454"/>
        <v>42335</v>
      </c>
      <c r="L1118" s="130"/>
      <c r="M1118" s="41">
        <v>0</v>
      </c>
      <c r="N1118" s="41">
        <v>0</v>
      </c>
      <c r="O1118" s="41">
        <f t="shared" si="452"/>
        <v>0</v>
      </c>
      <c r="Q1118" s="41">
        <f t="shared" si="450"/>
        <v>42335</v>
      </c>
      <c r="R1118" s="41">
        <f t="shared" si="459"/>
        <v>0</v>
      </c>
      <c r="S1118" s="41">
        <f t="shared" si="460"/>
        <v>42335</v>
      </c>
    </row>
    <row r="1119" spans="2:19" x14ac:dyDescent="0.25">
      <c r="B1119" s="73">
        <f t="shared" si="451"/>
        <v>543</v>
      </c>
      <c r="C1119" s="21"/>
      <c r="D1119" s="21"/>
      <c r="E1119" s="21"/>
      <c r="F1119" s="42" t="s">
        <v>312</v>
      </c>
      <c r="G1119" s="97">
        <v>610</v>
      </c>
      <c r="H1119" s="21" t="s">
        <v>245</v>
      </c>
      <c r="I1119" s="15">
        <f>26190+900</f>
        <v>27090</v>
      </c>
      <c r="J1119" s="15"/>
      <c r="K1119" s="15">
        <f t="shared" si="454"/>
        <v>27090</v>
      </c>
      <c r="L1119" s="130"/>
      <c r="M1119" s="15"/>
      <c r="N1119" s="15"/>
      <c r="O1119" s="15">
        <f t="shared" si="452"/>
        <v>0</v>
      </c>
      <c r="Q1119" s="15">
        <f t="shared" si="450"/>
        <v>27090</v>
      </c>
      <c r="R1119" s="15">
        <f t="shared" si="459"/>
        <v>0</v>
      </c>
      <c r="S1119" s="15">
        <f t="shared" si="460"/>
        <v>27090</v>
      </c>
    </row>
    <row r="1120" spans="2:19" x14ac:dyDescent="0.25">
      <c r="B1120" s="73">
        <f t="shared" si="451"/>
        <v>544</v>
      </c>
      <c r="C1120" s="21"/>
      <c r="D1120" s="21"/>
      <c r="E1120" s="21"/>
      <c r="F1120" s="42" t="s">
        <v>312</v>
      </c>
      <c r="G1120" s="97">
        <v>620</v>
      </c>
      <c r="H1120" s="21" t="s">
        <v>228</v>
      </c>
      <c r="I1120" s="15">
        <f>9730+315</f>
        <v>10045</v>
      </c>
      <c r="J1120" s="15"/>
      <c r="K1120" s="15">
        <f t="shared" si="454"/>
        <v>10045</v>
      </c>
      <c r="L1120" s="130"/>
      <c r="M1120" s="15"/>
      <c r="N1120" s="15"/>
      <c r="O1120" s="15">
        <f t="shared" si="452"/>
        <v>0</v>
      </c>
      <c r="Q1120" s="15">
        <f t="shared" si="450"/>
        <v>10045</v>
      </c>
      <c r="R1120" s="15">
        <f t="shared" si="459"/>
        <v>0</v>
      </c>
      <c r="S1120" s="15">
        <f t="shared" si="460"/>
        <v>10045</v>
      </c>
    </row>
    <row r="1121" spans="2:19" x14ac:dyDescent="0.25">
      <c r="B1121" s="73">
        <f t="shared" si="451"/>
        <v>545</v>
      </c>
      <c r="C1121" s="21"/>
      <c r="D1121" s="21"/>
      <c r="E1121" s="21"/>
      <c r="F1121" s="42" t="s">
        <v>312</v>
      </c>
      <c r="G1121" s="97">
        <v>630</v>
      </c>
      <c r="H1121" s="21" t="s">
        <v>218</v>
      </c>
      <c r="I1121" s="15">
        <f>I1122+I1123+I1124</f>
        <v>5200</v>
      </c>
      <c r="J1121" s="15">
        <f t="shared" ref="J1121" si="463">J1122+J1123+J1124</f>
        <v>0</v>
      </c>
      <c r="K1121" s="15">
        <f t="shared" si="454"/>
        <v>5200</v>
      </c>
      <c r="L1121" s="130"/>
      <c r="M1121" s="15"/>
      <c r="N1121" s="15"/>
      <c r="O1121" s="15">
        <f t="shared" si="452"/>
        <v>0</v>
      </c>
      <c r="Q1121" s="15">
        <f t="shared" si="450"/>
        <v>5200</v>
      </c>
      <c r="R1121" s="15">
        <f t="shared" si="459"/>
        <v>0</v>
      </c>
      <c r="S1121" s="15">
        <f t="shared" si="460"/>
        <v>5200</v>
      </c>
    </row>
    <row r="1122" spans="2:19" x14ac:dyDescent="0.25">
      <c r="B1122" s="73">
        <f t="shared" si="451"/>
        <v>546</v>
      </c>
      <c r="C1122" s="9"/>
      <c r="D1122" s="9"/>
      <c r="E1122" s="9"/>
      <c r="F1122" s="43" t="s">
        <v>312</v>
      </c>
      <c r="G1122" s="98">
        <v>633</v>
      </c>
      <c r="H1122" s="9" t="s">
        <v>220</v>
      </c>
      <c r="I1122" s="10">
        <v>2800</v>
      </c>
      <c r="J1122" s="10"/>
      <c r="K1122" s="10">
        <f t="shared" si="454"/>
        <v>2800</v>
      </c>
      <c r="L1122" s="131"/>
      <c r="M1122" s="10"/>
      <c r="N1122" s="10"/>
      <c r="O1122" s="10">
        <f t="shared" si="452"/>
        <v>0</v>
      </c>
      <c r="Q1122" s="10">
        <f t="shared" si="450"/>
        <v>2800</v>
      </c>
      <c r="R1122" s="10">
        <f t="shared" si="459"/>
        <v>0</v>
      </c>
      <c r="S1122" s="10">
        <f t="shared" si="460"/>
        <v>2800</v>
      </c>
    </row>
    <row r="1123" spans="2:19" x14ac:dyDescent="0.25">
      <c r="B1123" s="73">
        <f t="shared" si="451"/>
        <v>547</v>
      </c>
      <c r="C1123" s="9"/>
      <c r="D1123" s="9"/>
      <c r="E1123" s="9"/>
      <c r="F1123" s="43" t="s">
        <v>312</v>
      </c>
      <c r="G1123" s="98">
        <v>635</v>
      </c>
      <c r="H1123" s="9" t="s">
        <v>234</v>
      </c>
      <c r="I1123" s="10">
        <v>1350</v>
      </c>
      <c r="J1123" s="10"/>
      <c r="K1123" s="10">
        <f t="shared" si="454"/>
        <v>1350</v>
      </c>
      <c r="L1123" s="131"/>
      <c r="M1123" s="10"/>
      <c r="N1123" s="10"/>
      <c r="O1123" s="10">
        <f t="shared" si="452"/>
        <v>0</v>
      </c>
      <c r="Q1123" s="10">
        <f t="shared" si="450"/>
        <v>1350</v>
      </c>
      <c r="R1123" s="10">
        <f t="shared" si="459"/>
        <v>0</v>
      </c>
      <c r="S1123" s="10">
        <f t="shared" si="460"/>
        <v>1350</v>
      </c>
    </row>
    <row r="1124" spans="2:19" x14ac:dyDescent="0.25">
      <c r="B1124" s="73">
        <f t="shared" si="451"/>
        <v>548</v>
      </c>
      <c r="C1124" s="9"/>
      <c r="D1124" s="9"/>
      <c r="E1124" s="9"/>
      <c r="F1124" s="43" t="s">
        <v>312</v>
      </c>
      <c r="G1124" s="98">
        <v>637</v>
      </c>
      <c r="H1124" s="9" t="s">
        <v>223</v>
      </c>
      <c r="I1124" s="10">
        <v>1050</v>
      </c>
      <c r="J1124" s="10"/>
      <c r="K1124" s="10">
        <f t="shared" si="454"/>
        <v>1050</v>
      </c>
      <c r="L1124" s="131"/>
      <c r="M1124" s="10"/>
      <c r="N1124" s="10"/>
      <c r="O1124" s="10">
        <f t="shared" si="452"/>
        <v>0</v>
      </c>
      <c r="Q1124" s="10">
        <f t="shared" si="450"/>
        <v>1050</v>
      </c>
      <c r="R1124" s="10">
        <f t="shared" si="459"/>
        <v>0</v>
      </c>
      <c r="S1124" s="10">
        <f t="shared" si="460"/>
        <v>1050</v>
      </c>
    </row>
    <row r="1125" spans="2:19" x14ac:dyDescent="0.25">
      <c r="B1125" s="73">
        <f t="shared" si="451"/>
        <v>549</v>
      </c>
      <c r="C1125" s="40"/>
      <c r="D1125" s="40"/>
      <c r="E1125" s="40" t="s">
        <v>97</v>
      </c>
      <c r="F1125" s="40"/>
      <c r="G1125" s="96"/>
      <c r="H1125" s="40" t="s">
        <v>98</v>
      </c>
      <c r="I1125" s="41">
        <f>I1126+I1127+I1128</f>
        <v>45691</v>
      </c>
      <c r="J1125" s="41">
        <f t="shared" ref="J1125" si="464">J1126+J1127+J1128</f>
        <v>0</v>
      </c>
      <c r="K1125" s="41">
        <f t="shared" si="454"/>
        <v>45691</v>
      </c>
      <c r="L1125" s="130"/>
      <c r="M1125" s="41">
        <v>0</v>
      </c>
      <c r="N1125" s="41">
        <v>0</v>
      </c>
      <c r="O1125" s="41">
        <f t="shared" si="452"/>
        <v>0</v>
      </c>
      <c r="Q1125" s="41">
        <f t="shared" si="450"/>
        <v>45691</v>
      </c>
      <c r="R1125" s="41">
        <f t="shared" si="459"/>
        <v>0</v>
      </c>
      <c r="S1125" s="41">
        <f t="shared" si="460"/>
        <v>45691</v>
      </c>
    </row>
    <row r="1126" spans="2:19" x14ac:dyDescent="0.25">
      <c r="B1126" s="73">
        <f t="shared" si="451"/>
        <v>550</v>
      </c>
      <c r="C1126" s="21"/>
      <c r="D1126" s="21"/>
      <c r="E1126" s="21"/>
      <c r="F1126" s="42" t="s">
        <v>312</v>
      </c>
      <c r="G1126" s="97">
        <v>610</v>
      </c>
      <c r="H1126" s="21" t="s">
        <v>245</v>
      </c>
      <c r="I1126" s="15">
        <f>28620+1260</f>
        <v>29880</v>
      </c>
      <c r="J1126" s="15"/>
      <c r="K1126" s="15">
        <f t="shared" si="454"/>
        <v>29880</v>
      </c>
      <c r="L1126" s="130"/>
      <c r="M1126" s="15"/>
      <c r="N1126" s="15"/>
      <c r="O1126" s="15">
        <f t="shared" si="452"/>
        <v>0</v>
      </c>
      <c r="Q1126" s="15">
        <f t="shared" si="450"/>
        <v>29880</v>
      </c>
      <c r="R1126" s="15">
        <f t="shared" si="459"/>
        <v>0</v>
      </c>
      <c r="S1126" s="15">
        <f t="shared" si="460"/>
        <v>29880</v>
      </c>
    </row>
    <row r="1127" spans="2:19" x14ac:dyDescent="0.25">
      <c r="B1127" s="73">
        <f t="shared" si="451"/>
        <v>551</v>
      </c>
      <c r="C1127" s="21"/>
      <c r="D1127" s="21"/>
      <c r="E1127" s="21"/>
      <c r="F1127" s="42" t="s">
        <v>312</v>
      </c>
      <c r="G1127" s="97">
        <v>620</v>
      </c>
      <c r="H1127" s="21" t="s">
        <v>228</v>
      </c>
      <c r="I1127" s="15">
        <f>10630+441</f>
        <v>11071</v>
      </c>
      <c r="J1127" s="15"/>
      <c r="K1127" s="15">
        <f t="shared" si="454"/>
        <v>11071</v>
      </c>
      <c r="L1127" s="130"/>
      <c r="M1127" s="15"/>
      <c r="N1127" s="15"/>
      <c r="O1127" s="15">
        <f t="shared" si="452"/>
        <v>0</v>
      </c>
      <c r="Q1127" s="15">
        <f t="shared" si="450"/>
        <v>11071</v>
      </c>
      <c r="R1127" s="15">
        <f t="shared" si="459"/>
        <v>0</v>
      </c>
      <c r="S1127" s="15">
        <f t="shared" si="460"/>
        <v>11071</v>
      </c>
    </row>
    <row r="1128" spans="2:19" x14ac:dyDescent="0.25">
      <c r="B1128" s="73">
        <f t="shared" si="451"/>
        <v>552</v>
      </c>
      <c r="C1128" s="21"/>
      <c r="D1128" s="21"/>
      <c r="E1128" s="21"/>
      <c r="F1128" s="42" t="s">
        <v>312</v>
      </c>
      <c r="G1128" s="97">
        <v>630</v>
      </c>
      <c r="H1128" s="21" t="s">
        <v>218</v>
      </c>
      <c r="I1128" s="15">
        <f>SUM(I1129:I1131)</f>
        <v>4740</v>
      </c>
      <c r="J1128" s="15">
        <f t="shared" ref="J1128" si="465">SUM(J1129:J1131)</f>
        <v>0</v>
      </c>
      <c r="K1128" s="15">
        <f t="shared" si="454"/>
        <v>4740</v>
      </c>
      <c r="L1128" s="130"/>
      <c r="M1128" s="15"/>
      <c r="N1128" s="15"/>
      <c r="O1128" s="15">
        <f t="shared" si="452"/>
        <v>0</v>
      </c>
      <c r="Q1128" s="15">
        <f t="shared" si="450"/>
        <v>4740</v>
      </c>
      <c r="R1128" s="15">
        <f t="shared" si="459"/>
        <v>0</v>
      </c>
      <c r="S1128" s="15">
        <f t="shared" si="460"/>
        <v>4740</v>
      </c>
    </row>
    <row r="1129" spans="2:19" x14ac:dyDescent="0.25">
      <c r="B1129" s="73">
        <f t="shared" si="451"/>
        <v>553</v>
      </c>
      <c r="C1129" s="9"/>
      <c r="D1129" s="9"/>
      <c r="E1129" s="9"/>
      <c r="F1129" s="43" t="s">
        <v>312</v>
      </c>
      <c r="G1129" s="98">
        <v>633</v>
      </c>
      <c r="H1129" s="9" t="s">
        <v>220</v>
      </c>
      <c r="I1129" s="10">
        <v>2470</v>
      </c>
      <c r="J1129" s="10"/>
      <c r="K1129" s="10">
        <f t="shared" si="454"/>
        <v>2470</v>
      </c>
      <c r="L1129" s="131"/>
      <c r="M1129" s="10"/>
      <c r="N1129" s="10"/>
      <c r="O1129" s="10">
        <f t="shared" si="452"/>
        <v>0</v>
      </c>
      <c r="Q1129" s="10">
        <f t="shared" si="450"/>
        <v>2470</v>
      </c>
      <c r="R1129" s="10">
        <f t="shared" si="459"/>
        <v>0</v>
      </c>
      <c r="S1129" s="10">
        <f t="shared" si="460"/>
        <v>2470</v>
      </c>
    </row>
    <row r="1130" spans="2:19" x14ac:dyDescent="0.25">
      <c r="B1130" s="73">
        <f t="shared" si="451"/>
        <v>554</v>
      </c>
      <c r="C1130" s="9"/>
      <c r="D1130" s="9"/>
      <c r="E1130" s="9"/>
      <c r="F1130" s="43" t="s">
        <v>312</v>
      </c>
      <c r="G1130" s="98">
        <v>635</v>
      </c>
      <c r="H1130" s="9" t="s">
        <v>234</v>
      </c>
      <c r="I1130" s="10">
        <v>1300</v>
      </c>
      <c r="J1130" s="10"/>
      <c r="K1130" s="10">
        <f t="shared" si="454"/>
        <v>1300</v>
      </c>
      <c r="L1130" s="131"/>
      <c r="M1130" s="10"/>
      <c r="N1130" s="10"/>
      <c r="O1130" s="10">
        <f t="shared" si="452"/>
        <v>0</v>
      </c>
      <c r="Q1130" s="10">
        <f t="shared" si="450"/>
        <v>1300</v>
      </c>
      <c r="R1130" s="10">
        <f t="shared" si="459"/>
        <v>0</v>
      </c>
      <c r="S1130" s="10">
        <f t="shared" si="460"/>
        <v>1300</v>
      </c>
    </row>
    <row r="1131" spans="2:19" x14ac:dyDescent="0.25">
      <c r="B1131" s="73">
        <f t="shared" si="451"/>
        <v>555</v>
      </c>
      <c r="C1131" s="9"/>
      <c r="D1131" s="9"/>
      <c r="E1131" s="9"/>
      <c r="F1131" s="43" t="s">
        <v>312</v>
      </c>
      <c r="G1131" s="98">
        <v>637</v>
      </c>
      <c r="H1131" s="9" t="s">
        <v>223</v>
      </c>
      <c r="I1131" s="10">
        <v>970</v>
      </c>
      <c r="J1131" s="10"/>
      <c r="K1131" s="10">
        <f t="shared" si="454"/>
        <v>970</v>
      </c>
      <c r="L1131" s="131"/>
      <c r="M1131" s="10"/>
      <c r="N1131" s="10"/>
      <c r="O1131" s="10">
        <f t="shared" si="452"/>
        <v>0</v>
      </c>
      <c r="Q1131" s="10">
        <f t="shared" si="450"/>
        <v>970</v>
      </c>
      <c r="R1131" s="10">
        <f t="shared" si="459"/>
        <v>0</v>
      </c>
      <c r="S1131" s="10">
        <f t="shared" si="460"/>
        <v>970</v>
      </c>
    </row>
    <row r="1132" spans="2:19" x14ac:dyDescent="0.25">
      <c r="B1132" s="73">
        <f t="shared" si="451"/>
        <v>556</v>
      </c>
      <c r="C1132" s="40"/>
      <c r="D1132" s="40"/>
      <c r="E1132" s="40" t="s">
        <v>99</v>
      </c>
      <c r="F1132" s="40"/>
      <c r="G1132" s="96"/>
      <c r="H1132" s="40" t="s">
        <v>100</v>
      </c>
      <c r="I1132" s="41">
        <f>I1133+I1134+I1135</f>
        <v>27741</v>
      </c>
      <c r="J1132" s="41">
        <f t="shared" ref="J1132" si="466">J1133+J1134+J1135</f>
        <v>0</v>
      </c>
      <c r="K1132" s="41">
        <f t="shared" si="454"/>
        <v>27741</v>
      </c>
      <c r="L1132" s="130"/>
      <c r="M1132" s="41">
        <v>0</v>
      </c>
      <c r="N1132" s="41">
        <v>0</v>
      </c>
      <c r="O1132" s="41">
        <f t="shared" si="452"/>
        <v>0</v>
      </c>
      <c r="Q1132" s="41">
        <f t="shared" si="450"/>
        <v>27741</v>
      </c>
      <c r="R1132" s="41">
        <f t="shared" si="459"/>
        <v>0</v>
      </c>
      <c r="S1132" s="41">
        <f t="shared" si="460"/>
        <v>27741</v>
      </c>
    </row>
    <row r="1133" spans="2:19" x14ac:dyDescent="0.25">
      <c r="B1133" s="73">
        <f t="shared" si="451"/>
        <v>557</v>
      </c>
      <c r="C1133" s="21"/>
      <c r="D1133" s="21"/>
      <c r="E1133" s="21"/>
      <c r="F1133" s="42" t="s">
        <v>312</v>
      </c>
      <c r="G1133" s="97">
        <v>610</v>
      </c>
      <c r="H1133" s="21" t="s">
        <v>245</v>
      </c>
      <c r="I1133" s="15">
        <f>17145+360</f>
        <v>17505</v>
      </c>
      <c r="J1133" s="15"/>
      <c r="K1133" s="15">
        <f t="shared" si="454"/>
        <v>17505</v>
      </c>
      <c r="L1133" s="130"/>
      <c r="M1133" s="15"/>
      <c r="N1133" s="15"/>
      <c r="O1133" s="15">
        <f t="shared" si="452"/>
        <v>0</v>
      </c>
      <c r="Q1133" s="15">
        <f t="shared" si="450"/>
        <v>17505</v>
      </c>
      <c r="R1133" s="15">
        <f t="shared" si="459"/>
        <v>0</v>
      </c>
      <c r="S1133" s="15">
        <f t="shared" si="460"/>
        <v>17505</v>
      </c>
    </row>
    <row r="1134" spans="2:19" x14ac:dyDescent="0.25">
      <c r="B1134" s="73">
        <f t="shared" si="451"/>
        <v>558</v>
      </c>
      <c r="C1134" s="21"/>
      <c r="D1134" s="21"/>
      <c r="E1134" s="21"/>
      <c r="F1134" s="42" t="s">
        <v>312</v>
      </c>
      <c r="G1134" s="97">
        <v>620</v>
      </c>
      <c r="H1134" s="21" t="s">
        <v>228</v>
      </c>
      <c r="I1134" s="15">
        <f>6370+126</f>
        <v>6496</v>
      </c>
      <c r="J1134" s="15"/>
      <c r="K1134" s="15">
        <f t="shared" si="454"/>
        <v>6496</v>
      </c>
      <c r="L1134" s="130"/>
      <c r="M1134" s="15"/>
      <c r="N1134" s="15"/>
      <c r="O1134" s="15">
        <f t="shared" si="452"/>
        <v>0</v>
      </c>
      <c r="Q1134" s="15">
        <f t="shared" si="450"/>
        <v>6496</v>
      </c>
      <c r="R1134" s="15">
        <f t="shared" si="459"/>
        <v>0</v>
      </c>
      <c r="S1134" s="15">
        <f t="shared" si="460"/>
        <v>6496</v>
      </c>
    </row>
    <row r="1135" spans="2:19" x14ac:dyDescent="0.25">
      <c r="B1135" s="73">
        <f t="shared" si="451"/>
        <v>559</v>
      </c>
      <c r="C1135" s="21"/>
      <c r="D1135" s="21"/>
      <c r="E1135" s="21"/>
      <c r="F1135" s="42" t="s">
        <v>312</v>
      </c>
      <c r="G1135" s="97">
        <v>630</v>
      </c>
      <c r="H1135" s="21" t="s">
        <v>218</v>
      </c>
      <c r="I1135" s="15">
        <f>I1136+I1137+I1138</f>
        <v>3740</v>
      </c>
      <c r="J1135" s="15">
        <f t="shared" ref="J1135" si="467">J1136+J1137+J1138</f>
        <v>0</v>
      </c>
      <c r="K1135" s="15">
        <f t="shared" si="454"/>
        <v>3740</v>
      </c>
      <c r="L1135" s="130"/>
      <c r="M1135" s="15"/>
      <c r="N1135" s="15"/>
      <c r="O1135" s="15">
        <f t="shared" si="452"/>
        <v>0</v>
      </c>
      <c r="Q1135" s="15">
        <f t="shared" si="450"/>
        <v>3740</v>
      </c>
      <c r="R1135" s="15">
        <f t="shared" si="459"/>
        <v>0</v>
      </c>
      <c r="S1135" s="15">
        <f t="shared" si="460"/>
        <v>3740</v>
      </c>
    </row>
    <row r="1136" spans="2:19" x14ac:dyDescent="0.25">
      <c r="B1136" s="73">
        <f t="shared" si="451"/>
        <v>560</v>
      </c>
      <c r="C1136" s="9"/>
      <c r="D1136" s="9"/>
      <c r="E1136" s="9"/>
      <c r="F1136" s="43" t="s">
        <v>312</v>
      </c>
      <c r="G1136" s="98">
        <v>633</v>
      </c>
      <c r="H1136" s="9" t="s">
        <v>220</v>
      </c>
      <c r="I1136" s="10">
        <v>1750</v>
      </c>
      <c r="J1136" s="10"/>
      <c r="K1136" s="10">
        <f t="shared" si="454"/>
        <v>1750</v>
      </c>
      <c r="L1136" s="131"/>
      <c r="M1136" s="10"/>
      <c r="N1136" s="10"/>
      <c r="O1136" s="10">
        <f t="shared" si="452"/>
        <v>0</v>
      </c>
      <c r="Q1136" s="10">
        <f t="shared" si="450"/>
        <v>1750</v>
      </c>
      <c r="R1136" s="10">
        <f t="shared" si="459"/>
        <v>0</v>
      </c>
      <c r="S1136" s="10">
        <f t="shared" si="460"/>
        <v>1750</v>
      </c>
    </row>
    <row r="1137" spans="2:19" x14ac:dyDescent="0.25">
      <c r="B1137" s="73">
        <f t="shared" si="451"/>
        <v>561</v>
      </c>
      <c r="C1137" s="9"/>
      <c r="D1137" s="9"/>
      <c r="E1137" s="9"/>
      <c r="F1137" s="43" t="s">
        <v>312</v>
      </c>
      <c r="G1137" s="98">
        <v>635</v>
      </c>
      <c r="H1137" s="9" t="s">
        <v>234</v>
      </c>
      <c r="I1137" s="10">
        <v>1300</v>
      </c>
      <c r="J1137" s="10"/>
      <c r="K1137" s="10">
        <f t="shared" si="454"/>
        <v>1300</v>
      </c>
      <c r="L1137" s="131"/>
      <c r="M1137" s="10"/>
      <c r="N1137" s="10"/>
      <c r="O1137" s="10">
        <f t="shared" si="452"/>
        <v>0</v>
      </c>
      <c r="Q1137" s="10">
        <f t="shared" si="450"/>
        <v>1300</v>
      </c>
      <c r="R1137" s="10">
        <f t="shared" si="459"/>
        <v>0</v>
      </c>
      <c r="S1137" s="10">
        <f t="shared" si="460"/>
        <v>1300</v>
      </c>
    </row>
    <row r="1138" spans="2:19" x14ac:dyDescent="0.25">
      <c r="B1138" s="73">
        <f t="shared" si="451"/>
        <v>562</v>
      </c>
      <c r="C1138" s="9"/>
      <c r="D1138" s="9"/>
      <c r="E1138" s="9"/>
      <c r="F1138" s="43" t="s">
        <v>312</v>
      </c>
      <c r="G1138" s="98">
        <v>637</v>
      </c>
      <c r="H1138" s="9" t="s">
        <v>223</v>
      </c>
      <c r="I1138" s="10">
        <v>690</v>
      </c>
      <c r="J1138" s="10"/>
      <c r="K1138" s="10">
        <f t="shared" si="454"/>
        <v>690</v>
      </c>
      <c r="L1138" s="131"/>
      <c r="M1138" s="10"/>
      <c r="N1138" s="10"/>
      <c r="O1138" s="10">
        <f t="shared" si="452"/>
        <v>0</v>
      </c>
      <c r="Q1138" s="10">
        <f t="shared" si="450"/>
        <v>690</v>
      </c>
      <c r="R1138" s="10">
        <f t="shared" si="459"/>
        <v>0</v>
      </c>
      <c r="S1138" s="10">
        <f t="shared" si="460"/>
        <v>690</v>
      </c>
    </row>
    <row r="1139" spans="2:19" x14ac:dyDescent="0.25">
      <c r="B1139" s="73">
        <f t="shared" si="451"/>
        <v>563</v>
      </c>
      <c r="C1139" s="40"/>
      <c r="D1139" s="40"/>
      <c r="E1139" s="40" t="s">
        <v>101</v>
      </c>
      <c r="F1139" s="40"/>
      <c r="G1139" s="96"/>
      <c r="H1139" s="40" t="s">
        <v>102</v>
      </c>
      <c r="I1139" s="41">
        <f>I1140+I1141+I1142</f>
        <v>32702</v>
      </c>
      <c r="J1139" s="41">
        <f t="shared" ref="J1139" si="468">J1140+J1141+J1142</f>
        <v>0</v>
      </c>
      <c r="K1139" s="41">
        <f t="shared" si="454"/>
        <v>32702</v>
      </c>
      <c r="L1139" s="130"/>
      <c r="M1139" s="41">
        <v>0</v>
      </c>
      <c r="N1139" s="41">
        <v>0</v>
      </c>
      <c r="O1139" s="41">
        <f t="shared" si="452"/>
        <v>0</v>
      </c>
      <c r="Q1139" s="41">
        <f t="shared" si="450"/>
        <v>32702</v>
      </c>
      <c r="R1139" s="41">
        <f t="shared" si="459"/>
        <v>0</v>
      </c>
      <c r="S1139" s="41">
        <f t="shared" si="460"/>
        <v>32702</v>
      </c>
    </row>
    <row r="1140" spans="2:19" x14ac:dyDescent="0.25">
      <c r="B1140" s="73">
        <f t="shared" si="451"/>
        <v>564</v>
      </c>
      <c r="C1140" s="21"/>
      <c r="D1140" s="21"/>
      <c r="E1140" s="21"/>
      <c r="F1140" s="42" t="s">
        <v>312</v>
      </c>
      <c r="G1140" s="97">
        <v>610</v>
      </c>
      <c r="H1140" s="21" t="s">
        <v>245</v>
      </c>
      <c r="I1140" s="15">
        <f>19345+720</f>
        <v>20065</v>
      </c>
      <c r="J1140" s="15"/>
      <c r="K1140" s="15">
        <f t="shared" si="454"/>
        <v>20065</v>
      </c>
      <c r="L1140" s="130"/>
      <c r="M1140" s="15"/>
      <c r="N1140" s="15"/>
      <c r="O1140" s="15">
        <f t="shared" si="452"/>
        <v>0</v>
      </c>
      <c r="Q1140" s="15">
        <f t="shared" si="450"/>
        <v>20065</v>
      </c>
      <c r="R1140" s="15">
        <f t="shared" si="459"/>
        <v>0</v>
      </c>
      <c r="S1140" s="15">
        <f t="shared" si="460"/>
        <v>20065</v>
      </c>
    </row>
    <row r="1141" spans="2:19" x14ac:dyDescent="0.25">
      <c r="B1141" s="73">
        <f t="shared" si="451"/>
        <v>565</v>
      </c>
      <c r="C1141" s="21"/>
      <c r="D1141" s="21"/>
      <c r="E1141" s="21"/>
      <c r="F1141" s="42" t="s">
        <v>312</v>
      </c>
      <c r="G1141" s="97">
        <v>620</v>
      </c>
      <c r="H1141" s="21" t="s">
        <v>228</v>
      </c>
      <c r="I1141" s="15">
        <f>7185+252</f>
        <v>7437</v>
      </c>
      <c r="J1141" s="15"/>
      <c r="K1141" s="15">
        <f t="shared" si="454"/>
        <v>7437</v>
      </c>
      <c r="L1141" s="130"/>
      <c r="M1141" s="15"/>
      <c r="N1141" s="15"/>
      <c r="O1141" s="15">
        <f t="shared" si="452"/>
        <v>0</v>
      </c>
      <c r="Q1141" s="15">
        <f t="shared" si="450"/>
        <v>7437</v>
      </c>
      <c r="R1141" s="15">
        <f t="shared" si="459"/>
        <v>0</v>
      </c>
      <c r="S1141" s="15">
        <f t="shared" si="460"/>
        <v>7437</v>
      </c>
    </row>
    <row r="1142" spans="2:19" x14ac:dyDescent="0.25">
      <c r="B1142" s="73">
        <f t="shared" si="451"/>
        <v>566</v>
      </c>
      <c r="C1142" s="21"/>
      <c r="D1142" s="21"/>
      <c r="E1142" s="21"/>
      <c r="F1142" s="42" t="s">
        <v>312</v>
      </c>
      <c r="G1142" s="97">
        <v>630</v>
      </c>
      <c r="H1142" s="21" t="s">
        <v>218</v>
      </c>
      <c r="I1142" s="15">
        <f>I1143+I1144+I1145</f>
        <v>5200</v>
      </c>
      <c r="J1142" s="15">
        <f t="shared" ref="J1142" si="469">J1143+J1144+J1145</f>
        <v>0</v>
      </c>
      <c r="K1142" s="15">
        <f t="shared" si="454"/>
        <v>5200</v>
      </c>
      <c r="L1142" s="130"/>
      <c r="M1142" s="15"/>
      <c r="N1142" s="15"/>
      <c r="O1142" s="15">
        <f t="shared" si="452"/>
        <v>0</v>
      </c>
      <c r="Q1142" s="15">
        <f t="shared" si="450"/>
        <v>5200</v>
      </c>
      <c r="R1142" s="15">
        <f t="shared" si="459"/>
        <v>0</v>
      </c>
      <c r="S1142" s="15">
        <f t="shared" si="460"/>
        <v>5200</v>
      </c>
    </row>
    <row r="1143" spans="2:19" x14ac:dyDescent="0.25">
      <c r="B1143" s="73">
        <f t="shared" si="451"/>
        <v>567</v>
      </c>
      <c r="C1143" s="9"/>
      <c r="D1143" s="9"/>
      <c r="E1143" s="9"/>
      <c r="F1143" s="43" t="s">
        <v>312</v>
      </c>
      <c r="G1143" s="98">
        <v>633</v>
      </c>
      <c r="H1143" s="9" t="s">
        <v>220</v>
      </c>
      <c r="I1143" s="10">
        <v>2950</v>
      </c>
      <c r="J1143" s="10"/>
      <c r="K1143" s="10">
        <f t="shared" si="454"/>
        <v>2950</v>
      </c>
      <c r="L1143" s="131"/>
      <c r="M1143" s="10"/>
      <c r="N1143" s="10"/>
      <c r="O1143" s="10">
        <f t="shared" si="452"/>
        <v>0</v>
      </c>
      <c r="Q1143" s="10">
        <f t="shared" si="450"/>
        <v>2950</v>
      </c>
      <c r="R1143" s="10">
        <f t="shared" si="459"/>
        <v>0</v>
      </c>
      <c r="S1143" s="10">
        <f t="shared" si="460"/>
        <v>2950</v>
      </c>
    </row>
    <row r="1144" spans="2:19" x14ac:dyDescent="0.25">
      <c r="B1144" s="73">
        <f t="shared" si="451"/>
        <v>568</v>
      </c>
      <c r="C1144" s="9"/>
      <c r="D1144" s="9"/>
      <c r="E1144" s="9"/>
      <c r="F1144" s="43" t="s">
        <v>312</v>
      </c>
      <c r="G1144" s="98">
        <v>635</v>
      </c>
      <c r="H1144" s="9" t="s">
        <v>234</v>
      </c>
      <c r="I1144" s="10">
        <v>1400</v>
      </c>
      <c r="J1144" s="10"/>
      <c r="K1144" s="10">
        <f t="shared" si="454"/>
        <v>1400</v>
      </c>
      <c r="L1144" s="131"/>
      <c r="M1144" s="10"/>
      <c r="N1144" s="10"/>
      <c r="O1144" s="10">
        <f t="shared" si="452"/>
        <v>0</v>
      </c>
      <c r="Q1144" s="10">
        <f t="shared" si="450"/>
        <v>1400</v>
      </c>
      <c r="R1144" s="10">
        <f t="shared" si="459"/>
        <v>0</v>
      </c>
      <c r="S1144" s="10">
        <f t="shared" si="460"/>
        <v>1400</v>
      </c>
    </row>
    <row r="1145" spans="2:19" x14ac:dyDescent="0.25">
      <c r="B1145" s="73">
        <f t="shared" si="451"/>
        <v>569</v>
      </c>
      <c r="C1145" s="9"/>
      <c r="D1145" s="9"/>
      <c r="E1145" s="9"/>
      <c r="F1145" s="43" t="s">
        <v>312</v>
      </c>
      <c r="G1145" s="98">
        <v>637</v>
      </c>
      <c r="H1145" s="9" t="s">
        <v>223</v>
      </c>
      <c r="I1145" s="10">
        <v>850</v>
      </c>
      <c r="J1145" s="10"/>
      <c r="K1145" s="10">
        <f t="shared" si="454"/>
        <v>850</v>
      </c>
      <c r="L1145" s="131"/>
      <c r="M1145" s="10"/>
      <c r="N1145" s="10"/>
      <c r="O1145" s="10">
        <f t="shared" si="452"/>
        <v>0</v>
      </c>
      <c r="Q1145" s="10">
        <f t="shared" si="450"/>
        <v>850</v>
      </c>
      <c r="R1145" s="10">
        <f t="shared" si="459"/>
        <v>0</v>
      </c>
      <c r="S1145" s="10">
        <f t="shared" si="460"/>
        <v>850</v>
      </c>
    </row>
    <row r="1146" spans="2:19" ht="19.5" customHeight="1" x14ac:dyDescent="0.25">
      <c r="B1146" s="73">
        <f t="shared" si="451"/>
        <v>570</v>
      </c>
      <c r="C1146" s="40"/>
      <c r="D1146" s="40"/>
      <c r="E1146" s="40" t="s">
        <v>103</v>
      </c>
      <c r="F1146" s="40"/>
      <c r="G1146" s="96"/>
      <c r="H1146" s="40" t="s">
        <v>104</v>
      </c>
      <c r="I1146" s="41">
        <f>I1147+I1148+I1149</f>
        <v>37607</v>
      </c>
      <c r="J1146" s="41">
        <f t="shared" ref="J1146" si="470">J1147+J1148+J1149</f>
        <v>0</v>
      </c>
      <c r="K1146" s="41">
        <f t="shared" si="454"/>
        <v>37607</v>
      </c>
      <c r="L1146" s="130"/>
      <c r="M1146" s="41">
        <v>0</v>
      </c>
      <c r="N1146" s="41">
        <v>0</v>
      </c>
      <c r="O1146" s="41">
        <f t="shared" si="452"/>
        <v>0</v>
      </c>
      <c r="Q1146" s="41">
        <f t="shared" si="450"/>
        <v>37607</v>
      </c>
      <c r="R1146" s="41">
        <f t="shared" si="459"/>
        <v>0</v>
      </c>
      <c r="S1146" s="41">
        <f t="shared" si="460"/>
        <v>37607</v>
      </c>
    </row>
    <row r="1147" spans="2:19" ht="15.75" customHeight="1" x14ac:dyDescent="0.25">
      <c r="B1147" s="73">
        <f t="shared" si="451"/>
        <v>571</v>
      </c>
      <c r="C1147" s="21"/>
      <c r="D1147" s="21"/>
      <c r="E1147" s="21"/>
      <c r="F1147" s="42" t="s">
        <v>312</v>
      </c>
      <c r="G1147" s="97">
        <v>610</v>
      </c>
      <c r="H1147" s="21" t="s">
        <v>245</v>
      </c>
      <c r="I1147" s="15">
        <f>22280+720</f>
        <v>23000</v>
      </c>
      <c r="J1147" s="15"/>
      <c r="K1147" s="15">
        <f t="shared" si="454"/>
        <v>23000</v>
      </c>
      <c r="L1147" s="130"/>
      <c r="M1147" s="15"/>
      <c r="N1147" s="15"/>
      <c r="O1147" s="15">
        <f t="shared" si="452"/>
        <v>0</v>
      </c>
      <c r="Q1147" s="15">
        <f t="shared" si="450"/>
        <v>23000</v>
      </c>
      <c r="R1147" s="15">
        <f t="shared" si="459"/>
        <v>0</v>
      </c>
      <c r="S1147" s="15">
        <f t="shared" si="460"/>
        <v>23000</v>
      </c>
    </row>
    <row r="1148" spans="2:19" ht="15" customHeight="1" x14ac:dyDescent="0.25">
      <c r="B1148" s="73">
        <f t="shared" si="451"/>
        <v>572</v>
      </c>
      <c r="C1148" s="21"/>
      <c r="D1148" s="21"/>
      <c r="E1148" s="21"/>
      <c r="F1148" s="42" t="s">
        <v>312</v>
      </c>
      <c r="G1148" s="97">
        <v>620</v>
      </c>
      <c r="H1148" s="21" t="s">
        <v>228</v>
      </c>
      <c r="I1148" s="15">
        <f>8280+252</f>
        <v>8532</v>
      </c>
      <c r="J1148" s="15"/>
      <c r="K1148" s="15">
        <f t="shared" si="454"/>
        <v>8532</v>
      </c>
      <c r="L1148" s="130"/>
      <c r="M1148" s="15"/>
      <c r="N1148" s="15"/>
      <c r="O1148" s="15">
        <f t="shared" si="452"/>
        <v>0</v>
      </c>
      <c r="Q1148" s="15">
        <f t="shared" si="450"/>
        <v>8532</v>
      </c>
      <c r="R1148" s="15">
        <f t="shared" si="459"/>
        <v>0</v>
      </c>
      <c r="S1148" s="15">
        <f t="shared" si="460"/>
        <v>8532</v>
      </c>
    </row>
    <row r="1149" spans="2:19" x14ac:dyDescent="0.25">
      <c r="B1149" s="73">
        <f t="shared" si="451"/>
        <v>573</v>
      </c>
      <c r="C1149" s="21"/>
      <c r="D1149" s="21"/>
      <c r="E1149" s="21"/>
      <c r="F1149" s="42" t="s">
        <v>312</v>
      </c>
      <c r="G1149" s="97">
        <v>630</v>
      </c>
      <c r="H1149" s="21" t="s">
        <v>218</v>
      </c>
      <c r="I1149" s="15">
        <f>I1150+I1151+I1152</f>
        <v>6075</v>
      </c>
      <c r="J1149" s="15">
        <f t="shared" ref="J1149" si="471">J1150+J1151+J1152</f>
        <v>0</v>
      </c>
      <c r="K1149" s="15">
        <f t="shared" si="454"/>
        <v>6075</v>
      </c>
      <c r="L1149" s="130"/>
      <c r="M1149" s="15"/>
      <c r="N1149" s="15"/>
      <c r="O1149" s="15">
        <f t="shared" si="452"/>
        <v>0</v>
      </c>
      <c r="Q1149" s="15">
        <f t="shared" si="450"/>
        <v>6075</v>
      </c>
      <c r="R1149" s="15">
        <f t="shared" si="459"/>
        <v>0</v>
      </c>
      <c r="S1149" s="15">
        <f t="shared" si="460"/>
        <v>6075</v>
      </c>
    </row>
    <row r="1150" spans="2:19" x14ac:dyDescent="0.25">
      <c r="B1150" s="73">
        <f t="shared" si="451"/>
        <v>574</v>
      </c>
      <c r="C1150" s="9"/>
      <c r="D1150" s="9"/>
      <c r="E1150" s="9"/>
      <c r="F1150" s="43" t="s">
        <v>312</v>
      </c>
      <c r="G1150" s="98">
        <v>633</v>
      </c>
      <c r="H1150" s="9" t="s">
        <v>220</v>
      </c>
      <c r="I1150" s="10">
        <v>3750</v>
      </c>
      <c r="J1150" s="10"/>
      <c r="K1150" s="10">
        <f t="shared" si="454"/>
        <v>3750</v>
      </c>
      <c r="L1150" s="131"/>
      <c r="M1150" s="10"/>
      <c r="N1150" s="10"/>
      <c r="O1150" s="10">
        <f t="shared" si="452"/>
        <v>0</v>
      </c>
      <c r="Q1150" s="10">
        <f t="shared" si="450"/>
        <v>3750</v>
      </c>
      <c r="R1150" s="10">
        <f t="shared" si="459"/>
        <v>0</v>
      </c>
      <c r="S1150" s="10">
        <f t="shared" si="460"/>
        <v>3750</v>
      </c>
    </row>
    <row r="1151" spans="2:19" x14ac:dyDescent="0.25">
      <c r="B1151" s="73">
        <f t="shared" si="451"/>
        <v>575</v>
      </c>
      <c r="C1151" s="9"/>
      <c r="D1151" s="9"/>
      <c r="E1151" s="9"/>
      <c r="F1151" s="43" t="s">
        <v>312</v>
      </c>
      <c r="G1151" s="98">
        <v>635</v>
      </c>
      <c r="H1151" s="9" t="s">
        <v>234</v>
      </c>
      <c r="I1151" s="10">
        <v>1400</v>
      </c>
      <c r="J1151" s="10"/>
      <c r="K1151" s="10">
        <f t="shared" si="454"/>
        <v>1400</v>
      </c>
      <c r="L1151" s="131"/>
      <c r="M1151" s="10"/>
      <c r="N1151" s="10"/>
      <c r="O1151" s="10">
        <f t="shared" si="452"/>
        <v>0</v>
      </c>
      <c r="Q1151" s="10">
        <f t="shared" si="450"/>
        <v>1400</v>
      </c>
      <c r="R1151" s="10">
        <f t="shared" si="459"/>
        <v>0</v>
      </c>
      <c r="S1151" s="10">
        <f t="shared" si="460"/>
        <v>1400</v>
      </c>
    </row>
    <row r="1152" spans="2:19" x14ac:dyDescent="0.25">
      <c r="B1152" s="73">
        <f t="shared" si="451"/>
        <v>576</v>
      </c>
      <c r="C1152" s="9"/>
      <c r="D1152" s="9"/>
      <c r="E1152" s="9"/>
      <c r="F1152" s="43" t="s">
        <v>312</v>
      </c>
      <c r="G1152" s="98">
        <v>637</v>
      </c>
      <c r="H1152" s="9" t="s">
        <v>223</v>
      </c>
      <c r="I1152" s="10">
        <v>925</v>
      </c>
      <c r="J1152" s="10"/>
      <c r="K1152" s="10">
        <f t="shared" si="454"/>
        <v>925</v>
      </c>
      <c r="L1152" s="131"/>
      <c r="M1152" s="10"/>
      <c r="N1152" s="10"/>
      <c r="O1152" s="10">
        <f t="shared" si="452"/>
        <v>0</v>
      </c>
      <c r="Q1152" s="10">
        <f t="shared" si="450"/>
        <v>925</v>
      </c>
      <c r="R1152" s="10">
        <f t="shared" si="459"/>
        <v>0</v>
      </c>
      <c r="S1152" s="10">
        <f t="shared" si="460"/>
        <v>925</v>
      </c>
    </row>
    <row r="1153" spans="2:19" x14ac:dyDescent="0.25">
      <c r="B1153" s="73">
        <f t="shared" si="451"/>
        <v>577</v>
      </c>
      <c r="C1153" s="40"/>
      <c r="D1153" s="40"/>
      <c r="E1153" s="40" t="s">
        <v>105</v>
      </c>
      <c r="F1153" s="40"/>
      <c r="G1153" s="96"/>
      <c r="H1153" s="40" t="s">
        <v>106</v>
      </c>
      <c r="I1153" s="41">
        <f>I1154+I1155+I1156</f>
        <v>27411</v>
      </c>
      <c r="J1153" s="41">
        <f t="shared" ref="J1153" si="472">J1154+J1155+J1156</f>
        <v>0</v>
      </c>
      <c r="K1153" s="41">
        <f t="shared" si="454"/>
        <v>27411</v>
      </c>
      <c r="L1153" s="130"/>
      <c r="M1153" s="41">
        <v>0</v>
      </c>
      <c r="N1153" s="41">
        <v>0</v>
      </c>
      <c r="O1153" s="41">
        <f t="shared" si="452"/>
        <v>0</v>
      </c>
      <c r="Q1153" s="41">
        <f t="shared" si="450"/>
        <v>27411</v>
      </c>
      <c r="R1153" s="41">
        <f t="shared" si="459"/>
        <v>0</v>
      </c>
      <c r="S1153" s="41">
        <f t="shared" si="460"/>
        <v>27411</v>
      </c>
    </row>
    <row r="1154" spans="2:19" x14ac:dyDescent="0.25">
      <c r="B1154" s="73">
        <f t="shared" si="451"/>
        <v>578</v>
      </c>
      <c r="C1154" s="21"/>
      <c r="D1154" s="21"/>
      <c r="E1154" s="21"/>
      <c r="F1154" s="42" t="s">
        <v>312</v>
      </c>
      <c r="G1154" s="97">
        <v>610</v>
      </c>
      <c r="H1154" s="21" t="s">
        <v>245</v>
      </c>
      <c r="I1154" s="15">
        <f>17385+360</f>
        <v>17745</v>
      </c>
      <c r="J1154" s="15"/>
      <c r="K1154" s="15">
        <f t="shared" si="454"/>
        <v>17745</v>
      </c>
      <c r="L1154" s="130"/>
      <c r="M1154" s="15"/>
      <c r="N1154" s="15"/>
      <c r="O1154" s="15">
        <f t="shared" si="452"/>
        <v>0</v>
      </c>
      <c r="Q1154" s="15">
        <f t="shared" si="450"/>
        <v>17745</v>
      </c>
      <c r="R1154" s="15">
        <f t="shared" si="459"/>
        <v>0</v>
      </c>
      <c r="S1154" s="15">
        <f t="shared" si="460"/>
        <v>17745</v>
      </c>
    </row>
    <row r="1155" spans="2:19" x14ac:dyDescent="0.25">
      <c r="B1155" s="73">
        <f t="shared" si="451"/>
        <v>579</v>
      </c>
      <c r="C1155" s="21"/>
      <c r="D1155" s="21"/>
      <c r="E1155" s="21"/>
      <c r="F1155" s="42" t="s">
        <v>312</v>
      </c>
      <c r="G1155" s="97">
        <v>620</v>
      </c>
      <c r="H1155" s="21" t="s">
        <v>228</v>
      </c>
      <c r="I1155" s="15">
        <f>6460+126</f>
        <v>6586</v>
      </c>
      <c r="J1155" s="15"/>
      <c r="K1155" s="15">
        <f t="shared" si="454"/>
        <v>6586</v>
      </c>
      <c r="L1155" s="130"/>
      <c r="M1155" s="15"/>
      <c r="N1155" s="15"/>
      <c r="O1155" s="15">
        <f t="shared" si="452"/>
        <v>0</v>
      </c>
      <c r="Q1155" s="15">
        <f t="shared" si="450"/>
        <v>6586</v>
      </c>
      <c r="R1155" s="15">
        <f t="shared" si="459"/>
        <v>0</v>
      </c>
      <c r="S1155" s="15">
        <f t="shared" si="460"/>
        <v>6586</v>
      </c>
    </row>
    <row r="1156" spans="2:19" x14ac:dyDescent="0.25">
      <c r="B1156" s="73">
        <f t="shared" si="451"/>
        <v>580</v>
      </c>
      <c r="C1156" s="21"/>
      <c r="D1156" s="21"/>
      <c r="E1156" s="21"/>
      <c r="F1156" s="42" t="s">
        <v>312</v>
      </c>
      <c r="G1156" s="97">
        <v>630</v>
      </c>
      <c r="H1156" s="21" t="s">
        <v>218</v>
      </c>
      <c r="I1156" s="15">
        <f>I1157+I1158+I1159</f>
        <v>3080</v>
      </c>
      <c r="J1156" s="15">
        <f t="shared" ref="J1156" si="473">J1157+J1158+J1159</f>
        <v>0</v>
      </c>
      <c r="K1156" s="15">
        <f t="shared" si="454"/>
        <v>3080</v>
      </c>
      <c r="L1156" s="130"/>
      <c r="M1156" s="15"/>
      <c r="N1156" s="15"/>
      <c r="O1156" s="15">
        <f t="shared" si="452"/>
        <v>0</v>
      </c>
      <c r="Q1156" s="15">
        <f t="shared" si="450"/>
        <v>3080</v>
      </c>
      <c r="R1156" s="15">
        <f t="shared" si="459"/>
        <v>0</v>
      </c>
      <c r="S1156" s="15">
        <f t="shared" si="460"/>
        <v>3080</v>
      </c>
    </row>
    <row r="1157" spans="2:19" x14ac:dyDescent="0.25">
      <c r="B1157" s="73">
        <f t="shared" si="451"/>
        <v>581</v>
      </c>
      <c r="C1157" s="9"/>
      <c r="D1157" s="9"/>
      <c r="E1157" s="9"/>
      <c r="F1157" s="43" t="s">
        <v>312</v>
      </c>
      <c r="G1157" s="98">
        <v>633</v>
      </c>
      <c r="H1157" s="9" t="s">
        <v>220</v>
      </c>
      <c r="I1157" s="10">
        <v>950</v>
      </c>
      <c r="J1157" s="10"/>
      <c r="K1157" s="10">
        <f t="shared" si="454"/>
        <v>950</v>
      </c>
      <c r="L1157" s="131"/>
      <c r="M1157" s="10"/>
      <c r="N1157" s="10"/>
      <c r="O1157" s="10">
        <f t="shared" si="452"/>
        <v>0</v>
      </c>
      <c r="Q1157" s="10">
        <f t="shared" si="450"/>
        <v>950</v>
      </c>
      <c r="R1157" s="10">
        <f t="shared" si="459"/>
        <v>0</v>
      </c>
      <c r="S1157" s="10">
        <f t="shared" si="460"/>
        <v>950</v>
      </c>
    </row>
    <row r="1158" spans="2:19" x14ac:dyDescent="0.25">
      <c r="B1158" s="73">
        <f t="shared" si="451"/>
        <v>582</v>
      </c>
      <c r="C1158" s="9"/>
      <c r="D1158" s="9"/>
      <c r="E1158" s="9"/>
      <c r="F1158" s="43" t="s">
        <v>312</v>
      </c>
      <c r="G1158" s="98">
        <v>635</v>
      </c>
      <c r="H1158" s="9" t="s">
        <v>234</v>
      </c>
      <c r="I1158" s="10">
        <v>1400</v>
      </c>
      <c r="J1158" s="10"/>
      <c r="K1158" s="10">
        <f t="shared" si="454"/>
        <v>1400</v>
      </c>
      <c r="L1158" s="131"/>
      <c r="M1158" s="10"/>
      <c r="N1158" s="10"/>
      <c r="O1158" s="10">
        <f t="shared" si="452"/>
        <v>0</v>
      </c>
      <c r="Q1158" s="10">
        <f t="shared" si="450"/>
        <v>1400</v>
      </c>
      <c r="R1158" s="10">
        <f t="shared" si="459"/>
        <v>0</v>
      </c>
      <c r="S1158" s="10">
        <f t="shared" si="460"/>
        <v>1400</v>
      </c>
    </row>
    <row r="1159" spans="2:19" x14ac:dyDescent="0.25">
      <c r="B1159" s="73">
        <f t="shared" si="451"/>
        <v>583</v>
      </c>
      <c r="C1159" s="9"/>
      <c r="D1159" s="9"/>
      <c r="E1159" s="9"/>
      <c r="F1159" s="43" t="s">
        <v>312</v>
      </c>
      <c r="G1159" s="98">
        <v>637</v>
      </c>
      <c r="H1159" s="9" t="s">
        <v>223</v>
      </c>
      <c r="I1159" s="10">
        <v>730</v>
      </c>
      <c r="J1159" s="10"/>
      <c r="K1159" s="10">
        <f t="shared" si="454"/>
        <v>730</v>
      </c>
      <c r="L1159" s="131"/>
      <c r="M1159" s="10"/>
      <c r="N1159" s="10"/>
      <c r="O1159" s="10">
        <f t="shared" si="452"/>
        <v>0</v>
      </c>
      <c r="Q1159" s="10">
        <f t="shared" ref="Q1159:Q1222" si="474">I1159+M1159</f>
        <v>730</v>
      </c>
      <c r="R1159" s="10">
        <f t="shared" si="459"/>
        <v>0</v>
      </c>
      <c r="S1159" s="10">
        <f t="shared" si="460"/>
        <v>730</v>
      </c>
    </row>
    <row r="1160" spans="2:19" x14ac:dyDescent="0.25">
      <c r="B1160" s="73">
        <f t="shared" ref="B1160:B1223" si="475">B1159+1</f>
        <v>584</v>
      </c>
      <c r="C1160" s="40"/>
      <c r="D1160" s="40"/>
      <c r="E1160" s="40" t="s">
        <v>107</v>
      </c>
      <c r="F1160" s="40"/>
      <c r="G1160" s="96"/>
      <c r="H1160" s="40" t="s">
        <v>108</v>
      </c>
      <c r="I1160" s="41">
        <f>I1161+I1162+I1163+I1167</f>
        <v>18668</v>
      </c>
      <c r="J1160" s="41">
        <f t="shared" ref="J1160" si="476">J1161+J1162+J1163+J1167</f>
        <v>0</v>
      </c>
      <c r="K1160" s="41">
        <f t="shared" si="454"/>
        <v>18668</v>
      </c>
      <c r="L1160" s="130"/>
      <c r="M1160" s="41">
        <v>0</v>
      </c>
      <c r="N1160" s="41">
        <v>0</v>
      </c>
      <c r="O1160" s="41">
        <f t="shared" ref="O1160:O1223" si="477">M1160+N1160</f>
        <v>0</v>
      </c>
      <c r="Q1160" s="41">
        <f t="shared" si="474"/>
        <v>18668</v>
      </c>
      <c r="R1160" s="41">
        <f t="shared" si="459"/>
        <v>0</v>
      </c>
      <c r="S1160" s="41">
        <f t="shared" si="460"/>
        <v>18668</v>
      </c>
    </row>
    <row r="1161" spans="2:19" x14ac:dyDescent="0.25">
      <c r="B1161" s="73">
        <f t="shared" si="475"/>
        <v>585</v>
      </c>
      <c r="C1161" s="21"/>
      <c r="D1161" s="21"/>
      <c r="E1161" s="21"/>
      <c r="F1161" s="42" t="s">
        <v>312</v>
      </c>
      <c r="G1161" s="97">
        <v>610</v>
      </c>
      <c r="H1161" s="21" t="s">
        <v>245</v>
      </c>
      <c r="I1161" s="15">
        <v>9360</v>
      </c>
      <c r="J1161" s="15"/>
      <c r="K1161" s="15">
        <f t="shared" si="454"/>
        <v>9360</v>
      </c>
      <c r="L1161" s="130"/>
      <c r="M1161" s="15"/>
      <c r="N1161" s="15"/>
      <c r="O1161" s="15">
        <f t="shared" si="477"/>
        <v>0</v>
      </c>
      <c r="Q1161" s="15">
        <f t="shared" si="474"/>
        <v>9360</v>
      </c>
      <c r="R1161" s="15">
        <f t="shared" si="459"/>
        <v>0</v>
      </c>
      <c r="S1161" s="15">
        <f t="shared" si="460"/>
        <v>9360</v>
      </c>
    </row>
    <row r="1162" spans="2:19" x14ac:dyDescent="0.25">
      <c r="B1162" s="73">
        <f t="shared" si="475"/>
        <v>586</v>
      </c>
      <c r="C1162" s="21"/>
      <c r="D1162" s="21"/>
      <c r="E1162" s="21"/>
      <c r="F1162" s="42" t="s">
        <v>312</v>
      </c>
      <c r="G1162" s="97">
        <v>620</v>
      </c>
      <c r="H1162" s="21" t="s">
        <v>228</v>
      </c>
      <c r="I1162" s="15">
        <v>3475</v>
      </c>
      <c r="J1162" s="15"/>
      <c r="K1162" s="15">
        <f t="shared" ref="K1162:K1225" si="478">I1162+J1162</f>
        <v>3475</v>
      </c>
      <c r="L1162" s="130"/>
      <c r="M1162" s="15"/>
      <c r="N1162" s="15"/>
      <c r="O1162" s="15">
        <f t="shared" si="477"/>
        <v>0</v>
      </c>
      <c r="Q1162" s="15">
        <f t="shared" si="474"/>
        <v>3475</v>
      </c>
      <c r="R1162" s="15">
        <f t="shared" si="459"/>
        <v>0</v>
      </c>
      <c r="S1162" s="15">
        <f t="shared" si="460"/>
        <v>3475</v>
      </c>
    </row>
    <row r="1163" spans="2:19" x14ac:dyDescent="0.25">
      <c r="B1163" s="73">
        <f t="shared" si="475"/>
        <v>587</v>
      </c>
      <c r="C1163" s="21"/>
      <c r="D1163" s="21"/>
      <c r="E1163" s="21"/>
      <c r="F1163" s="42" t="s">
        <v>312</v>
      </c>
      <c r="G1163" s="97">
        <v>630</v>
      </c>
      <c r="H1163" s="21" t="s">
        <v>218</v>
      </c>
      <c r="I1163" s="15">
        <f>I1164+I1165+I1166</f>
        <v>4920</v>
      </c>
      <c r="J1163" s="15">
        <f t="shared" ref="J1163" si="479">J1164+J1165+J1166</f>
        <v>0</v>
      </c>
      <c r="K1163" s="15">
        <f t="shared" si="478"/>
        <v>4920</v>
      </c>
      <c r="L1163" s="130"/>
      <c r="M1163" s="15"/>
      <c r="N1163" s="15"/>
      <c r="O1163" s="15">
        <f t="shared" si="477"/>
        <v>0</v>
      </c>
      <c r="Q1163" s="15">
        <f t="shared" si="474"/>
        <v>4920</v>
      </c>
      <c r="R1163" s="15">
        <f t="shared" si="459"/>
        <v>0</v>
      </c>
      <c r="S1163" s="15">
        <f t="shared" si="460"/>
        <v>4920</v>
      </c>
    </row>
    <row r="1164" spans="2:19" x14ac:dyDescent="0.25">
      <c r="B1164" s="73">
        <f t="shared" si="475"/>
        <v>588</v>
      </c>
      <c r="C1164" s="9"/>
      <c r="D1164" s="9"/>
      <c r="E1164" s="9"/>
      <c r="F1164" s="43" t="s">
        <v>312</v>
      </c>
      <c r="G1164" s="98">
        <v>633</v>
      </c>
      <c r="H1164" s="9" t="s">
        <v>220</v>
      </c>
      <c r="I1164" s="10">
        <v>1680</v>
      </c>
      <c r="J1164" s="10"/>
      <c r="K1164" s="10">
        <f t="shared" si="478"/>
        <v>1680</v>
      </c>
      <c r="L1164" s="131"/>
      <c r="M1164" s="10"/>
      <c r="N1164" s="10"/>
      <c r="O1164" s="10">
        <f t="shared" si="477"/>
        <v>0</v>
      </c>
      <c r="Q1164" s="10">
        <f t="shared" si="474"/>
        <v>1680</v>
      </c>
      <c r="R1164" s="10">
        <f t="shared" si="459"/>
        <v>0</v>
      </c>
      <c r="S1164" s="10">
        <f t="shared" si="460"/>
        <v>1680</v>
      </c>
    </row>
    <row r="1165" spans="2:19" x14ac:dyDescent="0.25">
      <c r="B1165" s="73">
        <f t="shared" si="475"/>
        <v>589</v>
      </c>
      <c r="C1165" s="9"/>
      <c r="D1165" s="9"/>
      <c r="E1165" s="9"/>
      <c r="F1165" s="43" t="s">
        <v>312</v>
      </c>
      <c r="G1165" s="98">
        <v>635</v>
      </c>
      <c r="H1165" s="9" t="s">
        <v>234</v>
      </c>
      <c r="I1165" s="10">
        <v>2600</v>
      </c>
      <c r="J1165" s="10"/>
      <c r="K1165" s="10">
        <f t="shared" si="478"/>
        <v>2600</v>
      </c>
      <c r="L1165" s="131"/>
      <c r="M1165" s="10"/>
      <c r="N1165" s="10"/>
      <c r="O1165" s="10">
        <f t="shared" si="477"/>
        <v>0</v>
      </c>
      <c r="Q1165" s="10">
        <f t="shared" si="474"/>
        <v>2600</v>
      </c>
      <c r="R1165" s="10">
        <f t="shared" si="459"/>
        <v>0</v>
      </c>
      <c r="S1165" s="10">
        <f t="shared" si="460"/>
        <v>2600</v>
      </c>
    </row>
    <row r="1166" spans="2:19" x14ac:dyDescent="0.25">
      <c r="B1166" s="73">
        <f t="shared" si="475"/>
        <v>590</v>
      </c>
      <c r="C1166" s="9"/>
      <c r="D1166" s="9"/>
      <c r="E1166" s="9"/>
      <c r="F1166" s="43" t="s">
        <v>312</v>
      </c>
      <c r="G1166" s="98">
        <v>637</v>
      </c>
      <c r="H1166" s="9" t="s">
        <v>223</v>
      </c>
      <c r="I1166" s="10">
        <v>640</v>
      </c>
      <c r="J1166" s="10"/>
      <c r="K1166" s="10">
        <f t="shared" si="478"/>
        <v>640</v>
      </c>
      <c r="L1166" s="131"/>
      <c r="M1166" s="10"/>
      <c r="N1166" s="10"/>
      <c r="O1166" s="10">
        <f t="shared" si="477"/>
        <v>0</v>
      </c>
      <c r="Q1166" s="10">
        <f t="shared" si="474"/>
        <v>640</v>
      </c>
      <c r="R1166" s="10">
        <f t="shared" si="459"/>
        <v>0</v>
      </c>
      <c r="S1166" s="10">
        <f t="shared" si="460"/>
        <v>640</v>
      </c>
    </row>
    <row r="1167" spans="2:19" x14ac:dyDescent="0.25">
      <c r="B1167" s="73">
        <f t="shared" si="475"/>
        <v>591</v>
      </c>
      <c r="C1167" s="9"/>
      <c r="D1167" s="9"/>
      <c r="E1167" s="9"/>
      <c r="F1167" s="42" t="s">
        <v>312</v>
      </c>
      <c r="G1167" s="97">
        <v>640</v>
      </c>
      <c r="H1167" s="21" t="s">
        <v>230</v>
      </c>
      <c r="I1167" s="8">
        <v>913</v>
      </c>
      <c r="J1167" s="8"/>
      <c r="K1167" s="8">
        <f t="shared" si="478"/>
        <v>913</v>
      </c>
      <c r="L1167" s="130"/>
      <c r="M1167" s="10"/>
      <c r="N1167" s="10"/>
      <c r="O1167" s="10">
        <f t="shared" si="477"/>
        <v>0</v>
      </c>
      <c r="Q1167" s="10">
        <f t="shared" si="474"/>
        <v>913</v>
      </c>
      <c r="R1167" s="10">
        <f t="shared" si="459"/>
        <v>0</v>
      </c>
      <c r="S1167" s="10">
        <f t="shared" si="460"/>
        <v>913</v>
      </c>
    </row>
    <row r="1168" spans="2:19" x14ac:dyDescent="0.25">
      <c r="B1168" s="73">
        <f t="shared" si="475"/>
        <v>592</v>
      </c>
      <c r="C1168" s="40"/>
      <c r="D1168" s="40"/>
      <c r="E1168" s="40" t="s">
        <v>109</v>
      </c>
      <c r="F1168" s="40"/>
      <c r="G1168" s="96"/>
      <c r="H1168" s="40" t="s">
        <v>110</v>
      </c>
      <c r="I1168" s="41">
        <f>I1169+I1170+I1171</f>
        <v>24236</v>
      </c>
      <c r="J1168" s="41">
        <f t="shared" ref="J1168" si="480">J1169+J1170+J1171</f>
        <v>0</v>
      </c>
      <c r="K1168" s="41">
        <f t="shared" si="478"/>
        <v>24236</v>
      </c>
      <c r="L1168" s="130"/>
      <c r="M1168" s="41">
        <v>0</v>
      </c>
      <c r="N1168" s="41">
        <v>0</v>
      </c>
      <c r="O1168" s="41">
        <f t="shared" si="477"/>
        <v>0</v>
      </c>
      <c r="Q1168" s="41">
        <f t="shared" si="474"/>
        <v>24236</v>
      </c>
      <c r="R1168" s="41">
        <f t="shared" si="459"/>
        <v>0</v>
      </c>
      <c r="S1168" s="41">
        <f t="shared" si="460"/>
        <v>24236</v>
      </c>
    </row>
    <row r="1169" spans="2:19" x14ac:dyDescent="0.25">
      <c r="B1169" s="73">
        <f t="shared" si="475"/>
        <v>593</v>
      </c>
      <c r="C1169" s="21"/>
      <c r="D1169" s="21"/>
      <c r="E1169" s="21"/>
      <c r="F1169" s="42" t="s">
        <v>312</v>
      </c>
      <c r="G1169" s="97">
        <v>610</v>
      </c>
      <c r="H1169" s="21" t="s">
        <v>245</v>
      </c>
      <c r="I1169" s="15">
        <f>14265+360</f>
        <v>14625</v>
      </c>
      <c r="J1169" s="15"/>
      <c r="K1169" s="15">
        <f t="shared" si="478"/>
        <v>14625</v>
      </c>
      <c r="L1169" s="130"/>
      <c r="M1169" s="15"/>
      <c r="N1169" s="15"/>
      <c r="O1169" s="15">
        <f t="shared" si="477"/>
        <v>0</v>
      </c>
      <c r="Q1169" s="15">
        <f t="shared" si="474"/>
        <v>14625</v>
      </c>
      <c r="R1169" s="15">
        <f t="shared" si="459"/>
        <v>0</v>
      </c>
      <c r="S1169" s="15">
        <f t="shared" si="460"/>
        <v>14625</v>
      </c>
    </row>
    <row r="1170" spans="2:19" x14ac:dyDescent="0.25">
      <c r="B1170" s="73">
        <f t="shared" si="475"/>
        <v>594</v>
      </c>
      <c r="C1170" s="21"/>
      <c r="D1170" s="21"/>
      <c r="E1170" s="21"/>
      <c r="F1170" s="42" t="s">
        <v>312</v>
      </c>
      <c r="G1170" s="97">
        <v>620</v>
      </c>
      <c r="H1170" s="21" t="s">
        <v>228</v>
      </c>
      <c r="I1170" s="15">
        <f>5300+126</f>
        <v>5426</v>
      </c>
      <c r="J1170" s="15"/>
      <c r="K1170" s="15">
        <f t="shared" si="478"/>
        <v>5426</v>
      </c>
      <c r="L1170" s="130"/>
      <c r="M1170" s="15"/>
      <c r="N1170" s="15"/>
      <c r="O1170" s="15">
        <f t="shared" si="477"/>
        <v>0</v>
      </c>
      <c r="Q1170" s="15">
        <f t="shared" si="474"/>
        <v>5426</v>
      </c>
      <c r="R1170" s="15">
        <f t="shared" si="459"/>
        <v>0</v>
      </c>
      <c r="S1170" s="15">
        <f t="shared" si="460"/>
        <v>5426</v>
      </c>
    </row>
    <row r="1171" spans="2:19" x14ac:dyDescent="0.25">
      <c r="B1171" s="73">
        <f t="shared" si="475"/>
        <v>595</v>
      </c>
      <c r="C1171" s="21"/>
      <c r="D1171" s="21"/>
      <c r="E1171" s="21"/>
      <c r="F1171" s="42" t="s">
        <v>312</v>
      </c>
      <c r="G1171" s="97">
        <v>630</v>
      </c>
      <c r="H1171" s="21" t="s">
        <v>218</v>
      </c>
      <c r="I1171" s="15">
        <f>I1172+I1173+I1174</f>
        <v>4185</v>
      </c>
      <c r="J1171" s="15">
        <f t="shared" ref="J1171" si="481">J1172+J1173+J1174</f>
        <v>0</v>
      </c>
      <c r="K1171" s="15">
        <f t="shared" si="478"/>
        <v>4185</v>
      </c>
      <c r="L1171" s="130"/>
      <c r="M1171" s="15"/>
      <c r="N1171" s="15"/>
      <c r="O1171" s="15">
        <f t="shared" si="477"/>
        <v>0</v>
      </c>
      <c r="Q1171" s="15">
        <f t="shared" si="474"/>
        <v>4185</v>
      </c>
      <c r="R1171" s="15">
        <f t="shared" si="459"/>
        <v>0</v>
      </c>
      <c r="S1171" s="15">
        <f t="shared" si="460"/>
        <v>4185</v>
      </c>
    </row>
    <row r="1172" spans="2:19" x14ac:dyDescent="0.25">
      <c r="B1172" s="73">
        <f t="shared" si="475"/>
        <v>596</v>
      </c>
      <c r="C1172" s="9"/>
      <c r="D1172" s="9"/>
      <c r="E1172" s="9"/>
      <c r="F1172" s="43" t="s">
        <v>312</v>
      </c>
      <c r="G1172" s="98">
        <v>633</v>
      </c>
      <c r="H1172" s="9" t="s">
        <v>220</v>
      </c>
      <c r="I1172" s="10">
        <v>2310</v>
      </c>
      <c r="J1172" s="10"/>
      <c r="K1172" s="10">
        <f t="shared" si="478"/>
        <v>2310</v>
      </c>
      <c r="L1172" s="131"/>
      <c r="M1172" s="10"/>
      <c r="N1172" s="10"/>
      <c r="O1172" s="10">
        <f t="shared" si="477"/>
        <v>0</v>
      </c>
      <c r="Q1172" s="10">
        <f t="shared" si="474"/>
        <v>2310</v>
      </c>
      <c r="R1172" s="10">
        <f t="shared" si="459"/>
        <v>0</v>
      </c>
      <c r="S1172" s="10">
        <f t="shared" si="460"/>
        <v>2310</v>
      </c>
    </row>
    <row r="1173" spans="2:19" x14ac:dyDescent="0.25">
      <c r="B1173" s="73">
        <f t="shared" si="475"/>
        <v>597</v>
      </c>
      <c r="C1173" s="9"/>
      <c r="D1173" s="9"/>
      <c r="E1173" s="9"/>
      <c r="F1173" s="43" t="s">
        <v>312</v>
      </c>
      <c r="G1173" s="98">
        <v>635</v>
      </c>
      <c r="H1173" s="9" t="s">
        <v>234</v>
      </c>
      <c r="I1173" s="10">
        <v>1300</v>
      </c>
      <c r="J1173" s="10"/>
      <c r="K1173" s="10">
        <f t="shared" si="478"/>
        <v>1300</v>
      </c>
      <c r="L1173" s="131"/>
      <c r="M1173" s="10"/>
      <c r="N1173" s="10"/>
      <c r="O1173" s="10">
        <f t="shared" si="477"/>
        <v>0</v>
      </c>
      <c r="Q1173" s="10">
        <f t="shared" si="474"/>
        <v>1300</v>
      </c>
      <c r="R1173" s="10">
        <f t="shared" si="459"/>
        <v>0</v>
      </c>
      <c r="S1173" s="10">
        <f t="shared" si="460"/>
        <v>1300</v>
      </c>
    </row>
    <row r="1174" spans="2:19" x14ac:dyDescent="0.25">
      <c r="B1174" s="73">
        <f t="shared" si="475"/>
        <v>598</v>
      </c>
      <c r="C1174" s="9"/>
      <c r="D1174" s="9"/>
      <c r="E1174" s="9"/>
      <c r="F1174" s="43" t="s">
        <v>312</v>
      </c>
      <c r="G1174" s="98">
        <v>637</v>
      </c>
      <c r="H1174" s="9" t="s">
        <v>223</v>
      </c>
      <c r="I1174" s="10">
        <v>575</v>
      </c>
      <c r="J1174" s="10"/>
      <c r="K1174" s="10">
        <f t="shared" si="478"/>
        <v>575</v>
      </c>
      <c r="L1174" s="131"/>
      <c r="M1174" s="10"/>
      <c r="N1174" s="10"/>
      <c r="O1174" s="10">
        <f t="shared" si="477"/>
        <v>0</v>
      </c>
      <c r="Q1174" s="10">
        <f t="shared" si="474"/>
        <v>575</v>
      </c>
      <c r="R1174" s="10">
        <f t="shared" si="459"/>
        <v>0</v>
      </c>
      <c r="S1174" s="10">
        <f t="shared" si="460"/>
        <v>575</v>
      </c>
    </row>
    <row r="1175" spans="2:19" x14ac:dyDescent="0.25">
      <c r="B1175" s="73">
        <f t="shared" si="475"/>
        <v>599</v>
      </c>
      <c r="C1175" s="40"/>
      <c r="D1175" s="40"/>
      <c r="E1175" s="40" t="s">
        <v>117</v>
      </c>
      <c r="F1175" s="40"/>
      <c r="G1175" s="96"/>
      <c r="H1175" s="40" t="s">
        <v>118</v>
      </c>
      <c r="I1175" s="41">
        <f>I1176+I1177+I1178</f>
        <v>48765</v>
      </c>
      <c r="J1175" s="41">
        <f t="shared" ref="J1175" si="482">J1176+J1177+J1178</f>
        <v>0</v>
      </c>
      <c r="K1175" s="41">
        <f t="shared" si="478"/>
        <v>48765</v>
      </c>
      <c r="L1175" s="130"/>
      <c r="M1175" s="41">
        <v>0</v>
      </c>
      <c r="N1175" s="41">
        <v>0</v>
      </c>
      <c r="O1175" s="41">
        <f t="shared" si="477"/>
        <v>0</v>
      </c>
      <c r="Q1175" s="41">
        <f t="shared" si="474"/>
        <v>48765</v>
      </c>
      <c r="R1175" s="41">
        <f t="shared" ref="R1175:R1238" si="483">J1175+N1175</f>
        <v>0</v>
      </c>
      <c r="S1175" s="41">
        <f t="shared" ref="S1175:S1238" si="484">K1175+O1175</f>
        <v>48765</v>
      </c>
    </row>
    <row r="1176" spans="2:19" ht="23.25" customHeight="1" x14ac:dyDescent="0.25">
      <c r="B1176" s="73">
        <f t="shared" si="475"/>
        <v>600</v>
      </c>
      <c r="C1176" s="21"/>
      <c r="D1176" s="21"/>
      <c r="E1176" s="21"/>
      <c r="F1176" s="42" t="s">
        <v>312</v>
      </c>
      <c r="G1176" s="97">
        <v>610</v>
      </c>
      <c r="H1176" s="21" t="s">
        <v>245</v>
      </c>
      <c r="I1176" s="15">
        <f>29337+1080</f>
        <v>30417</v>
      </c>
      <c r="J1176" s="15"/>
      <c r="K1176" s="15">
        <f t="shared" si="478"/>
        <v>30417</v>
      </c>
      <c r="L1176" s="130"/>
      <c r="M1176" s="15"/>
      <c r="N1176" s="15"/>
      <c r="O1176" s="15">
        <f t="shared" si="477"/>
        <v>0</v>
      </c>
      <c r="Q1176" s="15">
        <f t="shared" si="474"/>
        <v>30417</v>
      </c>
      <c r="R1176" s="15">
        <f t="shared" si="483"/>
        <v>0</v>
      </c>
      <c r="S1176" s="15">
        <f t="shared" si="484"/>
        <v>30417</v>
      </c>
    </row>
    <row r="1177" spans="2:19" x14ac:dyDescent="0.25">
      <c r="B1177" s="73">
        <f t="shared" si="475"/>
        <v>601</v>
      </c>
      <c r="C1177" s="21"/>
      <c r="D1177" s="21"/>
      <c r="E1177" s="21"/>
      <c r="F1177" s="42" t="s">
        <v>312</v>
      </c>
      <c r="G1177" s="97">
        <v>620</v>
      </c>
      <c r="H1177" s="21" t="s">
        <v>228</v>
      </c>
      <c r="I1177" s="15">
        <f>10890+378</f>
        <v>11268</v>
      </c>
      <c r="J1177" s="15"/>
      <c r="K1177" s="15">
        <f t="shared" si="478"/>
        <v>11268</v>
      </c>
      <c r="L1177" s="130"/>
      <c r="M1177" s="15"/>
      <c r="N1177" s="15"/>
      <c r="O1177" s="15">
        <f t="shared" si="477"/>
        <v>0</v>
      </c>
      <c r="Q1177" s="15">
        <f t="shared" si="474"/>
        <v>11268</v>
      </c>
      <c r="R1177" s="15">
        <f t="shared" si="483"/>
        <v>0</v>
      </c>
      <c r="S1177" s="15">
        <f t="shared" si="484"/>
        <v>11268</v>
      </c>
    </row>
    <row r="1178" spans="2:19" x14ac:dyDescent="0.25">
      <c r="B1178" s="73">
        <f t="shared" si="475"/>
        <v>602</v>
      </c>
      <c r="C1178" s="21"/>
      <c r="D1178" s="21"/>
      <c r="E1178" s="21"/>
      <c r="F1178" s="42" t="s">
        <v>312</v>
      </c>
      <c r="G1178" s="97">
        <v>630</v>
      </c>
      <c r="H1178" s="21" t="s">
        <v>218</v>
      </c>
      <c r="I1178" s="15">
        <f>SUM(I1179:I1182)</f>
        <v>7080</v>
      </c>
      <c r="J1178" s="15">
        <f t="shared" ref="J1178" si="485">SUM(J1179:J1182)</f>
        <v>0</v>
      </c>
      <c r="K1178" s="15">
        <f t="shared" si="478"/>
        <v>7080</v>
      </c>
      <c r="L1178" s="130"/>
      <c r="M1178" s="15"/>
      <c r="N1178" s="15"/>
      <c r="O1178" s="15">
        <f t="shared" si="477"/>
        <v>0</v>
      </c>
      <c r="Q1178" s="15">
        <f t="shared" si="474"/>
        <v>7080</v>
      </c>
      <c r="R1178" s="15">
        <f t="shared" si="483"/>
        <v>0</v>
      </c>
      <c r="S1178" s="15">
        <f t="shared" si="484"/>
        <v>7080</v>
      </c>
    </row>
    <row r="1179" spans="2:19" x14ac:dyDescent="0.25">
      <c r="B1179" s="73">
        <f t="shared" si="475"/>
        <v>603</v>
      </c>
      <c r="C1179" s="9"/>
      <c r="D1179" s="9"/>
      <c r="E1179" s="9"/>
      <c r="F1179" s="43" t="s">
        <v>312</v>
      </c>
      <c r="G1179" s="98">
        <v>632</v>
      </c>
      <c r="H1179" s="9" t="s">
        <v>229</v>
      </c>
      <c r="I1179" s="10">
        <v>610</v>
      </c>
      <c r="J1179" s="10"/>
      <c r="K1179" s="10">
        <f t="shared" si="478"/>
        <v>610</v>
      </c>
      <c r="L1179" s="131"/>
      <c r="M1179" s="10"/>
      <c r="N1179" s="10"/>
      <c r="O1179" s="10">
        <f t="shared" si="477"/>
        <v>0</v>
      </c>
      <c r="Q1179" s="10">
        <f t="shared" si="474"/>
        <v>610</v>
      </c>
      <c r="R1179" s="10">
        <f t="shared" si="483"/>
        <v>0</v>
      </c>
      <c r="S1179" s="10">
        <f t="shared" si="484"/>
        <v>610</v>
      </c>
    </row>
    <row r="1180" spans="2:19" x14ac:dyDescent="0.25">
      <c r="B1180" s="73">
        <f t="shared" si="475"/>
        <v>604</v>
      </c>
      <c r="C1180" s="9"/>
      <c r="D1180" s="9"/>
      <c r="E1180" s="9"/>
      <c r="F1180" s="43" t="s">
        <v>312</v>
      </c>
      <c r="G1180" s="98">
        <v>633</v>
      </c>
      <c r="H1180" s="9" t="s">
        <v>220</v>
      </c>
      <c r="I1180" s="10">
        <v>2400</v>
      </c>
      <c r="J1180" s="10"/>
      <c r="K1180" s="10">
        <f t="shared" si="478"/>
        <v>2400</v>
      </c>
      <c r="L1180" s="131"/>
      <c r="M1180" s="10"/>
      <c r="N1180" s="10"/>
      <c r="O1180" s="10">
        <f t="shared" si="477"/>
        <v>0</v>
      </c>
      <c r="Q1180" s="10">
        <f t="shared" si="474"/>
        <v>2400</v>
      </c>
      <c r="R1180" s="10">
        <f t="shared" si="483"/>
        <v>0</v>
      </c>
      <c r="S1180" s="10">
        <f t="shared" si="484"/>
        <v>2400</v>
      </c>
    </row>
    <row r="1181" spans="2:19" x14ac:dyDescent="0.25">
      <c r="B1181" s="73">
        <f t="shared" si="475"/>
        <v>605</v>
      </c>
      <c r="C1181" s="9"/>
      <c r="D1181" s="9"/>
      <c r="E1181" s="9"/>
      <c r="F1181" s="43" t="s">
        <v>312</v>
      </c>
      <c r="G1181" s="98">
        <v>635</v>
      </c>
      <c r="H1181" s="9" t="s">
        <v>234</v>
      </c>
      <c r="I1181" s="10">
        <v>1350</v>
      </c>
      <c r="J1181" s="10"/>
      <c r="K1181" s="10">
        <f t="shared" si="478"/>
        <v>1350</v>
      </c>
      <c r="L1181" s="131"/>
      <c r="M1181" s="10"/>
      <c r="N1181" s="10"/>
      <c r="O1181" s="10">
        <f t="shared" si="477"/>
        <v>0</v>
      </c>
      <c r="Q1181" s="10">
        <f t="shared" si="474"/>
        <v>1350</v>
      </c>
      <c r="R1181" s="10">
        <f t="shared" si="483"/>
        <v>0</v>
      </c>
      <c r="S1181" s="10">
        <f t="shared" si="484"/>
        <v>1350</v>
      </c>
    </row>
    <row r="1182" spans="2:19" x14ac:dyDescent="0.25">
      <c r="B1182" s="73">
        <f t="shared" si="475"/>
        <v>606</v>
      </c>
      <c r="C1182" s="9"/>
      <c r="D1182" s="9"/>
      <c r="E1182" s="9"/>
      <c r="F1182" s="43" t="s">
        <v>312</v>
      </c>
      <c r="G1182" s="98">
        <v>637</v>
      </c>
      <c r="H1182" s="9" t="s">
        <v>223</v>
      </c>
      <c r="I1182" s="10">
        <v>2720</v>
      </c>
      <c r="J1182" s="10"/>
      <c r="K1182" s="10">
        <f t="shared" si="478"/>
        <v>2720</v>
      </c>
      <c r="L1182" s="131"/>
      <c r="M1182" s="10"/>
      <c r="N1182" s="10"/>
      <c r="O1182" s="10">
        <f t="shared" si="477"/>
        <v>0</v>
      </c>
      <c r="Q1182" s="10">
        <f t="shared" si="474"/>
        <v>2720</v>
      </c>
      <c r="R1182" s="10">
        <f t="shared" si="483"/>
        <v>0</v>
      </c>
      <c r="S1182" s="10">
        <f t="shared" si="484"/>
        <v>2720</v>
      </c>
    </row>
    <row r="1183" spans="2:19" x14ac:dyDescent="0.25">
      <c r="B1183" s="73">
        <f t="shared" si="475"/>
        <v>607</v>
      </c>
      <c r="C1183" s="38"/>
      <c r="D1183" s="38"/>
      <c r="E1183" s="38">
        <v>6</v>
      </c>
      <c r="F1183" s="38"/>
      <c r="G1183" s="95"/>
      <c r="H1183" s="38" t="s">
        <v>167</v>
      </c>
      <c r="I1183" s="39">
        <f>I1184+I1185+I1186+I1191+I1192+I1193+I1194+I1199</f>
        <v>75704</v>
      </c>
      <c r="J1183" s="39">
        <f t="shared" ref="J1183" si="486">J1184+J1185+J1186+J1191+J1192+J1193+J1194+J1199</f>
        <v>0</v>
      </c>
      <c r="K1183" s="39">
        <f t="shared" si="478"/>
        <v>75704</v>
      </c>
      <c r="L1183" s="138"/>
      <c r="M1183" s="39">
        <v>0</v>
      </c>
      <c r="N1183" s="39">
        <v>0</v>
      </c>
      <c r="O1183" s="39">
        <f t="shared" si="477"/>
        <v>0</v>
      </c>
      <c r="Q1183" s="39">
        <f t="shared" si="474"/>
        <v>75704</v>
      </c>
      <c r="R1183" s="39">
        <f t="shared" si="483"/>
        <v>0</v>
      </c>
      <c r="S1183" s="39">
        <f t="shared" si="484"/>
        <v>75704</v>
      </c>
    </row>
    <row r="1184" spans="2:19" x14ac:dyDescent="0.25">
      <c r="B1184" s="73">
        <f t="shared" si="475"/>
        <v>608</v>
      </c>
      <c r="C1184" s="21"/>
      <c r="D1184" s="21"/>
      <c r="E1184" s="21"/>
      <c r="F1184" s="42" t="s">
        <v>309</v>
      </c>
      <c r="G1184" s="97">
        <v>610</v>
      </c>
      <c r="H1184" s="21" t="s">
        <v>245</v>
      </c>
      <c r="I1184" s="15">
        <f>21445+1080</f>
        <v>22525</v>
      </c>
      <c r="J1184" s="15"/>
      <c r="K1184" s="15">
        <f t="shared" si="478"/>
        <v>22525</v>
      </c>
      <c r="L1184" s="130"/>
      <c r="M1184" s="15"/>
      <c r="N1184" s="15"/>
      <c r="O1184" s="15">
        <f t="shared" si="477"/>
        <v>0</v>
      </c>
      <c r="Q1184" s="15">
        <f t="shared" si="474"/>
        <v>22525</v>
      </c>
      <c r="R1184" s="15">
        <f t="shared" si="483"/>
        <v>0</v>
      </c>
      <c r="S1184" s="15">
        <f t="shared" si="484"/>
        <v>22525</v>
      </c>
    </row>
    <row r="1185" spans="2:19" x14ac:dyDescent="0.25">
      <c r="B1185" s="73">
        <f t="shared" si="475"/>
        <v>609</v>
      </c>
      <c r="C1185" s="21"/>
      <c r="D1185" s="21"/>
      <c r="E1185" s="21"/>
      <c r="F1185" s="42" t="s">
        <v>309</v>
      </c>
      <c r="G1185" s="97">
        <v>620</v>
      </c>
      <c r="H1185" s="21" t="s">
        <v>228</v>
      </c>
      <c r="I1185" s="15">
        <f>8073+378</f>
        <v>8451</v>
      </c>
      <c r="J1185" s="15"/>
      <c r="K1185" s="15">
        <f t="shared" si="478"/>
        <v>8451</v>
      </c>
      <c r="L1185" s="130"/>
      <c r="M1185" s="15"/>
      <c r="N1185" s="15"/>
      <c r="O1185" s="15">
        <f t="shared" si="477"/>
        <v>0</v>
      </c>
      <c r="Q1185" s="15">
        <f t="shared" si="474"/>
        <v>8451</v>
      </c>
      <c r="R1185" s="15">
        <f t="shared" si="483"/>
        <v>0</v>
      </c>
      <c r="S1185" s="15">
        <f t="shared" si="484"/>
        <v>8451</v>
      </c>
    </row>
    <row r="1186" spans="2:19" x14ac:dyDescent="0.25">
      <c r="B1186" s="73">
        <f t="shared" si="475"/>
        <v>610</v>
      </c>
      <c r="C1186" s="21"/>
      <c r="D1186" s="21"/>
      <c r="E1186" s="21"/>
      <c r="F1186" s="42" t="s">
        <v>309</v>
      </c>
      <c r="G1186" s="97">
        <v>630</v>
      </c>
      <c r="H1186" s="21" t="s">
        <v>218</v>
      </c>
      <c r="I1186" s="15">
        <f>I1187+I1188+I1189+I1190</f>
        <v>6763</v>
      </c>
      <c r="J1186" s="15">
        <f t="shared" ref="J1186" si="487">J1187+J1188+J1189+J1190</f>
        <v>0</v>
      </c>
      <c r="K1186" s="15">
        <f t="shared" si="478"/>
        <v>6763</v>
      </c>
      <c r="L1186" s="130"/>
      <c r="M1186" s="15"/>
      <c r="N1186" s="15"/>
      <c r="O1186" s="15">
        <f t="shared" si="477"/>
        <v>0</v>
      </c>
      <c r="Q1186" s="15">
        <f t="shared" si="474"/>
        <v>6763</v>
      </c>
      <c r="R1186" s="15">
        <f t="shared" si="483"/>
        <v>0</v>
      </c>
      <c r="S1186" s="15">
        <f t="shared" si="484"/>
        <v>6763</v>
      </c>
    </row>
    <row r="1187" spans="2:19" x14ac:dyDescent="0.25">
      <c r="B1187" s="73">
        <f t="shared" si="475"/>
        <v>611</v>
      </c>
      <c r="C1187" s="9"/>
      <c r="D1187" s="9"/>
      <c r="E1187" s="9"/>
      <c r="F1187" s="43" t="s">
        <v>309</v>
      </c>
      <c r="G1187" s="98">
        <v>632</v>
      </c>
      <c r="H1187" s="9" t="s">
        <v>229</v>
      </c>
      <c r="I1187" s="10">
        <v>4806</v>
      </c>
      <c r="J1187" s="10"/>
      <c r="K1187" s="10">
        <f t="shared" si="478"/>
        <v>4806</v>
      </c>
      <c r="L1187" s="131"/>
      <c r="M1187" s="10"/>
      <c r="N1187" s="10"/>
      <c r="O1187" s="10">
        <f t="shared" si="477"/>
        <v>0</v>
      </c>
      <c r="Q1187" s="10">
        <f t="shared" si="474"/>
        <v>4806</v>
      </c>
      <c r="R1187" s="10">
        <f t="shared" si="483"/>
        <v>0</v>
      </c>
      <c r="S1187" s="10">
        <f t="shared" si="484"/>
        <v>4806</v>
      </c>
    </row>
    <row r="1188" spans="2:19" x14ac:dyDescent="0.25">
      <c r="B1188" s="73">
        <f t="shared" si="475"/>
        <v>612</v>
      </c>
      <c r="C1188" s="9"/>
      <c r="D1188" s="9"/>
      <c r="E1188" s="9"/>
      <c r="F1188" s="43" t="s">
        <v>309</v>
      </c>
      <c r="G1188" s="98">
        <v>633</v>
      </c>
      <c r="H1188" s="9" t="s">
        <v>220</v>
      </c>
      <c r="I1188" s="10">
        <v>541</v>
      </c>
      <c r="J1188" s="10"/>
      <c r="K1188" s="10">
        <f t="shared" si="478"/>
        <v>541</v>
      </c>
      <c r="L1188" s="131"/>
      <c r="M1188" s="10"/>
      <c r="N1188" s="10"/>
      <c r="O1188" s="10">
        <f t="shared" si="477"/>
        <v>0</v>
      </c>
      <c r="Q1188" s="10">
        <f t="shared" si="474"/>
        <v>541</v>
      </c>
      <c r="R1188" s="10">
        <f t="shared" si="483"/>
        <v>0</v>
      </c>
      <c r="S1188" s="10">
        <f t="shared" si="484"/>
        <v>541</v>
      </c>
    </row>
    <row r="1189" spans="2:19" x14ac:dyDescent="0.25">
      <c r="B1189" s="73">
        <f t="shared" si="475"/>
        <v>613</v>
      </c>
      <c r="C1189" s="9"/>
      <c r="D1189" s="9"/>
      <c r="E1189" s="9"/>
      <c r="F1189" s="43" t="s">
        <v>309</v>
      </c>
      <c r="G1189" s="98">
        <v>635</v>
      </c>
      <c r="H1189" s="9" t="s">
        <v>234</v>
      </c>
      <c r="I1189" s="10">
        <v>216</v>
      </c>
      <c r="J1189" s="10"/>
      <c r="K1189" s="10">
        <f t="shared" si="478"/>
        <v>216</v>
      </c>
      <c r="L1189" s="131"/>
      <c r="M1189" s="10"/>
      <c r="N1189" s="10"/>
      <c r="O1189" s="10">
        <f t="shared" si="477"/>
        <v>0</v>
      </c>
      <c r="Q1189" s="10">
        <f t="shared" si="474"/>
        <v>216</v>
      </c>
      <c r="R1189" s="10">
        <f t="shared" si="483"/>
        <v>0</v>
      </c>
      <c r="S1189" s="10">
        <f t="shared" si="484"/>
        <v>216</v>
      </c>
    </row>
    <row r="1190" spans="2:19" x14ac:dyDescent="0.25">
      <c r="B1190" s="73">
        <f t="shared" si="475"/>
        <v>614</v>
      </c>
      <c r="C1190" s="9"/>
      <c r="D1190" s="9"/>
      <c r="E1190" s="9"/>
      <c r="F1190" s="43" t="s">
        <v>309</v>
      </c>
      <c r="G1190" s="98">
        <v>637</v>
      </c>
      <c r="H1190" s="9" t="s">
        <v>223</v>
      </c>
      <c r="I1190" s="10">
        <v>1200</v>
      </c>
      <c r="J1190" s="10"/>
      <c r="K1190" s="10">
        <f t="shared" si="478"/>
        <v>1200</v>
      </c>
      <c r="L1190" s="131"/>
      <c r="M1190" s="10"/>
      <c r="N1190" s="10"/>
      <c r="O1190" s="10">
        <f t="shared" si="477"/>
        <v>0</v>
      </c>
      <c r="Q1190" s="10">
        <f t="shared" si="474"/>
        <v>1200</v>
      </c>
      <c r="R1190" s="10">
        <f t="shared" si="483"/>
        <v>0</v>
      </c>
      <c r="S1190" s="10">
        <f t="shared" si="484"/>
        <v>1200</v>
      </c>
    </row>
    <row r="1191" spans="2:19" x14ac:dyDescent="0.25">
      <c r="B1191" s="73">
        <f t="shared" si="475"/>
        <v>615</v>
      </c>
      <c r="C1191" s="21"/>
      <c r="D1191" s="21"/>
      <c r="E1191" s="21"/>
      <c r="F1191" s="42" t="s">
        <v>309</v>
      </c>
      <c r="G1191" s="97">
        <v>640</v>
      </c>
      <c r="H1191" s="21" t="s">
        <v>230</v>
      </c>
      <c r="I1191" s="15">
        <v>113</v>
      </c>
      <c r="J1191" s="15"/>
      <c r="K1191" s="15">
        <f t="shared" si="478"/>
        <v>113</v>
      </c>
      <c r="L1191" s="130"/>
      <c r="M1191" s="15"/>
      <c r="N1191" s="15"/>
      <c r="O1191" s="15">
        <f t="shared" si="477"/>
        <v>0</v>
      </c>
      <c r="Q1191" s="15">
        <f t="shared" si="474"/>
        <v>113</v>
      </c>
      <c r="R1191" s="15">
        <f t="shared" si="483"/>
        <v>0</v>
      </c>
      <c r="S1191" s="15">
        <f t="shared" si="484"/>
        <v>113</v>
      </c>
    </row>
    <row r="1192" spans="2:19" x14ac:dyDescent="0.25">
      <c r="B1192" s="73">
        <f t="shared" si="475"/>
        <v>616</v>
      </c>
      <c r="C1192" s="21"/>
      <c r="D1192" s="21"/>
      <c r="E1192" s="21"/>
      <c r="F1192" s="42" t="s">
        <v>307</v>
      </c>
      <c r="G1192" s="97">
        <v>610</v>
      </c>
      <c r="H1192" s="21" t="s">
        <v>245</v>
      </c>
      <c r="I1192" s="15">
        <f>21446+1080</f>
        <v>22526</v>
      </c>
      <c r="J1192" s="15"/>
      <c r="K1192" s="15">
        <f t="shared" si="478"/>
        <v>22526</v>
      </c>
      <c r="L1192" s="130"/>
      <c r="M1192" s="15"/>
      <c r="N1192" s="15"/>
      <c r="O1192" s="15">
        <f t="shared" si="477"/>
        <v>0</v>
      </c>
      <c r="Q1192" s="15">
        <f t="shared" si="474"/>
        <v>22526</v>
      </c>
      <c r="R1192" s="15">
        <f t="shared" si="483"/>
        <v>0</v>
      </c>
      <c r="S1192" s="15">
        <f t="shared" si="484"/>
        <v>22526</v>
      </c>
    </row>
    <row r="1193" spans="2:19" x14ac:dyDescent="0.25">
      <c r="B1193" s="73">
        <f t="shared" si="475"/>
        <v>617</v>
      </c>
      <c r="C1193" s="21"/>
      <c r="D1193" s="21"/>
      <c r="E1193" s="21"/>
      <c r="F1193" s="42" t="s">
        <v>307</v>
      </c>
      <c r="G1193" s="97">
        <v>620</v>
      </c>
      <c r="H1193" s="21" t="s">
        <v>228</v>
      </c>
      <c r="I1193" s="15">
        <f>8073+377</f>
        <v>8450</v>
      </c>
      <c r="J1193" s="15"/>
      <c r="K1193" s="15">
        <f t="shared" si="478"/>
        <v>8450</v>
      </c>
      <c r="L1193" s="130"/>
      <c r="M1193" s="15"/>
      <c r="N1193" s="15"/>
      <c r="O1193" s="15">
        <f t="shared" si="477"/>
        <v>0</v>
      </c>
      <c r="Q1193" s="15">
        <f t="shared" si="474"/>
        <v>8450</v>
      </c>
      <c r="R1193" s="15">
        <f t="shared" si="483"/>
        <v>0</v>
      </c>
      <c r="S1193" s="15">
        <f t="shared" si="484"/>
        <v>8450</v>
      </c>
    </row>
    <row r="1194" spans="2:19" x14ac:dyDescent="0.25">
      <c r="B1194" s="73">
        <f t="shared" si="475"/>
        <v>618</v>
      </c>
      <c r="C1194" s="21"/>
      <c r="D1194" s="21"/>
      <c r="E1194" s="21"/>
      <c r="F1194" s="42" t="s">
        <v>307</v>
      </c>
      <c r="G1194" s="97">
        <v>630</v>
      </c>
      <c r="H1194" s="21" t="s">
        <v>218</v>
      </c>
      <c r="I1194" s="15">
        <f>I1195+I1196+I1197+I1198</f>
        <v>6763</v>
      </c>
      <c r="J1194" s="15">
        <f t="shared" ref="J1194" si="488">J1195+J1196+J1197+J1198</f>
        <v>0</v>
      </c>
      <c r="K1194" s="15">
        <f t="shared" si="478"/>
        <v>6763</v>
      </c>
      <c r="L1194" s="130"/>
      <c r="M1194" s="15"/>
      <c r="N1194" s="15"/>
      <c r="O1194" s="15">
        <f t="shared" si="477"/>
        <v>0</v>
      </c>
      <c r="Q1194" s="15">
        <f t="shared" si="474"/>
        <v>6763</v>
      </c>
      <c r="R1194" s="15">
        <f t="shared" si="483"/>
        <v>0</v>
      </c>
      <c r="S1194" s="15">
        <f t="shared" si="484"/>
        <v>6763</v>
      </c>
    </row>
    <row r="1195" spans="2:19" x14ac:dyDescent="0.25">
      <c r="B1195" s="73">
        <f t="shared" si="475"/>
        <v>619</v>
      </c>
      <c r="C1195" s="9"/>
      <c r="D1195" s="9"/>
      <c r="E1195" s="9"/>
      <c r="F1195" s="43" t="s">
        <v>307</v>
      </c>
      <c r="G1195" s="98">
        <v>632</v>
      </c>
      <c r="H1195" s="9" t="s">
        <v>229</v>
      </c>
      <c r="I1195" s="10">
        <v>4806</v>
      </c>
      <c r="J1195" s="10"/>
      <c r="K1195" s="10">
        <f t="shared" si="478"/>
        <v>4806</v>
      </c>
      <c r="L1195" s="131"/>
      <c r="M1195" s="10"/>
      <c r="N1195" s="10"/>
      <c r="O1195" s="10">
        <f t="shared" si="477"/>
        <v>0</v>
      </c>
      <c r="Q1195" s="10">
        <f t="shared" si="474"/>
        <v>4806</v>
      </c>
      <c r="R1195" s="10">
        <f t="shared" si="483"/>
        <v>0</v>
      </c>
      <c r="S1195" s="10">
        <f t="shared" si="484"/>
        <v>4806</v>
      </c>
    </row>
    <row r="1196" spans="2:19" x14ac:dyDescent="0.25">
      <c r="B1196" s="73">
        <f t="shared" si="475"/>
        <v>620</v>
      </c>
      <c r="C1196" s="9"/>
      <c r="D1196" s="9"/>
      <c r="E1196" s="9"/>
      <c r="F1196" s="43" t="s">
        <v>307</v>
      </c>
      <c r="G1196" s="98">
        <v>633</v>
      </c>
      <c r="H1196" s="9" t="s">
        <v>220</v>
      </c>
      <c r="I1196" s="10">
        <v>541</v>
      </c>
      <c r="J1196" s="10"/>
      <c r="K1196" s="10">
        <f t="shared" si="478"/>
        <v>541</v>
      </c>
      <c r="L1196" s="131"/>
      <c r="M1196" s="10"/>
      <c r="N1196" s="10"/>
      <c r="O1196" s="10">
        <f t="shared" si="477"/>
        <v>0</v>
      </c>
      <c r="Q1196" s="10">
        <f t="shared" si="474"/>
        <v>541</v>
      </c>
      <c r="R1196" s="10">
        <f t="shared" si="483"/>
        <v>0</v>
      </c>
      <c r="S1196" s="10">
        <f t="shared" si="484"/>
        <v>541</v>
      </c>
    </row>
    <row r="1197" spans="2:19" x14ac:dyDescent="0.25">
      <c r="B1197" s="73">
        <f t="shared" si="475"/>
        <v>621</v>
      </c>
      <c r="C1197" s="9"/>
      <c r="D1197" s="9"/>
      <c r="E1197" s="9"/>
      <c r="F1197" s="43" t="s">
        <v>307</v>
      </c>
      <c r="G1197" s="98">
        <v>635</v>
      </c>
      <c r="H1197" s="9" t="s">
        <v>234</v>
      </c>
      <c r="I1197" s="10">
        <v>216</v>
      </c>
      <c r="J1197" s="10"/>
      <c r="K1197" s="10">
        <f t="shared" si="478"/>
        <v>216</v>
      </c>
      <c r="L1197" s="131"/>
      <c r="M1197" s="10"/>
      <c r="N1197" s="10"/>
      <c r="O1197" s="10">
        <f t="shared" si="477"/>
        <v>0</v>
      </c>
      <c r="Q1197" s="10">
        <f t="shared" si="474"/>
        <v>216</v>
      </c>
      <c r="R1197" s="10">
        <f t="shared" si="483"/>
        <v>0</v>
      </c>
      <c r="S1197" s="10">
        <f t="shared" si="484"/>
        <v>216</v>
      </c>
    </row>
    <row r="1198" spans="2:19" x14ac:dyDescent="0.25">
      <c r="B1198" s="73">
        <f t="shared" si="475"/>
        <v>622</v>
      </c>
      <c r="C1198" s="9"/>
      <c r="D1198" s="9"/>
      <c r="E1198" s="9"/>
      <c r="F1198" s="43" t="s">
        <v>307</v>
      </c>
      <c r="G1198" s="98">
        <v>637</v>
      </c>
      <c r="H1198" s="9" t="s">
        <v>223</v>
      </c>
      <c r="I1198" s="10">
        <v>1200</v>
      </c>
      <c r="J1198" s="10"/>
      <c r="K1198" s="10">
        <f t="shared" si="478"/>
        <v>1200</v>
      </c>
      <c r="L1198" s="131"/>
      <c r="M1198" s="10"/>
      <c r="N1198" s="10"/>
      <c r="O1198" s="10">
        <f t="shared" si="477"/>
        <v>0</v>
      </c>
      <c r="Q1198" s="10">
        <f t="shared" si="474"/>
        <v>1200</v>
      </c>
      <c r="R1198" s="10">
        <f t="shared" si="483"/>
        <v>0</v>
      </c>
      <c r="S1198" s="10">
        <f t="shared" si="484"/>
        <v>1200</v>
      </c>
    </row>
    <row r="1199" spans="2:19" x14ac:dyDescent="0.25">
      <c r="B1199" s="73">
        <f t="shared" si="475"/>
        <v>623</v>
      </c>
      <c r="C1199" s="21"/>
      <c r="D1199" s="21"/>
      <c r="E1199" s="21"/>
      <c r="F1199" s="42" t="s">
        <v>307</v>
      </c>
      <c r="G1199" s="97">
        <v>640</v>
      </c>
      <c r="H1199" s="21" t="s">
        <v>230</v>
      </c>
      <c r="I1199" s="15">
        <v>113</v>
      </c>
      <c r="J1199" s="15"/>
      <c r="K1199" s="15">
        <f t="shared" si="478"/>
        <v>113</v>
      </c>
      <c r="L1199" s="130"/>
      <c r="M1199" s="15"/>
      <c r="N1199" s="15"/>
      <c r="O1199" s="15">
        <f t="shared" si="477"/>
        <v>0</v>
      </c>
      <c r="Q1199" s="15">
        <f t="shared" si="474"/>
        <v>113</v>
      </c>
      <c r="R1199" s="15">
        <f t="shared" si="483"/>
        <v>0</v>
      </c>
      <c r="S1199" s="15">
        <f t="shared" si="484"/>
        <v>113</v>
      </c>
    </row>
    <row r="1200" spans="2:19" x14ac:dyDescent="0.25">
      <c r="B1200" s="73">
        <f t="shared" si="475"/>
        <v>624</v>
      </c>
      <c r="C1200" s="38"/>
      <c r="D1200" s="38"/>
      <c r="E1200" s="38">
        <v>7</v>
      </c>
      <c r="F1200" s="38"/>
      <c r="G1200" s="95"/>
      <c r="H1200" s="38" t="s">
        <v>168</v>
      </c>
      <c r="I1200" s="39">
        <f>I1201+I1202+I1203+I1208+I1209+I1210+I1211+I1216</f>
        <v>102033</v>
      </c>
      <c r="J1200" s="39">
        <f t="shared" ref="J1200" si="489">J1201+J1202+J1203+J1208+J1209+J1210+J1211+J1216</f>
        <v>0</v>
      </c>
      <c r="K1200" s="39">
        <f t="shared" si="478"/>
        <v>102033</v>
      </c>
      <c r="L1200" s="138"/>
      <c r="M1200" s="39">
        <v>0</v>
      </c>
      <c r="N1200" s="39">
        <v>0</v>
      </c>
      <c r="O1200" s="39">
        <f t="shared" si="477"/>
        <v>0</v>
      </c>
      <c r="Q1200" s="39">
        <f t="shared" si="474"/>
        <v>102033</v>
      </c>
      <c r="R1200" s="39">
        <f t="shared" si="483"/>
        <v>0</v>
      </c>
      <c r="S1200" s="39">
        <f t="shared" si="484"/>
        <v>102033</v>
      </c>
    </row>
    <row r="1201" spans="2:19" ht="15.75" customHeight="1" x14ac:dyDescent="0.25">
      <c r="B1201" s="73">
        <f t="shared" si="475"/>
        <v>625</v>
      </c>
      <c r="C1201" s="21"/>
      <c r="D1201" s="21"/>
      <c r="E1201" s="21"/>
      <c r="F1201" s="42" t="s">
        <v>309</v>
      </c>
      <c r="G1201" s="97">
        <v>610</v>
      </c>
      <c r="H1201" s="21" t="s">
        <v>245</v>
      </c>
      <c r="I1201" s="15">
        <f>26478+1080</f>
        <v>27558</v>
      </c>
      <c r="J1201" s="15"/>
      <c r="K1201" s="15">
        <f t="shared" si="478"/>
        <v>27558</v>
      </c>
      <c r="L1201" s="130"/>
      <c r="M1201" s="15"/>
      <c r="N1201" s="15"/>
      <c r="O1201" s="15">
        <f t="shared" si="477"/>
        <v>0</v>
      </c>
      <c r="Q1201" s="15">
        <f t="shared" si="474"/>
        <v>27558</v>
      </c>
      <c r="R1201" s="15">
        <f t="shared" si="483"/>
        <v>0</v>
      </c>
      <c r="S1201" s="15">
        <f t="shared" si="484"/>
        <v>27558</v>
      </c>
    </row>
    <row r="1202" spans="2:19" x14ac:dyDescent="0.25">
      <c r="B1202" s="73">
        <f t="shared" si="475"/>
        <v>626</v>
      </c>
      <c r="C1202" s="21"/>
      <c r="D1202" s="21"/>
      <c r="E1202" s="21"/>
      <c r="F1202" s="42" t="s">
        <v>309</v>
      </c>
      <c r="G1202" s="97">
        <v>620</v>
      </c>
      <c r="H1202" s="21" t="s">
        <v>228</v>
      </c>
      <c r="I1202" s="15">
        <f>9756+380</f>
        <v>10136</v>
      </c>
      <c r="J1202" s="15"/>
      <c r="K1202" s="15">
        <f t="shared" si="478"/>
        <v>10136</v>
      </c>
      <c r="L1202" s="130"/>
      <c r="M1202" s="15"/>
      <c r="N1202" s="15"/>
      <c r="O1202" s="15">
        <f t="shared" si="477"/>
        <v>0</v>
      </c>
      <c r="Q1202" s="15">
        <f t="shared" si="474"/>
        <v>10136</v>
      </c>
      <c r="R1202" s="15">
        <f t="shared" si="483"/>
        <v>0</v>
      </c>
      <c r="S1202" s="15">
        <f t="shared" si="484"/>
        <v>10136</v>
      </c>
    </row>
    <row r="1203" spans="2:19" x14ac:dyDescent="0.25">
      <c r="B1203" s="73">
        <f t="shared" si="475"/>
        <v>627</v>
      </c>
      <c r="C1203" s="21"/>
      <c r="D1203" s="21"/>
      <c r="E1203" s="21"/>
      <c r="F1203" s="42" t="s">
        <v>309</v>
      </c>
      <c r="G1203" s="97">
        <v>630</v>
      </c>
      <c r="H1203" s="21" t="s">
        <v>218</v>
      </c>
      <c r="I1203" s="15">
        <f>I1204+I1205+I1206+I1207</f>
        <v>5041</v>
      </c>
      <c r="J1203" s="15">
        <f t="shared" ref="J1203" si="490">J1204+J1205+J1206+J1207</f>
        <v>0</v>
      </c>
      <c r="K1203" s="15">
        <f t="shared" si="478"/>
        <v>5041</v>
      </c>
      <c r="L1203" s="130"/>
      <c r="M1203" s="15"/>
      <c r="N1203" s="15"/>
      <c r="O1203" s="15">
        <f t="shared" si="477"/>
        <v>0</v>
      </c>
      <c r="Q1203" s="15">
        <f t="shared" si="474"/>
        <v>5041</v>
      </c>
      <c r="R1203" s="15">
        <f t="shared" si="483"/>
        <v>0</v>
      </c>
      <c r="S1203" s="15">
        <f t="shared" si="484"/>
        <v>5041</v>
      </c>
    </row>
    <row r="1204" spans="2:19" x14ac:dyDescent="0.25">
      <c r="B1204" s="73">
        <f t="shared" si="475"/>
        <v>628</v>
      </c>
      <c r="C1204" s="9"/>
      <c r="D1204" s="9"/>
      <c r="E1204" s="9"/>
      <c r="F1204" s="43" t="s">
        <v>309</v>
      </c>
      <c r="G1204" s="98">
        <v>632</v>
      </c>
      <c r="H1204" s="9" t="s">
        <v>229</v>
      </c>
      <c r="I1204" s="10">
        <v>1290</v>
      </c>
      <c r="J1204" s="10"/>
      <c r="K1204" s="10">
        <f t="shared" si="478"/>
        <v>1290</v>
      </c>
      <c r="L1204" s="131"/>
      <c r="M1204" s="10"/>
      <c r="N1204" s="10"/>
      <c r="O1204" s="10">
        <f t="shared" si="477"/>
        <v>0</v>
      </c>
      <c r="Q1204" s="10">
        <f t="shared" si="474"/>
        <v>1290</v>
      </c>
      <c r="R1204" s="10">
        <f t="shared" si="483"/>
        <v>0</v>
      </c>
      <c r="S1204" s="10">
        <f t="shared" si="484"/>
        <v>1290</v>
      </c>
    </row>
    <row r="1205" spans="2:19" x14ac:dyDescent="0.25">
      <c r="B1205" s="73">
        <f t="shared" si="475"/>
        <v>629</v>
      </c>
      <c r="C1205" s="9"/>
      <c r="D1205" s="9"/>
      <c r="E1205" s="9"/>
      <c r="F1205" s="43" t="s">
        <v>309</v>
      </c>
      <c r="G1205" s="98">
        <v>633</v>
      </c>
      <c r="H1205" s="9" t="s">
        <v>220</v>
      </c>
      <c r="I1205" s="10">
        <v>1601</v>
      </c>
      <c r="J1205" s="10"/>
      <c r="K1205" s="10">
        <f t="shared" si="478"/>
        <v>1601</v>
      </c>
      <c r="L1205" s="131"/>
      <c r="M1205" s="10"/>
      <c r="N1205" s="10"/>
      <c r="O1205" s="10">
        <f t="shared" si="477"/>
        <v>0</v>
      </c>
      <c r="Q1205" s="10">
        <f t="shared" si="474"/>
        <v>1601</v>
      </c>
      <c r="R1205" s="10">
        <f t="shared" si="483"/>
        <v>0</v>
      </c>
      <c r="S1205" s="10">
        <f t="shared" si="484"/>
        <v>1601</v>
      </c>
    </row>
    <row r="1206" spans="2:19" x14ac:dyDescent="0.25">
      <c r="B1206" s="73">
        <f t="shared" si="475"/>
        <v>630</v>
      </c>
      <c r="C1206" s="9"/>
      <c r="D1206" s="9"/>
      <c r="E1206" s="9"/>
      <c r="F1206" s="43" t="s">
        <v>309</v>
      </c>
      <c r="G1206" s="98">
        <v>635</v>
      </c>
      <c r="H1206" s="9" t="s">
        <v>234</v>
      </c>
      <c r="I1206" s="10">
        <v>645</v>
      </c>
      <c r="J1206" s="10"/>
      <c r="K1206" s="10">
        <f t="shared" si="478"/>
        <v>645</v>
      </c>
      <c r="L1206" s="131"/>
      <c r="M1206" s="10"/>
      <c r="N1206" s="10"/>
      <c r="O1206" s="10">
        <f t="shared" si="477"/>
        <v>0</v>
      </c>
      <c r="Q1206" s="10">
        <f t="shared" si="474"/>
        <v>645</v>
      </c>
      <c r="R1206" s="10">
        <f t="shared" si="483"/>
        <v>0</v>
      </c>
      <c r="S1206" s="10">
        <f t="shared" si="484"/>
        <v>645</v>
      </c>
    </row>
    <row r="1207" spans="2:19" x14ac:dyDescent="0.25">
      <c r="B1207" s="73">
        <f t="shared" si="475"/>
        <v>631</v>
      </c>
      <c r="C1207" s="9"/>
      <c r="D1207" s="9"/>
      <c r="E1207" s="9"/>
      <c r="F1207" s="43" t="s">
        <v>309</v>
      </c>
      <c r="G1207" s="98">
        <v>637</v>
      </c>
      <c r="H1207" s="9" t="s">
        <v>223</v>
      </c>
      <c r="I1207" s="10">
        <v>1505</v>
      </c>
      <c r="J1207" s="10"/>
      <c r="K1207" s="10">
        <f t="shared" si="478"/>
        <v>1505</v>
      </c>
      <c r="L1207" s="131"/>
      <c r="M1207" s="10"/>
      <c r="N1207" s="10"/>
      <c r="O1207" s="10">
        <f t="shared" si="477"/>
        <v>0</v>
      </c>
      <c r="Q1207" s="10">
        <f t="shared" si="474"/>
        <v>1505</v>
      </c>
      <c r="R1207" s="10">
        <f t="shared" si="483"/>
        <v>0</v>
      </c>
      <c r="S1207" s="10">
        <f t="shared" si="484"/>
        <v>1505</v>
      </c>
    </row>
    <row r="1208" spans="2:19" x14ac:dyDescent="0.25">
      <c r="B1208" s="73">
        <f t="shared" si="475"/>
        <v>632</v>
      </c>
      <c r="C1208" s="21"/>
      <c r="D1208" s="21"/>
      <c r="E1208" s="21"/>
      <c r="F1208" s="42" t="s">
        <v>309</v>
      </c>
      <c r="G1208" s="97">
        <v>640</v>
      </c>
      <c r="H1208" s="21" t="s">
        <v>230</v>
      </c>
      <c r="I1208" s="15">
        <v>758</v>
      </c>
      <c r="J1208" s="15"/>
      <c r="K1208" s="15">
        <f t="shared" si="478"/>
        <v>758</v>
      </c>
      <c r="L1208" s="130"/>
      <c r="M1208" s="15"/>
      <c r="N1208" s="15"/>
      <c r="O1208" s="15">
        <f t="shared" si="477"/>
        <v>0</v>
      </c>
      <c r="Q1208" s="15">
        <f t="shared" si="474"/>
        <v>758</v>
      </c>
      <c r="R1208" s="15">
        <f t="shared" si="483"/>
        <v>0</v>
      </c>
      <c r="S1208" s="15">
        <f t="shared" si="484"/>
        <v>758</v>
      </c>
    </row>
    <row r="1209" spans="2:19" x14ac:dyDescent="0.25">
      <c r="B1209" s="73">
        <f t="shared" si="475"/>
        <v>633</v>
      </c>
      <c r="C1209" s="21"/>
      <c r="D1209" s="21"/>
      <c r="E1209" s="21"/>
      <c r="F1209" s="42" t="s">
        <v>307</v>
      </c>
      <c r="G1209" s="97">
        <v>610</v>
      </c>
      <c r="H1209" s="21" t="s">
        <v>245</v>
      </c>
      <c r="I1209" s="15">
        <f>35539+1080</f>
        <v>36619</v>
      </c>
      <c r="J1209" s="15"/>
      <c r="K1209" s="15">
        <f t="shared" si="478"/>
        <v>36619</v>
      </c>
      <c r="L1209" s="130"/>
      <c r="M1209" s="15"/>
      <c r="N1209" s="15"/>
      <c r="O1209" s="15">
        <f t="shared" si="477"/>
        <v>0</v>
      </c>
      <c r="Q1209" s="15">
        <f t="shared" si="474"/>
        <v>36619</v>
      </c>
      <c r="R1209" s="15">
        <f t="shared" si="483"/>
        <v>0</v>
      </c>
      <c r="S1209" s="15">
        <f t="shared" si="484"/>
        <v>36619</v>
      </c>
    </row>
    <row r="1210" spans="2:19" x14ac:dyDescent="0.25">
      <c r="B1210" s="73">
        <f t="shared" si="475"/>
        <v>634</v>
      </c>
      <c r="C1210" s="21"/>
      <c r="D1210" s="21"/>
      <c r="E1210" s="21"/>
      <c r="F1210" s="42" t="s">
        <v>307</v>
      </c>
      <c r="G1210" s="97">
        <v>620</v>
      </c>
      <c r="H1210" s="21" t="s">
        <v>228</v>
      </c>
      <c r="I1210" s="15">
        <f>13087+380</f>
        <v>13467</v>
      </c>
      <c r="J1210" s="15"/>
      <c r="K1210" s="15">
        <f t="shared" si="478"/>
        <v>13467</v>
      </c>
      <c r="L1210" s="130"/>
      <c r="M1210" s="15"/>
      <c r="N1210" s="15"/>
      <c r="O1210" s="15">
        <f t="shared" si="477"/>
        <v>0</v>
      </c>
      <c r="Q1210" s="15">
        <f t="shared" si="474"/>
        <v>13467</v>
      </c>
      <c r="R1210" s="15">
        <f t="shared" si="483"/>
        <v>0</v>
      </c>
      <c r="S1210" s="15">
        <f t="shared" si="484"/>
        <v>13467</v>
      </c>
    </row>
    <row r="1211" spans="2:19" x14ac:dyDescent="0.25">
      <c r="B1211" s="73">
        <f t="shared" si="475"/>
        <v>635</v>
      </c>
      <c r="C1211" s="21"/>
      <c r="D1211" s="21"/>
      <c r="E1211" s="21"/>
      <c r="F1211" s="42" t="s">
        <v>307</v>
      </c>
      <c r="G1211" s="97">
        <v>630</v>
      </c>
      <c r="H1211" s="21" t="s">
        <v>218</v>
      </c>
      <c r="I1211" s="15">
        <f>I1212+I1213+I1214+I1215</f>
        <v>7472</v>
      </c>
      <c r="J1211" s="15">
        <f t="shared" ref="J1211" si="491">J1212+J1213+J1214+J1215</f>
        <v>0</v>
      </c>
      <c r="K1211" s="15">
        <f t="shared" si="478"/>
        <v>7472</v>
      </c>
      <c r="L1211" s="130"/>
      <c r="M1211" s="15"/>
      <c r="N1211" s="15"/>
      <c r="O1211" s="15">
        <f t="shared" si="477"/>
        <v>0</v>
      </c>
      <c r="Q1211" s="15">
        <f t="shared" si="474"/>
        <v>7472</v>
      </c>
      <c r="R1211" s="15">
        <f t="shared" si="483"/>
        <v>0</v>
      </c>
      <c r="S1211" s="15">
        <f t="shared" si="484"/>
        <v>7472</v>
      </c>
    </row>
    <row r="1212" spans="2:19" x14ac:dyDescent="0.25">
      <c r="B1212" s="73">
        <f t="shared" si="475"/>
        <v>636</v>
      </c>
      <c r="C1212" s="9"/>
      <c r="D1212" s="9"/>
      <c r="E1212" s="9"/>
      <c r="F1212" s="43" t="s">
        <v>307</v>
      </c>
      <c r="G1212" s="98">
        <v>632</v>
      </c>
      <c r="H1212" s="9" t="s">
        <v>229</v>
      </c>
      <c r="I1212" s="10">
        <v>1710</v>
      </c>
      <c r="J1212" s="10"/>
      <c r="K1212" s="10">
        <f t="shared" si="478"/>
        <v>1710</v>
      </c>
      <c r="L1212" s="131"/>
      <c r="M1212" s="10"/>
      <c r="N1212" s="10"/>
      <c r="O1212" s="10">
        <f t="shared" si="477"/>
        <v>0</v>
      </c>
      <c r="Q1212" s="10">
        <f t="shared" si="474"/>
        <v>1710</v>
      </c>
      <c r="R1212" s="10">
        <f t="shared" si="483"/>
        <v>0</v>
      </c>
      <c r="S1212" s="10">
        <f t="shared" si="484"/>
        <v>1710</v>
      </c>
    </row>
    <row r="1213" spans="2:19" x14ac:dyDescent="0.25">
      <c r="B1213" s="73">
        <f t="shared" si="475"/>
        <v>637</v>
      </c>
      <c r="C1213" s="9"/>
      <c r="D1213" s="9"/>
      <c r="E1213" s="9"/>
      <c r="F1213" s="43" t="s">
        <v>307</v>
      </c>
      <c r="G1213" s="98">
        <v>633</v>
      </c>
      <c r="H1213" s="9" t="s">
        <v>220</v>
      </c>
      <c r="I1213" s="10">
        <v>2912</v>
      </c>
      <c r="J1213" s="10"/>
      <c r="K1213" s="10">
        <f t="shared" si="478"/>
        <v>2912</v>
      </c>
      <c r="L1213" s="131"/>
      <c r="M1213" s="10"/>
      <c r="N1213" s="10"/>
      <c r="O1213" s="10">
        <f t="shared" si="477"/>
        <v>0</v>
      </c>
      <c r="Q1213" s="10">
        <f t="shared" si="474"/>
        <v>2912</v>
      </c>
      <c r="R1213" s="10">
        <f t="shared" si="483"/>
        <v>0</v>
      </c>
      <c r="S1213" s="10">
        <f t="shared" si="484"/>
        <v>2912</v>
      </c>
    </row>
    <row r="1214" spans="2:19" x14ac:dyDescent="0.25">
      <c r="B1214" s="73">
        <f t="shared" si="475"/>
        <v>638</v>
      </c>
      <c r="C1214" s="9"/>
      <c r="D1214" s="9"/>
      <c r="E1214" s="9"/>
      <c r="F1214" s="43" t="s">
        <v>307</v>
      </c>
      <c r="G1214" s="98">
        <v>635</v>
      </c>
      <c r="H1214" s="9" t="s">
        <v>234</v>
      </c>
      <c r="I1214" s="10">
        <v>855</v>
      </c>
      <c r="J1214" s="10"/>
      <c r="K1214" s="10">
        <f t="shared" si="478"/>
        <v>855</v>
      </c>
      <c r="L1214" s="131"/>
      <c r="M1214" s="10"/>
      <c r="N1214" s="10"/>
      <c r="O1214" s="10">
        <f t="shared" si="477"/>
        <v>0</v>
      </c>
      <c r="Q1214" s="10">
        <f t="shared" si="474"/>
        <v>855</v>
      </c>
      <c r="R1214" s="10">
        <f t="shared" si="483"/>
        <v>0</v>
      </c>
      <c r="S1214" s="10">
        <f t="shared" si="484"/>
        <v>855</v>
      </c>
    </row>
    <row r="1215" spans="2:19" x14ac:dyDescent="0.25">
      <c r="B1215" s="73">
        <f t="shared" si="475"/>
        <v>639</v>
      </c>
      <c r="C1215" s="9"/>
      <c r="D1215" s="9"/>
      <c r="E1215" s="9"/>
      <c r="F1215" s="43" t="s">
        <v>307</v>
      </c>
      <c r="G1215" s="98">
        <v>637</v>
      </c>
      <c r="H1215" s="9" t="s">
        <v>223</v>
      </c>
      <c r="I1215" s="10">
        <v>1995</v>
      </c>
      <c r="J1215" s="10"/>
      <c r="K1215" s="10">
        <f t="shared" si="478"/>
        <v>1995</v>
      </c>
      <c r="L1215" s="131"/>
      <c r="M1215" s="10"/>
      <c r="N1215" s="10"/>
      <c r="O1215" s="10">
        <f t="shared" si="477"/>
        <v>0</v>
      </c>
      <c r="Q1215" s="10">
        <f t="shared" si="474"/>
        <v>1995</v>
      </c>
      <c r="R1215" s="10">
        <f t="shared" si="483"/>
        <v>0</v>
      </c>
      <c r="S1215" s="10">
        <f t="shared" si="484"/>
        <v>1995</v>
      </c>
    </row>
    <row r="1216" spans="2:19" x14ac:dyDescent="0.25">
      <c r="B1216" s="73">
        <f t="shared" si="475"/>
        <v>640</v>
      </c>
      <c r="C1216" s="21"/>
      <c r="D1216" s="21"/>
      <c r="E1216" s="21"/>
      <c r="F1216" s="42" t="s">
        <v>307</v>
      </c>
      <c r="G1216" s="97">
        <v>640</v>
      </c>
      <c r="H1216" s="21" t="s">
        <v>230</v>
      </c>
      <c r="I1216" s="15">
        <v>982</v>
      </c>
      <c r="J1216" s="15"/>
      <c r="K1216" s="15">
        <f t="shared" si="478"/>
        <v>982</v>
      </c>
      <c r="L1216" s="130"/>
      <c r="M1216" s="15"/>
      <c r="N1216" s="15"/>
      <c r="O1216" s="15">
        <f t="shared" si="477"/>
        <v>0</v>
      </c>
      <c r="Q1216" s="15">
        <f t="shared" si="474"/>
        <v>982</v>
      </c>
      <c r="R1216" s="15">
        <f t="shared" si="483"/>
        <v>0</v>
      </c>
      <c r="S1216" s="15">
        <f t="shared" si="484"/>
        <v>982</v>
      </c>
    </row>
    <row r="1217" spans="2:19" x14ac:dyDescent="0.25">
      <c r="B1217" s="73">
        <f t="shared" si="475"/>
        <v>641</v>
      </c>
      <c r="C1217" s="38"/>
      <c r="D1217" s="38"/>
      <c r="E1217" s="38">
        <v>8</v>
      </c>
      <c r="F1217" s="38"/>
      <c r="G1217" s="95"/>
      <c r="H1217" s="38" t="s">
        <v>169</v>
      </c>
      <c r="I1217" s="39">
        <f>I1218+I1220</f>
        <v>128380</v>
      </c>
      <c r="J1217" s="39">
        <f t="shared" ref="J1217" si="492">J1218+J1220</f>
        <v>0</v>
      </c>
      <c r="K1217" s="39">
        <f t="shared" si="478"/>
        <v>128380</v>
      </c>
      <c r="L1217" s="138"/>
      <c r="M1217" s="39">
        <v>0</v>
      </c>
      <c r="N1217" s="39">
        <v>0</v>
      </c>
      <c r="O1217" s="39">
        <f t="shared" si="477"/>
        <v>0</v>
      </c>
      <c r="Q1217" s="39">
        <f t="shared" si="474"/>
        <v>128380</v>
      </c>
      <c r="R1217" s="39">
        <f t="shared" si="483"/>
        <v>0</v>
      </c>
      <c r="S1217" s="39">
        <f t="shared" si="484"/>
        <v>128380</v>
      </c>
    </row>
    <row r="1218" spans="2:19" x14ac:dyDescent="0.25">
      <c r="B1218" s="73">
        <f t="shared" si="475"/>
        <v>642</v>
      </c>
      <c r="C1218" s="21"/>
      <c r="D1218" s="21"/>
      <c r="E1218" s="21"/>
      <c r="F1218" s="42" t="s">
        <v>309</v>
      </c>
      <c r="G1218" s="97">
        <v>630</v>
      </c>
      <c r="H1218" s="21" t="s">
        <v>218</v>
      </c>
      <c r="I1218" s="15">
        <f>I1219</f>
        <v>52083</v>
      </c>
      <c r="J1218" s="15">
        <f t="shared" ref="J1218" si="493">J1219</f>
        <v>0</v>
      </c>
      <c r="K1218" s="15">
        <f t="shared" si="478"/>
        <v>52083</v>
      </c>
      <c r="L1218" s="130"/>
      <c r="M1218" s="15"/>
      <c r="N1218" s="15"/>
      <c r="O1218" s="15">
        <f t="shared" si="477"/>
        <v>0</v>
      </c>
      <c r="Q1218" s="15">
        <f t="shared" si="474"/>
        <v>52083</v>
      </c>
      <c r="R1218" s="15">
        <f t="shared" si="483"/>
        <v>0</v>
      </c>
      <c r="S1218" s="15">
        <f t="shared" si="484"/>
        <v>52083</v>
      </c>
    </row>
    <row r="1219" spans="2:19" x14ac:dyDescent="0.25">
      <c r="B1219" s="73">
        <f t="shared" si="475"/>
        <v>643</v>
      </c>
      <c r="C1219" s="9"/>
      <c r="D1219" s="9"/>
      <c r="E1219" s="9"/>
      <c r="F1219" s="43" t="s">
        <v>309</v>
      </c>
      <c r="G1219" s="98">
        <v>637</v>
      </c>
      <c r="H1219" s="9" t="s">
        <v>223</v>
      </c>
      <c r="I1219" s="10">
        <f>48440+3643</f>
        <v>52083</v>
      </c>
      <c r="J1219" s="10"/>
      <c r="K1219" s="10">
        <f t="shared" si="478"/>
        <v>52083</v>
      </c>
      <c r="L1219" s="131"/>
      <c r="M1219" s="10"/>
      <c r="N1219" s="10"/>
      <c r="O1219" s="10">
        <f t="shared" si="477"/>
        <v>0</v>
      </c>
      <c r="Q1219" s="10">
        <f t="shared" si="474"/>
        <v>52083</v>
      </c>
      <c r="R1219" s="10">
        <f t="shared" si="483"/>
        <v>0</v>
      </c>
      <c r="S1219" s="10">
        <f t="shared" si="484"/>
        <v>52083</v>
      </c>
    </row>
    <row r="1220" spans="2:19" x14ac:dyDescent="0.25">
      <c r="B1220" s="73">
        <f t="shared" si="475"/>
        <v>644</v>
      </c>
      <c r="C1220" s="21"/>
      <c r="D1220" s="21"/>
      <c r="E1220" s="21"/>
      <c r="F1220" s="42" t="s">
        <v>307</v>
      </c>
      <c r="G1220" s="97">
        <v>630</v>
      </c>
      <c r="H1220" s="21" t="s">
        <v>218</v>
      </c>
      <c r="I1220" s="15">
        <f>I1221</f>
        <v>76297</v>
      </c>
      <c r="J1220" s="15">
        <f t="shared" ref="J1220" si="494">J1221</f>
        <v>0</v>
      </c>
      <c r="K1220" s="15">
        <f t="shared" si="478"/>
        <v>76297</v>
      </c>
      <c r="L1220" s="130"/>
      <c r="M1220" s="15"/>
      <c r="N1220" s="15"/>
      <c r="O1220" s="15">
        <f t="shared" si="477"/>
        <v>0</v>
      </c>
      <c r="Q1220" s="15">
        <f t="shared" si="474"/>
        <v>76297</v>
      </c>
      <c r="R1220" s="15">
        <f t="shared" si="483"/>
        <v>0</v>
      </c>
      <c r="S1220" s="15">
        <f t="shared" si="484"/>
        <v>76297</v>
      </c>
    </row>
    <row r="1221" spans="2:19" x14ac:dyDescent="0.25">
      <c r="B1221" s="73">
        <f t="shared" si="475"/>
        <v>645</v>
      </c>
      <c r="C1221" s="9"/>
      <c r="D1221" s="9"/>
      <c r="E1221" s="9"/>
      <c r="F1221" s="43" t="s">
        <v>307</v>
      </c>
      <c r="G1221" s="98">
        <v>637</v>
      </c>
      <c r="H1221" s="9" t="s">
        <v>223</v>
      </c>
      <c r="I1221" s="10">
        <f>72655+3642</f>
        <v>76297</v>
      </c>
      <c r="J1221" s="10"/>
      <c r="K1221" s="10">
        <f t="shared" si="478"/>
        <v>76297</v>
      </c>
      <c r="L1221" s="131"/>
      <c r="M1221" s="10"/>
      <c r="N1221" s="10"/>
      <c r="O1221" s="10">
        <f t="shared" si="477"/>
        <v>0</v>
      </c>
      <c r="Q1221" s="10">
        <f t="shared" si="474"/>
        <v>76297</v>
      </c>
      <c r="R1221" s="10">
        <f t="shared" si="483"/>
        <v>0</v>
      </c>
      <c r="S1221" s="10">
        <f t="shared" si="484"/>
        <v>76297</v>
      </c>
    </row>
    <row r="1222" spans="2:19" x14ac:dyDescent="0.25">
      <c r="B1222" s="73">
        <f t="shared" si="475"/>
        <v>646</v>
      </c>
      <c r="C1222" s="38"/>
      <c r="D1222" s="38"/>
      <c r="E1222" s="38">
        <v>9</v>
      </c>
      <c r="F1222" s="38"/>
      <c r="G1222" s="95"/>
      <c r="H1222" s="38" t="s">
        <v>170</v>
      </c>
      <c r="I1222" s="39">
        <f>I1223+I1224+I1225+I1230+I1231+I1232</f>
        <v>84072</v>
      </c>
      <c r="J1222" s="39">
        <f t="shared" ref="J1222" si="495">J1223+J1224+J1225+J1230+J1231+J1232</f>
        <v>0</v>
      </c>
      <c r="K1222" s="39">
        <f t="shared" si="478"/>
        <v>84072</v>
      </c>
      <c r="L1222" s="138"/>
      <c r="M1222" s="39">
        <v>0</v>
      </c>
      <c r="N1222" s="39">
        <v>0</v>
      </c>
      <c r="O1222" s="39">
        <f t="shared" si="477"/>
        <v>0</v>
      </c>
      <c r="Q1222" s="39">
        <f t="shared" si="474"/>
        <v>84072</v>
      </c>
      <c r="R1222" s="39">
        <f t="shared" si="483"/>
        <v>0</v>
      </c>
      <c r="S1222" s="39">
        <f t="shared" si="484"/>
        <v>84072</v>
      </c>
    </row>
    <row r="1223" spans="2:19" x14ac:dyDescent="0.25">
      <c r="B1223" s="73">
        <f t="shared" si="475"/>
        <v>647</v>
      </c>
      <c r="C1223" s="21"/>
      <c r="D1223" s="21"/>
      <c r="E1223" s="21"/>
      <c r="F1223" s="42" t="s">
        <v>309</v>
      </c>
      <c r="G1223" s="97">
        <v>610</v>
      </c>
      <c r="H1223" s="21" t="s">
        <v>245</v>
      </c>
      <c r="I1223" s="15">
        <f>20144+720</f>
        <v>20864</v>
      </c>
      <c r="J1223" s="15"/>
      <c r="K1223" s="15">
        <f t="shared" si="478"/>
        <v>20864</v>
      </c>
      <c r="L1223" s="130"/>
      <c r="M1223" s="15"/>
      <c r="N1223" s="15"/>
      <c r="O1223" s="15">
        <f t="shared" si="477"/>
        <v>0</v>
      </c>
      <c r="Q1223" s="15">
        <f t="shared" ref="Q1223:Q1286" si="496">I1223+M1223</f>
        <v>20864</v>
      </c>
      <c r="R1223" s="15">
        <f t="shared" si="483"/>
        <v>0</v>
      </c>
      <c r="S1223" s="15">
        <f t="shared" si="484"/>
        <v>20864</v>
      </c>
    </row>
    <row r="1224" spans="2:19" x14ac:dyDescent="0.25">
      <c r="B1224" s="73">
        <f t="shared" ref="B1224:B1287" si="497">B1223+1</f>
        <v>648</v>
      </c>
      <c r="C1224" s="21"/>
      <c r="D1224" s="21"/>
      <c r="E1224" s="21"/>
      <c r="F1224" s="42" t="s">
        <v>309</v>
      </c>
      <c r="G1224" s="97">
        <v>620</v>
      </c>
      <c r="H1224" s="21" t="s">
        <v>228</v>
      </c>
      <c r="I1224" s="15">
        <f>7240+252</f>
        <v>7492</v>
      </c>
      <c r="J1224" s="15"/>
      <c r="K1224" s="15">
        <f t="shared" si="478"/>
        <v>7492</v>
      </c>
      <c r="L1224" s="130"/>
      <c r="M1224" s="15"/>
      <c r="N1224" s="15"/>
      <c r="O1224" s="15">
        <f t="shared" ref="O1224:O1287" si="498">M1224+N1224</f>
        <v>0</v>
      </c>
      <c r="Q1224" s="15">
        <f t="shared" si="496"/>
        <v>7492</v>
      </c>
      <c r="R1224" s="15">
        <f t="shared" si="483"/>
        <v>0</v>
      </c>
      <c r="S1224" s="15">
        <f t="shared" si="484"/>
        <v>7492</v>
      </c>
    </row>
    <row r="1225" spans="2:19" x14ac:dyDescent="0.25">
      <c r="B1225" s="73">
        <f t="shared" si="497"/>
        <v>649</v>
      </c>
      <c r="C1225" s="21"/>
      <c r="D1225" s="21"/>
      <c r="E1225" s="21"/>
      <c r="F1225" s="42" t="s">
        <v>309</v>
      </c>
      <c r="G1225" s="97">
        <v>630</v>
      </c>
      <c r="H1225" s="21" t="s">
        <v>218</v>
      </c>
      <c r="I1225" s="15">
        <f>SUM(I1226:I1229)</f>
        <v>13680</v>
      </c>
      <c r="J1225" s="15">
        <f t="shared" ref="J1225" si="499">SUM(J1226:J1229)</f>
        <v>0</v>
      </c>
      <c r="K1225" s="15">
        <f t="shared" si="478"/>
        <v>13680</v>
      </c>
      <c r="L1225" s="130"/>
      <c r="M1225" s="15"/>
      <c r="N1225" s="15"/>
      <c r="O1225" s="15">
        <f t="shared" si="498"/>
        <v>0</v>
      </c>
      <c r="Q1225" s="15">
        <f t="shared" si="496"/>
        <v>13680</v>
      </c>
      <c r="R1225" s="15">
        <f t="shared" si="483"/>
        <v>0</v>
      </c>
      <c r="S1225" s="15">
        <f t="shared" si="484"/>
        <v>13680</v>
      </c>
    </row>
    <row r="1226" spans="2:19" x14ac:dyDescent="0.25">
      <c r="B1226" s="73">
        <f t="shared" si="497"/>
        <v>650</v>
      </c>
      <c r="C1226" s="9"/>
      <c r="D1226" s="9"/>
      <c r="E1226" s="9"/>
      <c r="F1226" s="43" t="s">
        <v>309</v>
      </c>
      <c r="G1226" s="98">
        <v>632</v>
      </c>
      <c r="H1226" s="9" t="s">
        <v>229</v>
      </c>
      <c r="I1226" s="10">
        <v>9130</v>
      </c>
      <c r="J1226" s="10"/>
      <c r="K1226" s="10">
        <f t="shared" ref="K1226:K1289" si="500">I1226+J1226</f>
        <v>9130</v>
      </c>
      <c r="L1226" s="131"/>
      <c r="M1226" s="10"/>
      <c r="N1226" s="10"/>
      <c r="O1226" s="10">
        <f t="shared" si="498"/>
        <v>0</v>
      </c>
      <c r="Q1226" s="10">
        <f t="shared" si="496"/>
        <v>9130</v>
      </c>
      <c r="R1226" s="10">
        <f t="shared" si="483"/>
        <v>0</v>
      </c>
      <c r="S1226" s="10">
        <f t="shared" si="484"/>
        <v>9130</v>
      </c>
    </row>
    <row r="1227" spans="2:19" x14ac:dyDescent="0.25">
      <c r="B1227" s="73">
        <f t="shared" si="497"/>
        <v>651</v>
      </c>
      <c r="C1227" s="9"/>
      <c r="D1227" s="9"/>
      <c r="E1227" s="9"/>
      <c r="F1227" s="43" t="s">
        <v>309</v>
      </c>
      <c r="G1227" s="98">
        <v>633</v>
      </c>
      <c r="H1227" s="9" t="s">
        <v>220</v>
      </c>
      <c r="I1227" s="10">
        <v>800</v>
      </c>
      <c r="J1227" s="10"/>
      <c r="K1227" s="10">
        <f t="shared" si="500"/>
        <v>800</v>
      </c>
      <c r="L1227" s="131"/>
      <c r="M1227" s="10"/>
      <c r="N1227" s="10"/>
      <c r="O1227" s="10">
        <f t="shared" si="498"/>
        <v>0</v>
      </c>
      <c r="Q1227" s="10">
        <f t="shared" si="496"/>
        <v>800</v>
      </c>
      <c r="R1227" s="10">
        <f t="shared" si="483"/>
        <v>0</v>
      </c>
      <c r="S1227" s="10">
        <f t="shared" si="484"/>
        <v>800</v>
      </c>
    </row>
    <row r="1228" spans="2:19" x14ac:dyDescent="0.25">
      <c r="B1228" s="73">
        <f t="shared" si="497"/>
        <v>652</v>
      </c>
      <c r="C1228" s="9"/>
      <c r="D1228" s="9"/>
      <c r="E1228" s="9"/>
      <c r="F1228" s="43" t="s">
        <v>309</v>
      </c>
      <c r="G1228" s="98">
        <v>635</v>
      </c>
      <c r="H1228" s="9" t="s">
        <v>234</v>
      </c>
      <c r="I1228" s="10">
        <v>1700</v>
      </c>
      <c r="J1228" s="10"/>
      <c r="K1228" s="10">
        <f t="shared" si="500"/>
        <v>1700</v>
      </c>
      <c r="L1228" s="131"/>
      <c r="M1228" s="10"/>
      <c r="N1228" s="10"/>
      <c r="O1228" s="10">
        <f t="shared" si="498"/>
        <v>0</v>
      </c>
      <c r="Q1228" s="10">
        <f t="shared" si="496"/>
        <v>1700</v>
      </c>
      <c r="R1228" s="10">
        <f t="shared" si="483"/>
        <v>0</v>
      </c>
      <c r="S1228" s="10">
        <f t="shared" si="484"/>
        <v>1700</v>
      </c>
    </row>
    <row r="1229" spans="2:19" x14ac:dyDescent="0.25">
      <c r="B1229" s="73">
        <f t="shared" si="497"/>
        <v>653</v>
      </c>
      <c r="C1229" s="9"/>
      <c r="D1229" s="9"/>
      <c r="E1229" s="9"/>
      <c r="F1229" s="43" t="s">
        <v>309</v>
      </c>
      <c r="G1229" s="98">
        <v>637</v>
      </c>
      <c r="H1229" s="9" t="s">
        <v>223</v>
      </c>
      <c r="I1229" s="10">
        <v>2050</v>
      </c>
      <c r="J1229" s="10"/>
      <c r="K1229" s="10">
        <f t="shared" si="500"/>
        <v>2050</v>
      </c>
      <c r="L1229" s="131"/>
      <c r="M1229" s="10"/>
      <c r="N1229" s="10"/>
      <c r="O1229" s="10">
        <f t="shared" si="498"/>
        <v>0</v>
      </c>
      <c r="Q1229" s="10">
        <f t="shared" si="496"/>
        <v>2050</v>
      </c>
      <c r="R1229" s="10">
        <f t="shared" si="483"/>
        <v>0</v>
      </c>
      <c r="S1229" s="10">
        <f t="shared" si="484"/>
        <v>2050</v>
      </c>
    </row>
    <row r="1230" spans="2:19" x14ac:dyDescent="0.25">
      <c r="B1230" s="73">
        <f t="shared" si="497"/>
        <v>654</v>
      </c>
      <c r="C1230" s="21"/>
      <c r="D1230" s="21"/>
      <c r="E1230" s="21"/>
      <c r="F1230" s="42" t="s">
        <v>307</v>
      </c>
      <c r="G1230" s="97">
        <v>610</v>
      </c>
      <c r="H1230" s="21" t="s">
        <v>245</v>
      </c>
      <c r="I1230" s="15">
        <f>20144+720</f>
        <v>20864</v>
      </c>
      <c r="J1230" s="15"/>
      <c r="K1230" s="15">
        <f t="shared" si="500"/>
        <v>20864</v>
      </c>
      <c r="L1230" s="130"/>
      <c r="M1230" s="15"/>
      <c r="N1230" s="15"/>
      <c r="O1230" s="15">
        <f t="shared" si="498"/>
        <v>0</v>
      </c>
      <c r="Q1230" s="15">
        <f t="shared" si="496"/>
        <v>20864</v>
      </c>
      <c r="R1230" s="15">
        <f t="shared" si="483"/>
        <v>0</v>
      </c>
      <c r="S1230" s="15">
        <f t="shared" si="484"/>
        <v>20864</v>
      </c>
    </row>
    <row r="1231" spans="2:19" ht="16.5" customHeight="1" x14ac:dyDescent="0.25">
      <c r="B1231" s="73">
        <f t="shared" si="497"/>
        <v>655</v>
      </c>
      <c r="C1231" s="21"/>
      <c r="D1231" s="21"/>
      <c r="E1231" s="21"/>
      <c r="F1231" s="42" t="s">
        <v>307</v>
      </c>
      <c r="G1231" s="97">
        <v>620</v>
      </c>
      <c r="H1231" s="21" t="s">
        <v>228</v>
      </c>
      <c r="I1231" s="15">
        <f>7240+252</f>
        <v>7492</v>
      </c>
      <c r="J1231" s="15"/>
      <c r="K1231" s="15">
        <f t="shared" si="500"/>
        <v>7492</v>
      </c>
      <c r="L1231" s="130"/>
      <c r="M1231" s="15"/>
      <c r="N1231" s="15"/>
      <c r="O1231" s="15">
        <f t="shared" si="498"/>
        <v>0</v>
      </c>
      <c r="Q1231" s="15">
        <f t="shared" si="496"/>
        <v>7492</v>
      </c>
      <c r="R1231" s="15">
        <f t="shared" si="483"/>
        <v>0</v>
      </c>
      <c r="S1231" s="15">
        <f t="shared" si="484"/>
        <v>7492</v>
      </c>
    </row>
    <row r="1232" spans="2:19" ht="15" customHeight="1" x14ac:dyDescent="0.25">
      <c r="B1232" s="73">
        <f t="shared" si="497"/>
        <v>656</v>
      </c>
      <c r="C1232" s="21"/>
      <c r="D1232" s="21"/>
      <c r="E1232" s="21"/>
      <c r="F1232" s="42" t="s">
        <v>307</v>
      </c>
      <c r="G1232" s="97">
        <v>630</v>
      </c>
      <c r="H1232" s="21" t="s">
        <v>218</v>
      </c>
      <c r="I1232" s="15">
        <f>I1233+I1234+I1235+I1236</f>
        <v>13680</v>
      </c>
      <c r="J1232" s="15">
        <f t="shared" ref="J1232" si="501">J1233+J1234+J1235+J1236</f>
        <v>0</v>
      </c>
      <c r="K1232" s="15">
        <f t="shared" si="500"/>
        <v>13680</v>
      </c>
      <c r="L1232" s="130"/>
      <c r="M1232" s="15"/>
      <c r="N1232" s="15"/>
      <c r="O1232" s="15">
        <f t="shared" si="498"/>
        <v>0</v>
      </c>
      <c r="Q1232" s="15">
        <f t="shared" si="496"/>
        <v>13680</v>
      </c>
      <c r="R1232" s="15">
        <f t="shared" si="483"/>
        <v>0</v>
      </c>
      <c r="S1232" s="15">
        <f t="shared" si="484"/>
        <v>13680</v>
      </c>
    </row>
    <row r="1233" spans="2:19" x14ac:dyDescent="0.25">
      <c r="B1233" s="73">
        <f t="shared" si="497"/>
        <v>657</v>
      </c>
      <c r="C1233" s="9"/>
      <c r="D1233" s="9"/>
      <c r="E1233" s="9"/>
      <c r="F1233" s="43" t="s">
        <v>307</v>
      </c>
      <c r="G1233" s="98">
        <v>632</v>
      </c>
      <c r="H1233" s="9" t="s">
        <v>229</v>
      </c>
      <c r="I1233" s="10">
        <v>9130</v>
      </c>
      <c r="J1233" s="10"/>
      <c r="K1233" s="10">
        <f t="shared" si="500"/>
        <v>9130</v>
      </c>
      <c r="L1233" s="131"/>
      <c r="M1233" s="10"/>
      <c r="N1233" s="10"/>
      <c r="O1233" s="10">
        <f t="shared" si="498"/>
        <v>0</v>
      </c>
      <c r="Q1233" s="10">
        <f t="shared" si="496"/>
        <v>9130</v>
      </c>
      <c r="R1233" s="10">
        <f t="shared" si="483"/>
        <v>0</v>
      </c>
      <c r="S1233" s="10">
        <f t="shared" si="484"/>
        <v>9130</v>
      </c>
    </row>
    <row r="1234" spans="2:19" x14ac:dyDescent="0.25">
      <c r="B1234" s="73">
        <f t="shared" si="497"/>
        <v>658</v>
      </c>
      <c r="C1234" s="9"/>
      <c r="D1234" s="9"/>
      <c r="E1234" s="9"/>
      <c r="F1234" s="43" t="s">
        <v>307</v>
      </c>
      <c r="G1234" s="98">
        <v>633</v>
      </c>
      <c r="H1234" s="9" t="s">
        <v>220</v>
      </c>
      <c r="I1234" s="10">
        <v>800</v>
      </c>
      <c r="J1234" s="10"/>
      <c r="K1234" s="10">
        <f t="shared" si="500"/>
        <v>800</v>
      </c>
      <c r="L1234" s="131"/>
      <c r="M1234" s="10"/>
      <c r="N1234" s="10"/>
      <c r="O1234" s="10">
        <f t="shared" si="498"/>
        <v>0</v>
      </c>
      <c r="Q1234" s="10">
        <f t="shared" si="496"/>
        <v>800</v>
      </c>
      <c r="R1234" s="10">
        <f t="shared" si="483"/>
        <v>0</v>
      </c>
      <c r="S1234" s="10">
        <f t="shared" si="484"/>
        <v>800</v>
      </c>
    </row>
    <row r="1235" spans="2:19" x14ac:dyDescent="0.25">
      <c r="B1235" s="73">
        <f t="shared" si="497"/>
        <v>659</v>
      </c>
      <c r="C1235" s="9"/>
      <c r="D1235" s="9"/>
      <c r="E1235" s="9"/>
      <c r="F1235" s="43" t="s">
        <v>307</v>
      </c>
      <c r="G1235" s="98">
        <v>635</v>
      </c>
      <c r="H1235" s="9" t="s">
        <v>234</v>
      </c>
      <c r="I1235" s="10">
        <v>1700</v>
      </c>
      <c r="J1235" s="10"/>
      <c r="K1235" s="10">
        <f t="shared" si="500"/>
        <v>1700</v>
      </c>
      <c r="L1235" s="131"/>
      <c r="M1235" s="10"/>
      <c r="N1235" s="10"/>
      <c r="O1235" s="10">
        <f t="shared" si="498"/>
        <v>0</v>
      </c>
      <c r="Q1235" s="10">
        <f t="shared" si="496"/>
        <v>1700</v>
      </c>
      <c r="R1235" s="10">
        <f t="shared" si="483"/>
        <v>0</v>
      </c>
      <c r="S1235" s="10">
        <f t="shared" si="484"/>
        <v>1700</v>
      </c>
    </row>
    <row r="1236" spans="2:19" x14ac:dyDescent="0.25">
      <c r="B1236" s="73">
        <f t="shared" si="497"/>
        <v>660</v>
      </c>
      <c r="C1236" s="9"/>
      <c r="D1236" s="9"/>
      <c r="E1236" s="9"/>
      <c r="F1236" s="43" t="s">
        <v>307</v>
      </c>
      <c r="G1236" s="98">
        <v>637</v>
      </c>
      <c r="H1236" s="9" t="s">
        <v>223</v>
      </c>
      <c r="I1236" s="10">
        <v>2050</v>
      </c>
      <c r="J1236" s="10"/>
      <c r="K1236" s="10">
        <f t="shared" si="500"/>
        <v>2050</v>
      </c>
      <c r="L1236" s="131"/>
      <c r="M1236" s="10"/>
      <c r="N1236" s="10"/>
      <c r="O1236" s="10">
        <f t="shared" si="498"/>
        <v>0</v>
      </c>
      <c r="Q1236" s="10">
        <f t="shared" si="496"/>
        <v>2050</v>
      </c>
      <c r="R1236" s="10">
        <f t="shared" si="483"/>
        <v>0</v>
      </c>
      <c r="S1236" s="10">
        <f t="shared" si="484"/>
        <v>2050</v>
      </c>
    </row>
    <row r="1237" spans="2:19" x14ac:dyDescent="0.25">
      <c r="B1237" s="73">
        <f t="shared" si="497"/>
        <v>661</v>
      </c>
      <c r="C1237" s="38"/>
      <c r="D1237" s="38"/>
      <c r="E1237" s="38">
        <v>10</v>
      </c>
      <c r="F1237" s="38"/>
      <c r="G1237" s="95"/>
      <c r="H1237" s="38" t="s">
        <v>171</v>
      </c>
      <c r="I1237" s="39">
        <f>I1238+I1239+I1240+I1245+I1246+I1247+I1248+I1253</f>
        <v>116450</v>
      </c>
      <c r="J1237" s="39">
        <f t="shared" ref="J1237" si="502">J1238+J1239+J1240+J1245+J1246+J1247+J1248+J1253</f>
        <v>0</v>
      </c>
      <c r="K1237" s="39">
        <f t="shared" si="500"/>
        <v>116450</v>
      </c>
      <c r="L1237" s="138"/>
      <c r="M1237" s="39">
        <v>0</v>
      </c>
      <c r="N1237" s="39">
        <v>0</v>
      </c>
      <c r="O1237" s="39">
        <f t="shared" si="498"/>
        <v>0</v>
      </c>
      <c r="Q1237" s="39">
        <f t="shared" si="496"/>
        <v>116450</v>
      </c>
      <c r="R1237" s="39">
        <f t="shared" si="483"/>
        <v>0</v>
      </c>
      <c r="S1237" s="39">
        <f t="shared" si="484"/>
        <v>116450</v>
      </c>
    </row>
    <row r="1238" spans="2:19" x14ac:dyDescent="0.25">
      <c r="B1238" s="73">
        <f t="shared" si="497"/>
        <v>662</v>
      </c>
      <c r="C1238" s="21"/>
      <c r="D1238" s="21"/>
      <c r="E1238" s="21"/>
      <c r="F1238" s="42" t="s">
        <v>309</v>
      </c>
      <c r="G1238" s="97">
        <v>610</v>
      </c>
      <c r="H1238" s="21" t="s">
        <v>245</v>
      </c>
      <c r="I1238" s="15">
        <f>23660+900</f>
        <v>24560</v>
      </c>
      <c r="J1238" s="15"/>
      <c r="K1238" s="15">
        <f t="shared" si="500"/>
        <v>24560</v>
      </c>
      <c r="L1238" s="130"/>
      <c r="M1238" s="15"/>
      <c r="N1238" s="15"/>
      <c r="O1238" s="15">
        <f t="shared" si="498"/>
        <v>0</v>
      </c>
      <c r="Q1238" s="15">
        <f t="shared" si="496"/>
        <v>24560</v>
      </c>
      <c r="R1238" s="15">
        <f t="shared" si="483"/>
        <v>0</v>
      </c>
      <c r="S1238" s="15">
        <f t="shared" si="484"/>
        <v>24560</v>
      </c>
    </row>
    <row r="1239" spans="2:19" x14ac:dyDescent="0.25">
      <c r="B1239" s="73">
        <f t="shared" si="497"/>
        <v>663</v>
      </c>
      <c r="C1239" s="21"/>
      <c r="D1239" s="21"/>
      <c r="E1239" s="21"/>
      <c r="F1239" s="42" t="s">
        <v>309</v>
      </c>
      <c r="G1239" s="97">
        <v>620</v>
      </c>
      <c r="H1239" s="21" t="s">
        <v>228</v>
      </c>
      <c r="I1239" s="15">
        <f>8270+315</f>
        <v>8585</v>
      </c>
      <c r="J1239" s="15"/>
      <c r="K1239" s="15">
        <f t="shared" si="500"/>
        <v>8585</v>
      </c>
      <c r="L1239" s="130"/>
      <c r="M1239" s="15"/>
      <c r="N1239" s="15"/>
      <c r="O1239" s="15">
        <f t="shared" si="498"/>
        <v>0</v>
      </c>
      <c r="Q1239" s="15">
        <f t="shared" si="496"/>
        <v>8585</v>
      </c>
      <c r="R1239" s="15">
        <f t="shared" ref="R1239:R1302" si="503">J1239+N1239</f>
        <v>0</v>
      </c>
      <c r="S1239" s="15">
        <f t="shared" ref="S1239:S1302" si="504">K1239+O1239</f>
        <v>8585</v>
      </c>
    </row>
    <row r="1240" spans="2:19" x14ac:dyDescent="0.25">
      <c r="B1240" s="73">
        <f t="shared" si="497"/>
        <v>664</v>
      </c>
      <c r="C1240" s="21"/>
      <c r="D1240" s="21"/>
      <c r="E1240" s="21"/>
      <c r="F1240" s="42" t="s">
        <v>309</v>
      </c>
      <c r="G1240" s="97">
        <v>630</v>
      </c>
      <c r="H1240" s="21" t="s">
        <v>218</v>
      </c>
      <c r="I1240" s="15">
        <f>I1241+I1242+I1243+I1244</f>
        <v>29880</v>
      </c>
      <c r="J1240" s="15">
        <f t="shared" ref="J1240" si="505">J1241+J1242+J1243+J1244</f>
        <v>0</v>
      </c>
      <c r="K1240" s="15">
        <f t="shared" si="500"/>
        <v>29880</v>
      </c>
      <c r="L1240" s="130"/>
      <c r="M1240" s="15"/>
      <c r="N1240" s="15"/>
      <c r="O1240" s="15">
        <f t="shared" si="498"/>
        <v>0</v>
      </c>
      <c r="Q1240" s="15">
        <f t="shared" si="496"/>
        <v>29880</v>
      </c>
      <c r="R1240" s="15">
        <f t="shared" si="503"/>
        <v>0</v>
      </c>
      <c r="S1240" s="15">
        <f t="shared" si="504"/>
        <v>29880</v>
      </c>
    </row>
    <row r="1241" spans="2:19" x14ac:dyDescent="0.25">
      <c r="B1241" s="73">
        <f t="shared" si="497"/>
        <v>665</v>
      </c>
      <c r="C1241" s="9"/>
      <c r="D1241" s="9"/>
      <c r="E1241" s="9"/>
      <c r="F1241" s="43" t="s">
        <v>309</v>
      </c>
      <c r="G1241" s="98">
        <v>632</v>
      </c>
      <c r="H1241" s="9" t="s">
        <v>229</v>
      </c>
      <c r="I1241" s="10">
        <v>14850</v>
      </c>
      <c r="J1241" s="10"/>
      <c r="K1241" s="10">
        <f t="shared" si="500"/>
        <v>14850</v>
      </c>
      <c r="L1241" s="131"/>
      <c r="M1241" s="10"/>
      <c r="N1241" s="10"/>
      <c r="O1241" s="10">
        <f t="shared" si="498"/>
        <v>0</v>
      </c>
      <c r="Q1241" s="10">
        <f t="shared" si="496"/>
        <v>14850</v>
      </c>
      <c r="R1241" s="10">
        <f t="shared" si="503"/>
        <v>0</v>
      </c>
      <c r="S1241" s="10">
        <f t="shared" si="504"/>
        <v>14850</v>
      </c>
    </row>
    <row r="1242" spans="2:19" x14ac:dyDescent="0.25">
      <c r="B1242" s="73">
        <f t="shared" si="497"/>
        <v>666</v>
      </c>
      <c r="C1242" s="9"/>
      <c r="D1242" s="9"/>
      <c r="E1242" s="9"/>
      <c r="F1242" s="43" t="s">
        <v>309</v>
      </c>
      <c r="G1242" s="98">
        <v>633</v>
      </c>
      <c r="H1242" s="9" t="s">
        <v>220</v>
      </c>
      <c r="I1242" s="10">
        <v>11860</v>
      </c>
      <c r="J1242" s="10"/>
      <c r="K1242" s="10">
        <f t="shared" si="500"/>
        <v>11860</v>
      </c>
      <c r="L1242" s="131"/>
      <c r="M1242" s="10"/>
      <c r="N1242" s="10"/>
      <c r="O1242" s="10">
        <f t="shared" si="498"/>
        <v>0</v>
      </c>
      <c r="Q1242" s="10">
        <f t="shared" si="496"/>
        <v>11860</v>
      </c>
      <c r="R1242" s="10">
        <f t="shared" si="503"/>
        <v>0</v>
      </c>
      <c r="S1242" s="10">
        <f t="shared" si="504"/>
        <v>11860</v>
      </c>
    </row>
    <row r="1243" spans="2:19" x14ac:dyDescent="0.25">
      <c r="B1243" s="73">
        <f t="shared" si="497"/>
        <v>667</v>
      </c>
      <c r="C1243" s="9"/>
      <c r="D1243" s="9"/>
      <c r="E1243" s="9"/>
      <c r="F1243" s="43" t="s">
        <v>309</v>
      </c>
      <c r="G1243" s="98">
        <v>635</v>
      </c>
      <c r="H1243" s="9" t="s">
        <v>234</v>
      </c>
      <c r="I1243" s="10">
        <v>570</v>
      </c>
      <c r="J1243" s="10"/>
      <c r="K1243" s="10">
        <f t="shared" si="500"/>
        <v>570</v>
      </c>
      <c r="L1243" s="131"/>
      <c r="M1243" s="10"/>
      <c r="N1243" s="10"/>
      <c r="O1243" s="10">
        <f t="shared" si="498"/>
        <v>0</v>
      </c>
      <c r="Q1243" s="10">
        <f t="shared" si="496"/>
        <v>570</v>
      </c>
      <c r="R1243" s="10">
        <f t="shared" si="503"/>
        <v>0</v>
      </c>
      <c r="S1243" s="10">
        <f t="shared" si="504"/>
        <v>570</v>
      </c>
    </row>
    <row r="1244" spans="2:19" x14ac:dyDescent="0.25">
      <c r="B1244" s="73">
        <f t="shared" si="497"/>
        <v>668</v>
      </c>
      <c r="C1244" s="9"/>
      <c r="D1244" s="9"/>
      <c r="E1244" s="9"/>
      <c r="F1244" s="43" t="s">
        <v>309</v>
      </c>
      <c r="G1244" s="98">
        <v>637</v>
      </c>
      <c r="H1244" s="9" t="s">
        <v>223</v>
      </c>
      <c r="I1244" s="10">
        <v>2600</v>
      </c>
      <c r="J1244" s="10"/>
      <c r="K1244" s="10">
        <f t="shared" si="500"/>
        <v>2600</v>
      </c>
      <c r="L1244" s="131"/>
      <c r="M1244" s="10"/>
      <c r="N1244" s="10"/>
      <c r="O1244" s="10">
        <f t="shared" si="498"/>
        <v>0</v>
      </c>
      <c r="Q1244" s="10">
        <f t="shared" si="496"/>
        <v>2600</v>
      </c>
      <c r="R1244" s="10">
        <f t="shared" si="503"/>
        <v>0</v>
      </c>
      <c r="S1244" s="10">
        <f t="shared" si="504"/>
        <v>2600</v>
      </c>
    </row>
    <row r="1245" spans="2:19" x14ac:dyDescent="0.25">
      <c r="B1245" s="73">
        <f t="shared" si="497"/>
        <v>669</v>
      </c>
      <c r="C1245" s="21"/>
      <c r="D1245" s="21"/>
      <c r="E1245" s="21"/>
      <c r="F1245" s="42" t="s">
        <v>309</v>
      </c>
      <c r="G1245" s="97">
        <v>640</v>
      </c>
      <c r="H1245" s="21" t="s">
        <v>230</v>
      </c>
      <c r="I1245" s="15">
        <v>200</v>
      </c>
      <c r="J1245" s="15"/>
      <c r="K1245" s="15">
        <f t="shared" si="500"/>
        <v>200</v>
      </c>
      <c r="L1245" s="130"/>
      <c r="M1245" s="15"/>
      <c r="N1245" s="15"/>
      <c r="O1245" s="15">
        <f t="shared" si="498"/>
        <v>0</v>
      </c>
      <c r="Q1245" s="15">
        <f t="shared" si="496"/>
        <v>200</v>
      </c>
      <c r="R1245" s="15">
        <f t="shared" si="503"/>
        <v>0</v>
      </c>
      <c r="S1245" s="15">
        <f t="shared" si="504"/>
        <v>200</v>
      </c>
    </row>
    <row r="1246" spans="2:19" x14ac:dyDescent="0.25">
      <c r="B1246" s="73">
        <f t="shared" si="497"/>
        <v>670</v>
      </c>
      <c r="C1246" s="21"/>
      <c r="D1246" s="21"/>
      <c r="E1246" s="21"/>
      <c r="F1246" s="42" t="s">
        <v>307</v>
      </c>
      <c r="G1246" s="97">
        <v>610</v>
      </c>
      <c r="H1246" s="21" t="s">
        <v>245</v>
      </c>
      <c r="I1246" s="15">
        <f>23660+900</f>
        <v>24560</v>
      </c>
      <c r="J1246" s="15"/>
      <c r="K1246" s="15">
        <f t="shared" si="500"/>
        <v>24560</v>
      </c>
      <c r="L1246" s="130"/>
      <c r="M1246" s="15"/>
      <c r="N1246" s="15"/>
      <c r="O1246" s="15">
        <f t="shared" si="498"/>
        <v>0</v>
      </c>
      <c r="Q1246" s="15">
        <f t="shared" si="496"/>
        <v>24560</v>
      </c>
      <c r="R1246" s="15">
        <f t="shared" si="503"/>
        <v>0</v>
      </c>
      <c r="S1246" s="15">
        <f t="shared" si="504"/>
        <v>24560</v>
      </c>
    </row>
    <row r="1247" spans="2:19" x14ac:dyDescent="0.25">
      <c r="B1247" s="73">
        <f t="shared" si="497"/>
        <v>671</v>
      </c>
      <c r="C1247" s="21"/>
      <c r="D1247" s="21"/>
      <c r="E1247" s="21"/>
      <c r="F1247" s="42" t="s">
        <v>307</v>
      </c>
      <c r="G1247" s="97">
        <v>620</v>
      </c>
      <c r="H1247" s="21" t="s">
        <v>228</v>
      </c>
      <c r="I1247" s="15">
        <f>8270+315</f>
        <v>8585</v>
      </c>
      <c r="J1247" s="15"/>
      <c r="K1247" s="15">
        <f t="shared" si="500"/>
        <v>8585</v>
      </c>
      <c r="L1247" s="130"/>
      <c r="M1247" s="15"/>
      <c r="N1247" s="15"/>
      <c r="O1247" s="15">
        <f t="shared" si="498"/>
        <v>0</v>
      </c>
      <c r="Q1247" s="15">
        <f t="shared" si="496"/>
        <v>8585</v>
      </c>
      <c r="R1247" s="15">
        <f t="shared" si="503"/>
        <v>0</v>
      </c>
      <c r="S1247" s="15">
        <f t="shared" si="504"/>
        <v>8585</v>
      </c>
    </row>
    <row r="1248" spans="2:19" x14ac:dyDescent="0.25">
      <c r="B1248" s="73">
        <f t="shared" si="497"/>
        <v>672</v>
      </c>
      <c r="C1248" s="21"/>
      <c r="D1248" s="21"/>
      <c r="E1248" s="21"/>
      <c r="F1248" s="42" t="s">
        <v>307</v>
      </c>
      <c r="G1248" s="97">
        <v>630</v>
      </c>
      <c r="H1248" s="21" t="s">
        <v>218</v>
      </c>
      <c r="I1248" s="15">
        <f>I1249+I1250+I1251+I1252</f>
        <v>19880</v>
      </c>
      <c r="J1248" s="15">
        <f t="shared" ref="J1248" si="506">J1249+J1250+J1251+J1252</f>
        <v>0</v>
      </c>
      <c r="K1248" s="15">
        <f t="shared" si="500"/>
        <v>19880</v>
      </c>
      <c r="L1248" s="130"/>
      <c r="M1248" s="15"/>
      <c r="N1248" s="15"/>
      <c r="O1248" s="15">
        <f t="shared" si="498"/>
        <v>0</v>
      </c>
      <c r="Q1248" s="15">
        <f t="shared" si="496"/>
        <v>19880</v>
      </c>
      <c r="R1248" s="15">
        <f t="shared" si="503"/>
        <v>0</v>
      </c>
      <c r="S1248" s="15">
        <f t="shared" si="504"/>
        <v>19880</v>
      </c>
    </row>
    <row r="1249" spans="2:19" x14ac:dyDescent="0.25">
      <c r="B1249" s="73">
        <f t="shared" si="497"/>
        <v>673</v>
      </c>
      <c r="C1249" s="9"/>
      <c r="D1249" s="9"/>
      <c r="E1249" s="9"/>
      <c r="F1249" s="43" t="s">
        <v>307</v>
      </c>
      <c r="G1249" s="98">
        <v>632</v>
      </c>
      <c r="H1249" s="9" t="s">
        <v>229</v>
      </c>
      <c r="I1249" s="10">
        <v>14850</v>
      </c>
      <c r="J1249" s="10"/>
      <c r="K1249" s="10">
        <f t="shared" si="500"/>
        <v>14850</v>
      </c>
      <c r="L1249" s="131"/>
      <c r="M1249" s="10"/>
      <c r="N1249" s="10"/>
      <c r="O1249" s="10">
        <f t="shared" si="498"/>
        <v>0</v>
      </c>
      <c r="Q1249" s="10">
        <f t="shared" si="496"/>
        <v>14850</v>
      </c>
      <c r="R1249" s="10">
        <f t="shared" si="503"/>
        <v>0</v>
      </c>
      <c r="S1249" s="10">
        <f t="shared" si="504"/>
        <v>14850</v>
      </c>
    </row>
    <row r="1250" spans="2:19" x14ac:dyDescent="0.25">
      <c r="B1250" s="73">
        <f t="shared" si="497"/>
        <v>674</v>
      </c>
      <c r="C1250" s="9"/>
      <c r="D1250" s="9"/>
      <c r="E1250" s="9"/>
      <c r="F1250" s="43" t="s">
        <v>307</v>
      </c>
      <c r="G1250" s="98">
        <v>633</v>
      </c>
      <c r="H1250" s="9" t="s">
        <v>220</v>
      </c>
      <c r="I1250" s="10">
        <v>1860</v>
      </c>
      <c r="J1250" s="10"/>
      <c r="K1250" s="10">
        <f t="shared" si="500"/>
        <v>1860</v>
      </c>
      <c r="L1250" s="131"/>
      <c r="M1250" s="10"/>
      <c r="N1250" s="10"/>
      <c r="O1250" s="10">
        <f t="shared" si="498"/>
        <v>0</v>
      </c>
      <c r="Q1250" s="10">
        <f t="shared" si="496"/>
        <v>1860</v>
      </c>
      <c r="R1250" s="10">
        <f t="shared" si="503"/>
        <v>0</v>
      </c>
      <c r="S1250" s="10">
        <f t="shared" si="504"/>
        <v>1860</v>
      </c>
    </row>
    <row r="1251" spans="2:19" x14ac:dyDescent="0.25">
      <c r="B1251" s="73">
        <f t="shared" si="497"/>
        <v>675</v>
      </c>
      <c r="C1251" s="9"/>
      <c r="D1251" s="9"/>
      <c r="E1251" s="9"/>
      <c r="F1251" s="43" t="s">
        <v>307</v>
      </c>
      <c r="G1251" s="98">
        <v>635</v>
      </c>
      <c r="H1251" s="9" t="s">
        <v>234</v>
      </c>
      <c r="I1251" s="10">
        <v>570</v>
      </c>
      <c r="J1251" s="10"/>
      <c r="K1251" s="10">
        <f t="shared" si="500"/>
        <v>570</v>
      </c>
      <c r="L1251" s="131"/>
      <c r="M1251" s="10"/>
      <c r="N1251" s="10"/>
      <c r="O1251" s="10">
        <f t="shared" si="498"/>
        <v>0</v>
      </c>
      <c r="Q1251" s="10">
        <f t="shared" si="496"/>
        <v>570</v>
      </c>
      <c r="R1251" s="10">
        <f t="shared" si="503"/>
        <v>0</v>
      </c>
      <c r="S1251" s="10">
        <f t="shared" si="504"/>
        <v>570</v>
      </c>
    </row>
    <row r="1252" spans="2:19" x14ac:dyDescent="0.25">
      <c r="B1252" s="73">
        <f t="shared" si="497"/>
        <v>676</v>
      </c>
      <c r="C1252" s="9"/>
      <c r="D1252" s="9"/>
      <c r="E1252" s="9"/>
      <c r="F1252" s="43" t="s">
        <v>307</v>
      </c>
      <c r="G1252" s="98">
        <v>637</v>
      </c>
      <c r="H1252" s="9" t="s">
        <v>223</v>
      </c>
      <c r="I1252" s="10">
        <v>2600</v>
      </c>
      <c r="J1252" s="10"/>
      <c r="K1252" s="10">
        <f t="shared" si="500"/>
        <v>2600</v>
      </c>
      <c r="L1252" s="131"/>
      <c r="M1252" s="10"/>
      <c r="N1252" s="10"/>
      <c r="O1252" s="10">
        <f t="shared" si="498"/>
        <v>0</v>
      </c>
      <c r="Q1252" s="10">
        <f t="shared" si="496"/>
        <v>2600</v>
      </c>
      <c r="R1252" s="10">
        <f t="shared" si="503"/>
        <v>0</v>
      </c>
      <c r="S1252" s="10">
        <f t="shared" si="504"/>
        <v>2600</v>
      </c>
    </row>
    <row r="1253" spans="2:19" x14ac:dyDescent="0.25">
      <c r="B1253" s="73">
        <f t="shared" si="497"/>
        <v>677</v>
      </c>
      <c r="C1253" s="21"/>
      <c r="D1253" s="21"/>
      <c r="E1253" s="21"/>
      <c r="F1253" s="42" t="s">
        <v>307</v>
      </c>
      <c r="G1253" s="97">
        <v>640</v>
      </c>
      <c r="H1253" s="21" t="s">
        <v>230</v>
      </c>
      <c r="I1253" s="15">
        <v>200</v>
      </c>
      <c r="J1253" s="15"/>
      <c r="K1253" s="15">
        <f t="shared" si="500"/>
        <v>200</v>
      </c>
      <c r="L1253" s="130"/>
      <c r="M1253" s="15"/>
      <c r="N1253" s="15"/>
      <c r="O1253" s="15">
        <f t="shared" si="498"/>
        <v>0</v>
      </c>
      <c r="Q1253" s="15">
        <f t="shared" si="496"/>
        <v>200</v>
      </c>
      <c r="R1253" s="15">
        <f t="shared" si="503"/>
        <v>0</v>
      </c>
      <c r="S1253" s="15">
        <f t="shared" si="504"/>
        <v>200</v>
      </c>
    </row>
    <row r="1254" spans="2:19" x14ac:dyDescent="0.25">
      <c r="B1254" s="73">
        <f t="shared" si="497"/>
        <v>678</v>
      </c>
      <c r="C1254" s="38"/>
      <c r="D1254" s="38"/>
      <c r="E1254" s="38">
        <v>11</v>
      </c>
      <c r="F1254" s="38"/>
      <c r="G1254" s="95"/>
      <c r="H1254" s="38" t="s">
        <v>172</v>
      </c>
      <c r="I1254" s="39">
        <f>I1255+I1256+I1257+I1263+I1264+I1265+I1266+I1272</f>
        <v>111290</v>
      </c>
      <c r="J1254" s="39">
        <f t="shared" ref="J1254" si="507">J1255+J1256+J1257+J1263+J1264+J1265+J1266+J1272</f>
        <v>0</v>
      </c>
      <c r="K1254" s="39">
        <f t="shared" si="500"/>
        <v>111290</v>
      </c>
      <c r="L1254" s="138"/>
      <c r="M1254" s="39">
        <v>0</v>
      </c>
      <c r="N1254" s="39">
        <v>0</v>
      </c>
      <c r="O1254" s="39">
        <f t="shared" si="498"/>
        <v>0</v>
      </c>
      <c r="Q1254" s="39">
        <f t="shared" si="496"/>
        <v>111290</v>
      </c>
      <c r="R1254" s="39">
        <f t="shared" si="503"/>
        <v>0</v>
      </c>
      <c r="S1254" s="39">
        <f t="shared" si="504"/>
        <v>111290</v>
      </c>
    </row>
    <row r="1255" spans="2:19" x14ac:dyDescent="0.25">
      <c r="B1255" s="73">
        <f t="shared" si="497"/>
        <v>679</v>
      </c>
      <c r="C1255" s="21"/>
      <c r="D1255" s="21"/>
      <c r="E1255" s="21"/>
      <c r="F1255" s="42" t="s">
        <v>309</v>
      </c>
      <c r="G1255" s="97">
        <v>610</v>
      </c>
      <c r="H1255" s="21" t="s">
        <v>245</v>
      </c>
      <c r="I1255" s="15">
        <v>26009</v>
      </c>
      <c r="J1255" s="15"/>
      <c r="K1255" s="15">
        <f t="shared" si="500"/>
        <v>26009</v>
      </c>
      <c r="L1255" s="130"/>
      <c r="M1255" s="15"/>
      <c r="N1255" s="15"/>
      <c r="O1255" s="15">
        <f t="shared" si="498"/>
        <v>0</v>
      </c>
      <c r="Q1255" s="15">
        <f t="shared" si="496"/>
        <v>26009</v>
      </c>
      <c r="R1255" s="15">
        <f t="shared" si="503"/>
        <v>0</v>
      </c>
      <c r="S1255" s="15">
        <f t="shared" si="504"/>
        <v>26009</v>
      </c>
    </row>
    <row r="1256" spans="2:19" x14ac:dyDescent="0.25">
      <c r="B1256" s="73">
        <f t="shared" si="497"/>
        <v>680</v>
      </c>
      <c r="C1256" s="21"/>
      <c r="D1256" s="21"/>
      <c r="E1256" s="21"/>
      <c r="F1256" s="42" t="s">
        <v>309</v>
      </c>
      <c r="G1256" s="97">
        <v>620</v>
      </c>
      <c r="H1256" s="21" t="s">
        <v>228</v>
      </c>
      <c r="I1256" s="15">
        <v>9103</v>
      </c>
      <c r="J1256" s="15"/>
      <c r="K1256" s="15">
        <f t="shared" si="500"/>
        <v>9103</v>
      </c>
      <c r="L1256" s="130"/>
      <c r="M1256" s="15"/>
      <c r="N1256" s="15"/>
      <c r="O1256" s="15">
        <f t="shared" si="498"/>
        <v>0</v>
      </c>
      <c r="Q1256" s="15">
        <f t="shared" si="496"/>
        <v>9103</v>
      </c>
      <c r="R1256" s="15">
        <f t="shared" si="503"/>
        <v>0</v>
      </c>
      <c r="S1256" s="15">
        <f t="shared" si="504"/>
        <v>9103</v>
      </c>
    </row>
    <row r="1257" spans="2:19" x14ac:dyDescent="0.25">
      <c r="B1257" s="73">
        <f t="shared" si="497"/>
        <v>681</v>
      </c>
      <c r="C1257" s="21"/>
      <c r="D1257" s="21"/>
      <c r="E1257" s="21"/>
      <c r="F1257" s="42" t="s">
        <v>309</v>
      </c>
      <c r="G1257" s="97">
        <v>630</v>
      </c>
      <c r="H1257" s="21" t="s">
        <v>218</v>
      </c>
      <c r="I1257" s="15">
        <f>I1258+I1259+I1260+I1261+I1262</f>
        <v>6335</v>
      </c>
      <c r="J1257" s="15">
        <f t="shared" ref="J1257" si="508">J1258+J1259+J1260+J1261+J1262</f>
        <v>0</v>
      </c>
      <c r="K1257" s="15">
        <f t="shared" si="500"/>
        <v>6335</v>
      </c>
      <c r="L1257" s="130"/>
      <c r="M1257" s="15"/>
      <c r="N1257" s="15"/>
      <c r="O1257" s="15">
        <f t="shared" si="498"/>
        <v>0</v>
      </c>
      <c r="Q1257" s="15">
        <f t="shared" si="496"/>
        <v>6335</v>
      </c>
      <c r="R1257" s="15">
        <f t="shared" si="503"/>
        <v>0</v>
      </c>
      <c r="S1257" s="15">
        <f t="shared" si="504"/>
        <v>6335</v>
      </c>
    </row>
    <row r="1258" spans="2:19" x14ac:dyDescent="0.25">
      <c r="B1258" s="73">
        <f t="shared" si="497"/>
        <v>682</v>
      </c>
      <c r="C1258" s="9"/>
      <c r="D1258" s="9"/>
      <c r="E1258" s="9"/>
      <c r="F1258" s="43" t="s">
        <v>309</v>
      </c>
      <c r="G1258" s="98">
        <v>631</v>
      </c>
      <c r="H1258" s="9" t="s">
        <v>219</v>
      </c>
      <c r="I1258" s="10">
        <v>21</v>
      </c>
      <c r="J1258" s="10"/>
      <c r="K1258" s="10">
        <f t="shared" si="500"/>
        <v>21</v>
      </c>
      <c r="L1258" s="131"/>
      <c r="M1258" s="10"/>
      <c r="N1258" s="10"/>
      <c r="O1258" s="10">
        <f t="shared" si="498"/>
        <v>0</v>
      </c>
      <c r="Q1258" s="10">
        <f t="shared" si="496"/>
        <v>21</v>
      </c>
      <c r="R1258" s="10">
        <f t="shared" si="503"/>
        <v>0</v>
      </c>
      <c r="S1258" s="10">
        <f t="shared" si="504"/>
        <v>21</v>
      </c>
    </row>
    <row r="1259" spans="2:19" ht="14.25" hidden="1" customHeight="1" x14ac:dyDescent="0.25">
      <c r="B1259" s="73">
        <f t="shared" si="497"/>
        <v>683</v>
      </c>
      <c r="C1259" s="9"/>
      <c r="D1259" s="9"/>
      <c r="E1259" s="9"/>
      <c r="F1259" s="43" t="s">
        <v>309</v>
      </c>
      <c r="G1259" s="98">
        <v>632</v>
      </c>
      <c r="H1259" s="9" t="s">
        <v>229</v>
      </c>
      <c r="I1259" s="10">
        <v>803</v>
      </c>
      <c r="J1259" s="10"/>
      <c r="K1259" s="10">
        <f t="shared" si="500"/>
        <v>803</v>
      </c>
      <c r="L1259" s="131"/>
      <c r="M1259" s="10"/>
      <c r="N1259" s="10"/>
      <c r="O1259" s="10">
        <f t="shared" si="498"/>
        <v>0</v>
      </c>
      <c r="Q1259" s="10">
        <f t="shared" si="496"/>
        <v>803</v>
      </c>
      <c r="R1259" s="10">
        <f t="shared" si="503"/>
        <v>0</v>
      </c>
      <c r="S1259" s="10">
        <f t="shared" si="504"/>
        <v>803</v>
      </c>
    </row>
    <row r="1260" spans="2:19" x14ac:dyDescent="0.25">
      <c r="B1260" s="73">
        <f t="shared" si="497"/>
        <v>684</v>
      </c>
      <c r="C1260" s="9"/>
      <c r="D1260" s="9"/>
      <c r="E1260" s="9"/>
      <c r="F1260" s="43" t="s">
        <v>309</v>
      </c>
      <c r="G1260" s="98">
        <v>633</v>
      </c>
      <c r="H1260" s="9" t="s">
        <v>220</v>
      </c>
      <c r="I1260" s="10">
        <v>2480</v>
      </c>
      <c r="J1260" s="10"/>
      <c r="K1260" s="10">
        <f t="shared" si="500"/>
        <v>2480</v>
      </c>
      <c r="L1260" s="131"/>
      <c r="M1260" s="10"/>
      <c r="N1260" s="10"/>
      <c r="O1260" s="10">
        <f t="shared" si="498"/>
        <v>0</v>
      </c>
      <c r="Q1260" s="10">
        <f t="shared" si="496"/>
        <v>2480</v>
      </c>
      <c r="R1260" s="10">
        <f t="shared" si="503"/>
        <v>0</v>
      </c>
      <c r="S1260" s="10">
        <f t="shared" si="504"/>
        <v>2480</v>
      </c>
    </row>
    <row r="1261" spans="2:19" x14ac:dyDescent="0.25">
      <c r="B1261" s="73">
        <f t="shared" si="497"/>
        <v>685</v>
      </c>
      <c r="C1261" s="9"/>
      <c r="D1261" s="9"/>
      <c r="E1261" s="9"/>
      <c r="F1261" s="43" t="s">
        <v>309</v>
      </c>
      <c r="G1261" s="98">
        <v>635</v>
      </c>
      <c r="H1261" s="9" t="s">
        <v>234</v>
      </c>
      <c r="I1261" s="10">
        <v>665</v>
      </c>
      <c r="J1261" s="10"/>
      <c r="K1261" s="10">
        <f t="shared" si="500"/>
        <v>665</v>
      </c>
      <c r="L1261" s="131"/>
      <c r="M1261" s="10"/>
      <c r="N1261" s="10"/>
      <c r="O1261" s="10">
        <f t="shared" si="498"/>
        <v>0</v>
      </c>
      <c r="Q1261" s="10">
        <f t="shared" si="496"/>
        <v>665</v>
      </c>
      <c r="R1261" s="10">
        <f t="shared" si="503"/>
        <v>0</v>
      </c>
      <c r="S1261" s="10">
        <f t="shared" si="504"/>
        <v>665</v>
      </c>
    </row>
    <row r="1262" spans="2:19" x14ac:dyDescent="0.25">
      <c r="B1262" s="73">
        <f t="shared" si="497"/>
        <v>686</v>
      </c>
      <c r="C1262" s="9"/>
      <c r="D1262" s="9"/>
      <c r="E1262" s="9"/>
      <c r="F1262" s="43" t="s">
        <v>309</v>
      </c>
      <c r="G1262" s="98">
        <v>637</v>
      </c>
      <c r="H1262" s="9" t="s">
        <v>223</v>
      </c>
      <c r="I1262" s="10">
        <v>2366</v>
      </c>
      <c r="J1262" s="10"/>
      <c r="K1262" s="10">
        <f t="shared" si="500"/>
        <v>2366</v>
      </c>
      <c r="L1262" s="131"/>
      <c r="M1262" s="10"/>
      <c r="N1262" s="10"/>
      <c r="O1262" s="10">
        <f t="shared" si="498"/>
        <v>0</v>
      </c>
      <c r="Q1262" s="10">
        <f t="shared" si="496"/>
        <v>2366</v>
      </c>
      <c r="R1262" s="10">
        <f t="shared" si="503"/>
        <v>0</v>
      </c>
      <c r="S1262" s="10">
        <f t="shared" si="504"/>
        <v>2366</v>
      </c>
    </row>
    <row r="1263" spans="2:19" x14ac:dyDescent="0.25">
      <c r="B1263" s="73">
        <f t="shared" si="497"/>
        <v>687</v>
      </c>
      <c r="C1263" s="21"/>
      <c r="D1263" s="21"/>
      <c r="E1263" s="21"/>
      <c r="F1263" s="42" t="s">
        <v>309</v>
      </c>
      <c r="G1263" s="97">
        <v>640</v>
      </c>
      <c r="H1263" s="21" t="s">
        <v>230</v>
      </c>
      <c r="I1263" s="15">
        <v>113</v>
      </c>
      <c r="J1263" s="15"/>
      <c r="K1263" s="15">
        <f t="shared" si="500"/>
        <v>113</v>
      </c>
      <c r="L1263" s="130"/>
      <c r="M1263" s="15"/>
      <c r="N1263" s="15"/>
      <c r="O1263" s="15">
        <f t="shared" si="498"/>
        <v>0</v>
      </c>
      <c r="Q1263" s="15">
        <f t="shared" si="496"/>
        <v>113</v>
      </c>
      <c r="R1263" s="15">
        <f t="shared" si="503"/>
        <v>0</v>
      </c>
      <c r="S1263" s="15">
        <f t="shared" si="504"/>
        <v>113</v>
      </c>
    </row>
    <row r="1264" spans="2:19" x14ac:dyDescent="0.25">
      <c r="B1264" s="73">
        <f t="shared" si="497"/>
        <v>688</v>
      </c>
      <c r="C1264" s="21"/>
      <c r="D1264" s="21"/>
      <c r="E1264" s="21"/>
      <c r="F1264" s="42" t="s">
        <v>307</v>
      </c>
      <c r="G1264" s="97">
        <v>610</v>
      </c>
      <c r="H1264" s="21" t="s">
        <v>245</v>
      </c>
      <c r="I1264" s="15">
        <v>44487</v>
      </c>
      <c r="J1264" s="15"/>
      <c r="K1264" s="15">
        <f t="shared" si="500"/>
        <v>44487</v>
      </c>
      <c r="L1264" s="130"/>
      <c r="M1264" s="15"/>
      <c r="N1264" s="15"/>
      <c r="O1264" s="15">
        <f t="shared" si="498"/>
        <v>0</v>
      </c>
      <c r="Q1264" s="15">
        <f t="shared" si="496"/>
        <v>44487</v>
      </c>
      <c r="R1264" s="15">
        <f t="shared" si="503"/>
        <v>0</v>
      </c>
      <c r="S1264" s="15">
        <f t="shared" si="504"/>
        <v>44487</v>
      </c>
    </row>
    <row r="1265" spans="2:19" x14ac:dyDescent="0.25">
      <c r="B1265" s="73">
        <f t="shared" si="497"/>
        <v>689</v>
      </c>
      <c r="C1265" s="21"/>
      <c r="D1265" s="21"/>
      <c r="E1265" s="21"/>
      <c r="F1265" s="42" t="s">
        <v>307</v>
      </c>
      <c r="G1265" s="97">
        <v>620</v>
      </c>
      <c r="H1265" s="21" t="s">
        <v>228</v>
      </c>
      <c r="I1265" s="15">
        <v>15571</v>
      </c>
      <c r="J1265" s="15"/>
      <c r="K1265" s="15">
        <f t="shared" si="500"/>
        <v>15571</v>
      </c>
      <c r="L1265" s="130"/>
      <c r="M1265" s="15"/>
      <c r="N1265" s="15"/>
      <c r="O1265" s="15">
        <f t="shared" si="498"/>
        <v>0</v>
      </c>
      <c r="Q1265" s="15">
        <f t="shared" si="496"/>
        <v>15571</v>
      </c>
      <c r="R1265" s="15">
        <f t="shared" si="503"/>
        <v>0</v>
      </c>
      <c r="S1265" s="15">
        <f t="shared" si="504"/>
        <v>15571</v>
      </c>
    </row>
    <row r="1266" spans="2:19" x14ac:dyDescent="0.25">
      <c r="B1266" s="73">
        <f t="shared" si="497"/>
        <v>690</v>
      </c>
      <c r="C1266" s="21"/>
      <c r="D1266" s="21"/>
      <c r="E1266" s="21"/>
      <c r="F1266" s="42" t="s">
        <v>307</v>
      </c>
      <c r="G1266" s="97">
        <v>630</v>
      </c>
      <c r="H1266" s="21" t="s">
        <v>218</v>
      </c>
      <c r="I1266" s="15">
        <f>I1267+I1268+I1269+I1270+I1271</f>
        <v>9501</v>
      </c>
      <c r="J1266" s="15">
        <f t="shared" ref="J1266" si="509">J1267+J1268+J1269+J1270+J1271</f>
        <v>0</v>
      </c>
      <c r="K1266" s="15">
        <f t="shared" si="500"/>
        <v>9501</v>
      </c>
      <c r="L1266" s="130"/>
      <c r="M1266" s="15"/>
      <c r="N1266" s="15"/>
      <c r="O1266" s="15">
        <f t="shared" si="498"/>
        <v>0</v>
      </c>
      <c r="Q1266" s="15">
        <f t="shared" si="496"/>
        <v>9501</v>
      </c>
      <c r="R1266" s="15">
        <f t="shared" si="503"/>
        <v>0</v>
      </c>
      <c r="S1266" s="15">
        <f t="shared" si="504"/>
        <v>9501</v>
      </c>
    </row>
    <row r="1267" spans="2:19" x14ac:dyDescent="0.25">
      <c r="B1267" s="73">
        <f t="shared" si="497"/>
        <v>691</v>
      </c>
      <c r="C1267" s="9"/>
      <c r="D1267" s="9"/>
      <c r="E1267" s="9"/>
      <c r="F1267" s="43" t="s">
        <v>307</v>
      </c>
      <c r="G1267" s="98">
        <v>631</v>
      </c>
      <c r="H1267" s="9" t="s">
        <v>219</v>
      </c>
      <c r="I1267" s="10">
        <v>31</v>
      </c>
      <c r="J1267" s="10"/>
      <c r="K1267" s="10">
        <f t="shared" si="500"/>
        <v>31</v>
      </c>
      <c r="L1267" s="131"/>
      <c r="M1267" s="10"/>
      <c r="N1267" s="10"/>
      <c r="O1267" s="10">
        <f t="shared" si="498"/>
        <v>0</v>
      </c>
      <c r="Q1267" s="10">
        <f t="shared" si="496"/>
        <v>31</v>
      </c>
      <c r="R1267" s="10">
        <f t="shared" si="503"/>
        <v>0</v>
      </c>
      <c r="S1267" s="10">
        <f t="shared" si="504"/>
        <v>31</v>
      </c>
    </row>
    <row r="1268" spans="2:19" x14ac:dyDescent="0.25">
      <c r="B1268" s="73">
        <f t="shared" si="497"/>
        <v>692</v>
      </c>
      <c r="C1268" s="9"/>
      <c r="D1268" s="9"/>
      <c r="E1268" s="9"/>
      <c r="F1268" s="43" t="s">
        <v>307</v>
      </c>
      <c r="G1268" s="98">
        <v>632</v>
      </c>
      <c r="H1268" s="9" t="s">
        <v>229</v>
      </c>
      <c r="I1268" s="10">
        <v>1205</v>
      </c>
      <c r="J1268" s="10"/>
      <c r="K1268" s="10">
        <f t="shared" si="500"/>
        <v>1205</v>
      </c>
      <c r="L1268" s="131"/>
      <c r="M1268" s="10"/>
      <c r="N1268" s="10"/>
      <c r="O1268" s="10">
        <f t="shared" si="498"/>
        <v>0</v>
      </c>
      <c r="Q1268" s="10">
        <f t="shared" si="496"/>
        <v>1205</v>
      </c>
      <c r="R1268" s="10">
        <f t="shared" si="503"/>
        <v>0</v>
      </c>
      <c r="S1268" s="10">
        <f t="shared" si="504"/>
        <v>1205</v>
      </c>
    </row>
    <row r="1269" spans="2:19" x14ac:dyDescent="0.25">
      <c r="B1269" s="73">
        <f t="shared" si="497"/>
        <v>693</v>
      </c>
      <c r="C1269" s="9"/>
      <c r="D1269" s="9"/>
      <c r="E1269" s="9"/>
      <c r="F1269" s="43" t="s">
        <v>307</v>
      </c>
      <c r="G1269" s="98">
        <v>633</v>
      </c>
      <c r="H1269" s="9" t="s">
        <v>220</v>
      </c>
      <c r="I1269" s="10">
        <v>3715</v>
      </c>
      <c r="J1269" s="10"/>
      <c r="K1269" s="10">
        <f t="shared" si="500"/>
        <v>3715</v>
      </c>
      <c r="L1269" s="131"/>
      <c r="M1269" s="10"/>
      <c r="N1269" s="10"/>
      <c r="O1269" s="10">
        <f t="shared" si="498"/>
        <v>0</v>
      </c>
      <c r="Q1269" s="10">
        <f t="shared" si="496"/>
        <v>3715</v>
      </c>
      <c r="R1269" s="10">
        <f t="shared" si="503"/>
        <v>0</v>
      </c>
      <c r="S1269" s="10">
        <f t="shared" si="504"/>
        <v>3715</v>
      </c>
    </row>
    <row r="1270" spans="2:19" x14ac:dyDescent="0.25">
      <c r="B1270" s="73">
        <f t="shared" si="497"/>
        <v>694</v>
      </c>
      <c r="C1270" s="9"/>
      <c r="D1270" s="9"/>
      <c r="E1270" s="9"/>
      <c r="F1270" s="43" t="s">
        <v>307</v>
      </c>
      <c r="G1270" s="98">
        <v>635</v>
      </c>
      <c r="H1270" s="9" t="s">
        <v>234</v>
      </c>
      <c r="I1270" s="10">
        <v>998</v>
      </c>
      <c r="J1270" s="10"/>
      <c r="K1270" s="10">
        <f t="shared" si="500"/>
        <v>998</v>
      </c>
      <c r="L1270" s="131"/>
      <c r="M1270" s="10"/>
      <c r="N1270" s="10"/>
      <c r="O1270" s="10">
        <f t="shared" si="498"/>
        <v>0</v>
      </c>
      <c r="Q1270" s="10">
        <f t="shared" si="496"/>
        <v>998</v>
      </c>
      <c r="R1270" s="10">
        <f t="shared" si="503"/>
        <v>0</v>
      </c>
      <c r="S1270" s="10">
        <f t="shared" si="504"/>
        <v>998</v>
      </c>
    </row>
    <row r="1271" spans="2:19" x14ac:dyDescent="0.25">
      <c r="B1271" s="73">
        <f t="shared" si="497"/>
        <v>695</v>
      </c>
      <c r="C1271" s="9"/>
      <c r="D1271" s="9"/>
      <c r="E1271" s="9"/>
      <c r="F1271" s="43" t="s">
        <v>307</v>
      </c>
      <c r="G1271" s="98">
        <v>637</v>
      </c>
      <c r="H1271" s="9" t="s">
        <v>223</v>
      </c>
      <c r="I1271" s="10">
        <v>3552</v>
      </c>
      <c r="J1271" s="10"/>
      <c r="K1271" s="10">
        <f t="shared" si="500"/>
        <v>3552</v>
      </c>
      <c r="L1271" s="131"/>
      <c r="M1271" s="10"/>
      <c r="N1271" s="10"/>
      <c r="O1271" s="10">
        <f t="shared" si="498"/>
        <v>0</v>
      </c>
      <c r="Q1271" s="10">
        <f t="shared" si="496"/>
        <v>3552</v>
      </c>
      <c r="R1271" s="10">
        <f t="shared" si="503"/>
        <v>0</v>
      </c>
      <c r="S1271" s="10">
        <f t="shared" si="504"/>
        <v>3552</v>
      </c>
    </row>
    <row r="1272" spans="2:19" x14ac:dyDescent="0.25">
      <c r="B1272" s="73">
        <f t="shared" si="497"/>
        <v>696</v>
      </c>
      <c r="C1272" s="21"/>
      <c r="D1272" s="21"/>
      <c r="E1272" s="21"/>
      <c r="F1272" s="42" t="s">
        <v>307</v>
      </c>
      <c r="G1272" s="97">
        <v>640</v>
      </c>
      <c r="H1272" s="21" t="s">
        <v>230</v>
      </c>
      <c r="I1272" s="15">
        <v>171</v>
      </c>
      <c r="J1272" s="15"/>
      <c r="K1272" s="15">
        <f t="shared" si="500"/>
        <v>171</v>
      </c>
      <c r="L1272" s="130"/>
      <c r="M1272" s="15"/>
      <c r="N1272" s="15"/>
      <c r="O1272" s="15">
        <f t="shared" si="498"/>
        <v>0</v>
      </c>
      <c r="Q1272" s="15">
        <f t="shared" si="496"/>
        <v>171</v>
      </c>
      <c r="R1272" s="15">
        <f t="shared" si="503"/>
        <v>0</v>
      </c>
      <c r="S1272" s="15">
        <f t="shared" si="504"/>
        <v>171</v>
      </c>
    </row>
    <row r="1273" spans="2:19" x14ac:dyDescent="0.25">
      <c r="B1273" s="73">
        <f t="shared" si="497"/>
        <v>697</v>
      </c>
      <c r="C1273" s="38"/>
      <c r="D1273" s="38"/>
      <c r="E1273" s="38">
        <v>12</v>
      </c>
      <c r="F1273" s="38"/>
      <c r="G1273" s="95"/>
      <c r="H1273" s="38" t="s">
        <v>173</v>
      </c>
      <c r="I1273" s="39">
        <f>I1274+I1275+I1276+I1281+I1282+I1283+I1284+I1289+I1290</f>
        <v>104675</v>
      </c>
      <c r="J1273" s="39">
        <f t="shared" ref="J1273" si="510">J1274+J1275+J1276+J1281+J1282+J1283+J1284+J1289+J1290</f>
        <v>0</v>
      </c>
      <c r="K1273" s="39">
        <f t="shared" si="500"/>
        <v>104675</v>
      </c>
      <c r="L1273" s="138"/>
      <c r="M1273" s="39">
        <f>M1290</f>
        <v>68000</v>
      </c>
      <c r="N1273" s="39">
        <f t="shared" ref="N1273" si="511">N1290</f>
        <v>0</v>
      </c>
      <c r="O1273" s="39">
        <f t="shared" si="498"/>
        <v>68000</v>
      </c>
      <c r="Q1273" s="39">
        <f t="shared" si="496"/>
        <v>172675</v>
      </c>
      <c r="R1273" s="39">
        <f t="shared" si="503"/>
        <v>0</v>
      </c>
      <c r="S1273" s="39">
        <f t="shared" si="504"/>
        <v>172675</v>
      </c>
    </row>
    <row r="1274" spans="2:19" x14ac:dyDescent="0.25">
      <c r="B1274" s="73">
        <f t="shared" si="497"/>
        <v>698</v>
      </c>
      <c r="C1274" s="21"/>
      <c r="D1274" s="21"/>
      <c r="E1274" s="21"/>
      <c r="F1274" s="42" t="s">
        <v>309</v>
      </c>
      <c r="G1274" s="97">
        <v>610</v>
      </c>
      <c r="H1274" s="21" t="s">
        <v>245</v>
      </c>
      <c r="I1274" s="15">
        <f>26475+1020</f>
        <v>27495</v>
      </c>
      <c r="J1274" s="15"/>
      <c r="K1274" s="15">
        <f t="shared" si="500"/>
        <v>27495</v>
      </c>
      <c r="L1274" s="130"/>
      <c r="M1274" s="15"/>
      <c r="N1274" s="15"/>
      <c r="O1274" s="15">
        <f t="shared" si="498"/>
        <v>0</v>
      </c>
      <c r="Q1274" s="15">
        <f t="shared" si="496"/>
        <v>27495</v>
      </c>
      <c r="R1274" s="15">
        <f t="shared" si="503"/>
        <v>0</v>
      </c>
      <c r="S1274" s="15">
        <f t="shared" si="504"/>
        <v>27495</v>
      </c>
    </row>
    <row r="1275" spans="2:19" x14ac:dyDescent="0.25">
      <c r="B1275" s="73">
        <f t="shared" si="497"/>
        <v>699</v>
      </c>
      <c r="C1275" s="21"/>
      <c r="D1275" s="21"/>
      <c r="E1275" s="21"/>
      <c r="F1275" s="42" t="s">
        <v>309</v>
      </c>
      <c r="G1275" s="97">
        <v>620</v>
      </c>
      <c r="H1275" s="21" t="s">
        <v>228</v>
      </c>
      <c r="I1275" s="15">
        <f>10150+360</f>
        <v>10510</v>
      </c>
      <c r="J1275" s="15"/>
      <c r="K1275" s="15">
        <f t="shared" si="500"/>
        <v>10510</v>
      </c>
      <c r="L1275" s="130"/>
      <c r="M1275" s="15"/>
      <c r="N1275" s="15"/>
      <c r="O1275" s="15">
        <f t="shared" si="498"/>
        <v>0</v>
      </c>
      <c r="Q1275" s="15">
        <f t="shared" si="496"/>
        <v>10510</v>
      </c>
      <c r="R1275" s="15">
        <f t="shared" si="503"/>
        <v>0</v>
      </c>
      <c r="S1275" s="15">
        <f t="shared" si="504"/>
        <v>10510</v>
      </c>
    </row>
    <row r="1276" spans="2:19" x14ac:dyDescent="0.25">
      <c r="B1276" s="73">
        <f t="shared" si="497"/>
        <v>700</v>
      </c>
      <c r="C1276" s="21"/>
      <c r="D1276" s="21"/>
      <c r="E1276" s="21"/>
      <c r="F1276" s="42" t="s">
        <v>309</v>
      </c>
      <c r="G1276" s="97">
        <v>630</v>
      </c>
      <c r="H1276" s="21" t="s">
        <v>218</v>
      </c>
      <c r="I1276" s="15">
        <f>SUM(I1277:I1280)</f>
        <v>9175</v>
      </c>
      <c r="J1276" s="15">
        <f t="shared" ref="J1276" si="512">SUM(J1277:J1280)</f>
        <v>0</v>
      </c>
      <c r="K1276" s="15">
        <f t="shared" si="500"/>
        <v>9175</v>
      </c>
      <c r="L1276" s="130"/>
      <c r="M1276" s="15"/>
      <c r="N1276" s="15"/>
      <c r="O1276" s="15">
        <f t="shared" si="498"/>
        <v>0</v>
      </c>
      <c r="Q1276" s="15">
        <f t="shared" si="496"/>
        <v>9175</v>
      </c>
      <c r="R1276" s="15">
        <f t="shared" si="503"/>
        <v>0</v>
      </c>
      <c r="S1276" s="15">
        <f t="shared" si="504"/>
        <v>9175</v>
      </c>
    </row>
    <row r="1277" spans="2:19" x14ac:dyDescent="0.25">
      <c r="B1277" s="73">
        <f t="shared" si="497"/>
        <v>701</v>
      </c>
      <c r="C1277" s="9"/>
      <c r="D1277" s="9"/>
      <c r="E1277" s="9"/>
      <c r="F1277" s="43" t="s">
        <v>309</v>
      </c>
      <c r="G1277" s="98">
        <v>632</v>
      </c>
      <c r="H1277" s="9" t="s">
        <v>229</v>
      </c>
      <c r="I1277" s="10">
        <v>3480</v>
      </c>
      <c r="J1277" s="10"/>
      <c r="K1277" s="10">
        <f t="shared" si="500"/>
        <v>3480</v>
      </c>
      <c r="L1277" s="131"/>
      <c r="M1277" s="10"/>
      <c r="N1277" s="10"/>
      <c r="O1277" s="10">
        <f t="shared" si="498"/>
        <v>0</v>
      </c>
      <c r="Q1277" s="10">
        <f t="shared" si="496"/>
        <v>3480</v>
      </c>
      <c r="R1277" s="10">
        <f t="shared" si="503"/>
        <v>0</v>
      </c>
      <c r="S1277" s="10">
        <f t="shared" si="504"/>
        <v>3480</v>
      </c>
    </row>
    <row r="1278" spans="2:19" x14ac:dyDescent="0.25">
      <c r="B1278" s="73">
        <f t="shared" si="497"/>
        <v>702</v>
      </c>
      <c r="C1278" s="9"/>
      <c r="D1278" s="9"/>
      <c r="E1278" s="9"/>
      <c r="F1278" s="43" t="s">
        <v>309</v>
      </c>
      <c r="G1278" s="98">
        <v>633</v>
      </c>
      <c r="H1278" s="9" t="s">
        <v>220</v>
      </c>
      <c r="I1278" s="10">
        <v>3115</v>
      </c>
      <c r="J1278" s="10"/>
      <c r="K1278" s="10">
        <f t="shared" si="500"/>
        <v>3115</v>
      </c>
      <c r="L1278" s="131"/>
      <c r="M1278" s="10"/>
      <c r="N1278" s="10"/>
      <c r="O1278" s="10">
        <f t="shared" si="498"/>
        <v>0</v>
      </c>
      <c r="Q1278" s="10">
        <f t="shared" si="496"/>
        <v>3115</v>
      </c>
      <c r="R1278" s="10">
        <f t="shared" si="503"/>
        <v>0</v>
      </c>
      <c r="S1278" s="10">
        <f t="shared" si="504"/>
        <v>3115</v>
      </c>
    </row>
    <row r="1279" spans="2:19" x14ac:dyDescent="0.25">
      <c r="B1279" s="73">
        <f t="shared" si="497"/>
        <v>703</v>
      </c>
      <c r="C1279" s="9"/>
      <c r="D1279" s="9"/>
      <c r="E1279" s="9"/>
      <c r="F1279" s="43" t="s">
        <v>309</v>
      </c>
      <c r="G1279" s="98">
        <v>635</v>
      </c>
      <c r="H1279" s="9" t="s">
        <v>234</v>
      </c>
      <c r="I1279" s="10">
        <v>1670</v>
      </c>
      <c r="J1279" s="10"/>
      <c r="K1279" s="10">
        <f t="shared" si="500"/>
        <v>1670</v>
      </c>
      <c r="L1279" s="131"/>
      <c r="M1279" s="10"/>
      <c r="N1279" s="10"/>
      <c r="O1279" s="10">
        <f t="shared" si="498"/>
        <v>0</v>
      </c>
      <c r="Q1279" s="10">
        <f t="shared" si="496"/>
        <v>1670</v>
      </c>
      <c r="R1279" s="10">
        <f t="shared" si="503"/>
        <v>0</v>
      </c>
      <c r="S1279" s="10">
        <f t="shared" si="504"/>
        <v>1670</v>
      </c>
    </row>
    <row r="1280" spans="2:19" x14ac:dyDescent="0.25">
      <c r="B1280" s="73">
        <f t="shared" si="497"/>
        <v>704</v>
      </c>
      <c r="C1280" s="9"/>
      <c r="D1280" s="9"/>
      <c r="E1280" s="9"/>
      <c r="F1280" s="43" t="s">
        <v>309</v>
      </c>
      <c r="G1280" s="98">
        <v>637</v>
      </c>
      <c r="H1280" s="9" t="s">
        <v>223</v>
      </c>
      <c r="I1280" s="10">
        <v>910</v>
      </c>
      <c r="J1280" s="10"/>
      <c r="K1280" s="10">
        <f t="shared" si="500"/>
        <v>910</v>
      </c>
      <c r="L1280" s="131"/>
      <c r="M1280" s="10"/>
      <c r="N1280" s="10"/>
      <c r="O1280" s="10">
        <f t="shared" si="498"/>
        <v>0</v>
      </c>
      <c r="Q1280" s="10">
        <f t="shared" si="496"/>
        <v>910</v>
      </c>
      <c r="R1280" s="10">
        <f t="shared" si="503"/>
        <v>0</v>
      </c>
      <c r="S1280" s="10">
        <f t="shared" si="504"/>
        <v>910</v>
      </c>
    </row>
    <row r="1281" spans="2:19" x14ac:dyDescent="0.25">
      <c r="B1281" s="73">
        <f t="shared" si="497"/>
        <v>705</v>
      </c>
      <c r="C1281" s="21"/>
      <c r="D1281" s="21"/>
      <c r="E1281" s="21"/>
      <c r="F1281" s="42" t="s">
        <v>309</v>
      </c>
      <c r="G1281" s="97">
        <v>640</v>
      </c>
      <c r="H1281" s="21" t="s">
        <v>230</v>
      </c>
      <c r="I1281" s="15">
        <v>180</v>
      </c>
      <c r="J1281" s="15"/>
      <c r="K1281" s="15">
        <f t="shared" si="500"/>
        <v>180</v>
      </c>
      <c r="L1281" s="130"/>
      <c r="M1281" s="15"/>
      <c r="N1281" s="15"/>
      <c r="O1281" s="15">
        <f t="shared" si="498"/>
        <v>0</v>
      </c>
      <c r="Q1281" s="15">
        <f t="shared" si="496"/>
        <v>180</v>
      </c>
      <c r="R1281" s="15">
        <f t="shared" si="503"/>
        <v>0</v>
      </c>
      <c r="S1281" s="15">
        <f t="shared" si="504"/>
        <v>180</v>
      </c>
    </row>
    <row r="1282" spans="2:19" x14ac:dyDescent="0.25">
      <c r="B1282" s="73">
        <f t="shared" si="497"/>
        <v>706</v>
      </c>
      <c r="C1282" s="21"/>
      <c r="D1282" s="21"/>
      <c r="E1282" s="21"/>
      <c r="F1282" s="42" t="s">
        <v>307</v>
      </c>
      <c r="G1282" s="97">
        <v>610</v>
      </c>
      <c r="H1282" s="21" t="s">
        <v>245</v>
      </c>
      <c r="I1282" s="15">
        <f>32360+1020</f>
        <v>33380</v>
      </c>
      <c r="J1282" s="15"/>
      <c r="K1282" s="15">
        <f t="shared" si="500"/>
        <v>33380</v>
      </c>
      <c r="L1282" s="130"/>
      <c r="M1282" s="15"/>
      <c r="N1282" s="15"/>
      <c r="O1282" s="15">
        <f t="shared" si="498"/>
        <v>0</v>
      </c>
      <c r="Q1282" s="15">
        <f t="shared" si="496"/>
        <v>33380</v>
      </c>
      <c r="R1282" s="15">
        <f t="shared" si="503"/>
        <v>0</v>
      </c>
      <c r="S1282" s="15">
        <f t="shared" si="504"/>
        <v>33380</v>
      </c>
    </row>
    <row r="1283" spans="2:19" x14ac:dyDescent="0.25">
      <c r="B1283" s="73">
        <f t="shared" si="497"/>
        <v>707</v>
      </c>
      <c r="C1283" s="21"/>
      <c r="D1283" s="21"/>
      <c r="E1283" s="21"/>
      <c r="F1283" s="42" t="s">
        <v>307</v>
      </c>
      <c r="G1283" s="97">
        <v>620</v>
      </c>
      <c r="H1283" s="21" t="s">
        <v>228</v>
      </c>
      <c r="I1283" s="15">
        <f>12000+360</f>
        <v>12360</v>
      </c>
      <c r="J1283" s="15"/>
      <c r="K1283" s="15">
        <f t="shared" si="500"/>
        <v>12360</v>
      </c>
      <c r="L1283" s="130"/>
      <c r="M1283" s="15"/>
      <c r="N1283" s="15"/>
      <c r="O1283" s="15">
        <f t="shared" si="498"/>
        <v>0</v>
      </c>
      <c r="Q1283" s="15">
        <f t="shared" si="496"/>
        <v>12360</v>
      </c>
      <c r="R1283" s="15">
        <f t="shared" si="503"/>
        <v>0</v>
      </c>
      <c r="S1283" s="15">
        <f t="shared" si="504"/>
        <v>12360</v>
      </c>
    </row>
    <row r="1284" spans="2:19" x14ac:dyDescent="0.25">
      <c r="B1284" s="73">
        <f t="shared" si="497"/>
        <v>708</v>
      </c>
      <c r="C1284" s="21"/>
      <c r="D1284" s="21"/>
      <c r="E1284" s="21"/>
      <c r="F1284" s="42" t="s">
        <v>307</v>
      </c>
      <c r="G1284" s="97">
        <v>630</v>
      </c>
      <c r="H1284" s="21" t="s">
        <v>218</v>
      </c>
      <c r="I1284" s="15">
        <f>SUM(I1285:I1288)</f>
        <v>11375</v>
      </c>
      <c r="J1284" s="15">
        <f t="shared" ref="J1284" si="513">SUM(J1285:J1288)</f>
        <v>0</v>
      </c>
      <c r="K1284" s="15">
        <f t="shared" si="500"/>
        <v>11375</v>
      </c>
      <c r="L1284" s="130"/>
      <c r="M1284" s="15"/>
      <c r="N1284" s="15"/>
      <c r="O1284" s="15">
        <f t="shared" si="498"/>
        <v>0</v>
      </c>
      <c r="Q1284" s="15">
        <f t="shared" si="496"/>
        <v>11375</v>
      </c>
      <c r="R1284" s="15">
        <f t="shared" si="503"/>
        <v>0</v>
      </c>
      <c r="S1284" s="15">
        <f t="shared" si="504"/>
        <v>11375</v>
      </c>
    </row>
    <row r="1285" spans="2:19" x14ac:dyDescent="0.25">
      <c r="B1285" s="73">
        <f t="shared" si="497"/>
        <v>709</v>
      </c>
      <c r="C1285" s="9"/>
      <c r="D1285" s="9"/>
      <c r="E1285" s="9"/>
      <c r="F1285" s="43" t="s">
        <v>307</v>
      </c>
      <c r="G1285" s="98">
        <v>632</v>
      </c>
      <c r="H1285" s="9" t="s">
        <v>229</v>
      </c>
      <c r="I1285" s="10">
        <v>4400</v>
      </c>
      <c r="J1285" s="10"/>
      <c r="K1285" s="10">
        <f t="shared" si="500"/>
        <v>4400</v>
      </c>
      <c r="L1285" s="131"/>
      <c r="M1285" s="10"/>
      <c r="N1285" s="10"/>
      <c r="O1285" s="10">
        <f t="shared" si="498"/>
        <v>0</v>
      </c>
      <c r="Q1285" s="10">
        <f t="shared" si="496"/>
        <v>4400</v>
      </c>
      <c r="R1285" s="10">
        <f t="shared" si="503"/>
        <v>0</v>
      </c>
      <c r="S1285" s="10">
        <f t="shared" si="504"/>
        <v>4400</v>
      </c>
    </row>
    <row r="1286" spans="2:19" x14ac:dyDescent="0.25">
      <c r="B1286" s="73">
        <f t="shared" si="497"/>
        <v>710</v>
      </c>
      <c r="C1286" s="9"/>
      <c r="D1286" s="9"/>
      <c r="E1286" s="9"/>
      <c r="F1286" s="43" t="s">
        <v>307</v>
      </c>
      <c r="G1286" s="98">
        <v>633</v>
      </c>
      <c r="H1286" s="9" t="s">
        <v>220</v>
      </c>
      <c r="I1286" s="10">
        <v>3850</v>
      </c>
      <c r="J1286" s="10"/>
      <c r="K1286" s="10">
        <f t="shared" si="500"/>
        <v>3850</v>
      </c>
      <c r="L1286" s="131"/>
      <c r="M1286" s="10"/>
      <c r="N1286" s="10"/>
      <c r="O1286" s="10">
        <f t="shared" si="498"/>
        <v>0</v>
      </c>
      <c r="Q1286" s="10">
        <f t="shared" si="496"/>
        <v>3850</v>
      </c>
      <c r="R1286" s="10">
        <f t="shared" si="503"/>
        <v>0</v>
      </c>
      <c r="S1286" s="10">
        <f t="shared" si="504"/>
        <v>3850</v>
      </c>
    </row>
    <row r="1287" spans="2:19" x14ac:dyDescent="0.25">
      <c r="B1287" s="73">
        <f t="shared" si="497"/>
        <v>711</v>
      </c>
      <c r="C1287" s="9"/>
      <c r="D1287" s="9"/>
      <c r="E1287" s="9"/>
      <c r="F1287" s="43" t="s">
        <v>307</v>
      </c>
      <c r="G1287" s="98">
        <v>635</v>
      </c>
      <c r="H1287" s="9" t="s">
        <v>234</v>
      </c>
      <c r="I1287" s="10">
        <v>2025</v>
      </c>
      <c r="J1287" s="10"/>
      <c r="K1287" s="10">
        <f t="shared" si="500"/>
        <v>2025</v>
      </c>
      <c r="L1287" s="131"/>
      <c r="M1287" s="10"/>
      <c r="N1287" s="10"/>
      <c r="O1287" s="10">
        <f t="shared" si="498"/>
        <v>0</v>
      </c>
      <c r="Q1287" s="10">
        <f t="shared" ref="Q1287:Q1336" si="514">I1287+M1287</f>
        <v>2025</v>
      </c>
      <c r="R1287" s="10">
        <f t="shared" si="503"/>
        <v>0</v>
      </c>
      <c r="S1287" s="10">
        <f t="shared" si="504"/>
        <v>2025</v>
      </c>
    </row>
    <row r="1288" spans="2:19" x14ac:dyDescent="0.25">
      <c r="B1288" s="73">
        <f t="shared" ref="B1288:B1336" si="515">B1287+1</f>
        <v>712</v>
      </c>
      <c r="C1288" s="9"/>
      <c r="D1288" s="9"/>
      <c r="E1288" s="9"/>
      <c r="F1288" s="43" t="s">
        <v>307</v>
      </c>
      <c r="G1288" s="98">
        <v>637</v>
      </c>
      <c r="H1288" s="9" t="s">
        <v>223</v>
      </c>
      <c r="I1288" s="10">
        <v>1100</v>
      </c>
      <c r="J1288" s="10"/>
      <c r="K1288" s="10">
        <f t="shared" si="500"/>
        <v>1100</v>
      </c>
      <c r="L1288" s="131"/>
      <c r="M1288" s="10"/>
      <c r="N1288" s="10"/>
      <c r="O1288" s="10">
        <f t="shared" ref="O1288:O1336" si="516">M1288+N1288</f>
        <v>0</v>
      </c>
      <c r="Q1288" s="10">
        <f t="shared" si="514"/>
        <v>1100</v>
      </c>
      <c r="R1288" s="10">
        <f t="shared" si="503"/>
        <v>0</v>
      </c>
      <c r="S1288" s="10">
        <f t="shared" si="504"/>
        <v>1100</v>
      </c>
    </row>
    <row r="1289" spans="2:19" x14ac:dyDescent="0.25">
      <c r="B1289" s="73">
        <f t="shared" si="515"/>
        <v>713</v>
      </c>
      <c r="C1289" s="21"/>
      <c r="D1289" s="21"/>
      <c r="E1289" s="21"/>
      <c r="F1289" s="42" t="s">
        <v>307</v>
      </c>
      <c r="G1289" s="97">
        <v>640</v>
      </c>
      <c r="H1289" s="21" t="s">
        <v>230</v>
      </c>
      <c r="I1289" s="15">
        <v>200</v>
      </c>
      <c r="J1289" s="15"/>
      <c r="K1289" s="15">
        <f t="shared" si="500"/>
        <v>200</v>
      </c>
      <c r="L1289" s="130"/>
      <c r="M1289" s="15"/>
      <c r="N1289" s="15"/>
      <c r="O1289" s="15">
        <f t="shared" si="516"/>
        <v>0</v>
      </c>
      <c r="Q1289" s="15">
        <f t="shared" si="514"/>
        <v>200</v>
      </c>
      <c r="R1289" s="15">
        <f t="shared" si="503"/>
        <v>0</v>
      </c>
      <c r="S1289" s="15">
        <f t="shared" si="504"/>
        <v>200</v>
      </c>
    </row>
    <row r="1290" spans="2:19" ht="15" hidden="1" customHeight="1" x14ac:dyDescent="0.25">
      <c r="B1290" s="73">
        <f t="shared" si="515"/>
        <v>714</v>
      </c>
      <c r="C1290" s="21"/>
      <c r="D1290" s="21"/>
      <c r="E1290" s="21"/>
      <c r="F1290" s="42" t="s">
        <v>309</v>
      </c>
      <c r="G1290" s="97">
        <v>710</v>
      </c>
      <c r="H1290" s="21" t="s">
        <v>235</v>
      </c>
      <c r="I1290" s="15"/>
      <c r="J1290" s="15"/>
      <c r="K1290" s="15">
        <f t="shared" ref="K1290:K1336" si="517">I1290+J1290</f>
        <v>0</v>
      </c>
      <c r="L1290" s="130"/>
      <c r="M1290" s="15">
        <f>M1291</f>
        <v>68000</v>
      </c>
      <c r="N1290" s="15">
        <f t="shared" ref="N1290:N1291" si="518">N1291</f>
        <v>0</v>
      </c>
      <c r="O1290" s="15">
        <f t="shared" si="516"/>
        <v>68000</v>
      </c>
      <c r="Q1290" s="15">
        <f t="shared" si="514"/>
        <v>68000</v>
      </c>
      <c r="R1290" s="15">
        <f t="shared" si="503"/>
        <v>0</v>
      </c>
      <c r="S1290" s="15">
        <f t="shared" si="504"/>
        <v>68000</v>
      </c>
    </row>
    <row r="1291" spans="2:19" x14ac:dyDescent="0.25">
      <c r="B1291" s="73">
        <f t="shared" si="515"/>
        <v>715</v>
      </c>
      <c r="C1291" s="9"/>
      <c r="D1291" s="9"/>
      <c r="E1291" s="9"/>
      <c r="F1291" s="43" t="s">
        <v>309</v>
      </c>
      <c r="G1291" s="98">
        <v>717</v>
      </c>
      <c r="H1291" s="9" t="s">
        <v>240</v>
      </c>
      <c r="I1291" s="10"/>
      <c r="J1291" s="10"/>
      <c r="K1291" s="10">
        <f t="shared" si="517"/>
        <v>0</v>
      </c>
      <c r="L1291" s="131"/>
      <c r="M1291" s="10">
        <f>M1292</f>
        <v>68000</v>
      </c>
      <c r="N1291" s="10">
        <f t="shared" si="518"/>
        <v>0</v>
      </c>
      <c r="O1291" s="10">
        <f t="shared" si="516"/>
        <v>68000</v>
      </c>
      <c r="Q1291" s="10">
        <f t="shared" si="514"/>
        <v>68000</v>
      </c>
      <c r="R1291" s="10">
        <f t="shared" si="503"/>
        <v>0</v>
      </c>
      <c r="S1291" s="10">
        <f t="shared" si="504"/>
        <v>68000</v>
      </c>
    </row>
    <row r="1292" spans="2:19" x14ac:dyDescent="0.25">
      <c r="B1292" s="73">
        <f t="shared" si="515"/>
        <v>716</v>
      </c>
      <c r="C1292" s="12"/>
      <c r="D1292" s="12"/>
      <c r="E1292" s="12"/>
      <c r="F1292" s="12"/>
      <c r="G1292" s="99"/>
      <c r="H1292" s="67" t="s">
        <v>496</v>
      </c>
      <c r="I1292" s="13"/>
      <c r="J1292" s="13"/>
      <c r="K1292" s="13">
        <f t="shared" si="517"/>
        <v>0</v>
      </c>
      <c r="L1292" s="132"/>
      <c r="M1292" s="13">
        <f>33000+35000</f>
        <v>68000</v>
      </c>
      <c r="N1292" s="13"/>
      <c r="O1292" s="13">
        <f t="shared" si="516"/>
        <v>68000</v>
      </c>
      <c r="Q1292" s="13">
        <f t="shared" si="514"/>
        <v>68000</v>
      </c>
      <c r="R1292" s="13">
        <f t="shared" si="503"/>
        <v>0</v>
      </c>
      <c r="S1292" s="13">
        <f t="shared" si="504"/>
        <v>68000</v>
      </c>
    </row>
    <row r="1293" spans="2:19" x14ac:dyDescent="0.25">
      <c r="B1293" s="73">
        <f t="shared" si="515"/>
        <v>717</v>
      </c>
      <c r="C1293" s="38"/>
      <c r="D1293" s="38"/>
      <c r="E1293" s="38">
        <v>13</v>
      </c>
      <c r="F1293" s="38"/>
      <c r="G1293" s="95"/>
      <c r="H1293" s="38" t="s">
        <v>174</v>
      </c>
      <c r="I1293" s="39">
        <f>I1294+I1295+I1296+I1300+I1301+I1302+I1303+I1309</f>
        <v>79274</v>
      </c>
      <c r="J1293" s="39">
        <f t="shared" ref="J1293" si="519">J1294+J1295+J1296+J1300+J1301+J1302+J1303+J1309</f>
        <v>0</v>
      </c>
      <c r="K1293" s="39">
        <f t="shared" si="517"/>
        <v>79274</v>
      </c>
      <c r="L1293" s="138"/>
      <c r="M1293" s="39">
        <v>0</v>
      </c>
      <c r="N1293" s="39">
        <v>0</v>
      </c>
      <c r="O1293" s="39">
        <f t="shared" si="516"/>
        <v>0</v>
      </c>
      <c r="Q1293" s="39">
        <f t="shared" si="514"/>
        <v>79274</v>
      </c>
      <c r="R1293" s="39">
        <f t="shared" si="503"/>
        <v>0</v>
      </c>
      <c r="S1293" s="39">
        <f t="shared" si="504"/>
        <v>79274</v>
      </c>
    </row>
    <row r="1294" spans="2:19" x14ac:dyDescent="0.25">
      <c r="B1294" s="73">
        <f t="shared" si="515"/>
        <v>718</v>
      </c>
      <c r="C1294" s="21"/>
      <c r="D1294" s="21"/>
      <c r="E1294" s="21"/>
      <c r="F1294" s="42" t="s">
        <v>309</v>
      </c>
      <c r="G1294" s="97">
        <v>610</v>
      </c>
      <c r="H1294" s="21" t="s">
        <v>245</v>
      </c>
      <c r="I1294" s="15">
        <v>20846</v>
      </c>
      <c r="J1294" s="15"/>
      <c r="K1294" s="15">
        <f t="shared" si="517"/>
        <v>20846</v>
      </c>
      <c r="L1294" s="130"/>
      <c r="M1294" s="15"/>
      <c r="N1294" s="15"/>
      <c r="O1294" s="15">
        <f t="shared" si="516"/>
        <v>0</v>
      </c>
      <c r="Q1294" s="15">
        <f t="shared" si="514"/>
        <v>20846</v>
      </c>
      <c r="R1294" s="15">
        <f t="shared" si="503"/>
        <v>0</v>
      </c>
      <c r="S1294" s="15">
        <f t="shared" si="504"/>
        <v>20846</v>
      </c>
    </row>
    <row r="1295" spans="2:19" x14ac:dyDescent="0.25">
      <c r="B1295" s="73">
        <f t="shared" si="515"/>
        <v>719</v>
      </c>
      <c r="C1295" s="21"/>
      <c r="D1295" s="21"/>
      <c r="E1295" s="21"/>
      <c r="F1295" s="42" t="s">
        <v>309</v>
      </c>
      <c r="G1295" s="97">
        <v>620</v>
      </c>
      <c r="H1295" s="21" t="s">
        <v>228</v>
      </c>
      <c r="I1295" s="15">
        <v>7571</v>
      </c>
      <c r="J1295" s="15"/>
      <c r="K1295" s="15">
        <f t="shared" si="517"/>
        <v>7571</v>
      </c>
      <c r="L1295" s="130"/>
      <c r="M1295" s="15"/>
      <c r="N1295" s="15"/>
      <c r="O1295" s="15">
        <f t="shared" si="516"/>
        <v>0</v>
      </c>
      <c r="Q1295" s="15">
        <f t="shared" si="514"/>
        <v>7571</v>
      </c>
      <c r="R1295" s="15">
        <f t="shared" si="503"/>
        <v>0</v>
      </c>
      <c r="S1295" s="15">
        <f t="shared" si="504"/>
        <v>7571</v>
      </c>
    </row>
    <row r="1296" spans="2:19" x14ac:dyDescent="0.25">
      <c r="B1296" s="73">
        <f t="shared" si="515"/>
        <v>720</v>
      </c>
      <c r="C1296" s="21"/>
      <c r="D1296" s="21"/>
      <c r="E1296" s="21"/>
      <c r="F1296" s="42" t="s">
        <v>309</v>
      </c>
      <c r="G1296" s="97">
        <v>630</v>
      </c>
      <c r="H1296" s="21" t="s">
        <v>218</v>
      </c>
      <c r="I1296" s="15">
        <f>SUM(I1297:I1299)</f>
        <v>7114</v>
      </c>
      <c r="J1296" s="15">
        <f t="shared" ref="J1296" si="520">SUM(J1297:J1299)</f>
        <v>0</v>
      </c>
      <c r="K1296" s="15">
        <f t="shared" si="517"/>
        <v>7114</v>
      </c>
      <c r="L1296" s="130"/>
      <c r="M1296" s="15"/>
      <c r="N1296" s="15"/>
      <c r="O1296" s="15">
        <f t="shared" si="516"/>
        <v>0</v>
      </c>
      <c r="Q1296" s="15">
        <f t="shared" si="514"/>
        <v>7114</v>
      </c>
      <c r="R1296" s="15">
        <f t="shared" si="503"/>
        <v>0</v>
      </c>
      <c r="S1296" s="15">
        <f t="shared" si="504"/>
        <v>7114</v>
      </c>
    </row>
    <row r="1297" spans="2:19" x14ac:dyDescent="0.25">
      <c r="B1297" s="73">
        <f t="shared" si="515"/>
        <v>721</v>
      </c>
      <c r="C1297" s="9"/>
      <c r="D1297" s="9"/>
      <c r="E1297" s="9"/>
      <c r="F1297" s="43" t="s">
        <v>309</v>
      </c>
      <c r="G1297" s="98">
        <v>632</v>
      </c>
      <c r="H1297" s="9" t="s">
        <v>229</v>
      </c>
      <c r="I1297" s="10">
        <v>3322</v>
      </c>
      <c r="J1297" s="10"/>
      <c r="K1297" s="10">
        <f t="shared" si="517"/>
        <v>3322</v>
      </c>
      <c r="L1297" s="131"/>
      <c r="M1297" s="10"/>
      <c r="N1297" s="10"/>
      <c r="O1297" s="10">
        <f t="shared" si="516"/>
        <v>0</v>
      </c>
      <c r="Q1297" s="10">
        <f t="shared" si="514"/>
        <v>3322</v>
      </c>
      <c r="R1297" s="10">
        <f t="shared" si="503"/>
        <v>0</v>
      </c>
      <c r="S1297" s="10">
        <f t="shared" si="504"/>
        <v>3322</v>
      </c>
    </row>
    <row r="1298" spans="2:19" x14ac:dyDescent="0.25">
      <c r="B1298" s="73">
        <f t="shared" si="515"/>
        <v>722</v>
      </c>
      <c r="C1298" s="9"/>
      <c r="D1298" s="9"/>
      <c r="E1298" s="9"/>
      <c r="F1298" s="43" t="s">
        <v>309</v>
      </c>
      <c r="G1298" s="98">
        <v>633</v>
      </c>
      <c r="H1298" s="9" t="s">
        <v>220</v>
      </c>
      <c r="I1298" s="10">
        <v>2212</v>
      </c>
      <c r="J1298" s="10"/>
      <c r="K1298" s="10">
        <f t="shared" si="517"/>
        <v>2212</v>
      </c>
      <c r="L1298" s="131"/>
      <c r="M1298" s="10"/>
      <c r="N1298" s="10"/>
      <c r="O1298" s="10">
        <f t="shared" si="516"/>
        <v>0</v>
      </c>
      <c r="Q1298" s="10">
        <f t="shared" si="514"/>
        <v>2212</v>
      </c>
      <c r="R1298" s="10">
        <f t="shared" si="503"/>
        <v>0</v>
      </c>
      <c r="S1298" s="10">
        <f t="shared" si="504"/>
        <v>2212</v>
      </c>
    </row>
    <row r="1299" spans="2:19" x14ac:dyDescent="0.25">
      <c r="B1299" s="73">
        <f t="shared" si="515"/>
        <v>723</v>
      </c>
      <c r="C1299" s="9"/>
      <c r="D1299" s="9"/>
      <c r="E1299" s="9"/>
      <c r="F1299" s="43" t="s">
        <v>309</v>
      </c>
      <c r="G1299" s="98">
        <v>637</v>
      </c>
      <c r="H1299" s="9" t="s">
        <v>223</v>
      </c>
      <c r="I1299" s="10">
        <v>1580</v>
      </c>
      <c r="J1299" s="10"/>
      <c r="K1299" s="10">
        <f t="shared" si="517"/>
        <v>1580</v>
      </c>
      <c r="L1299" s="131"/>
      <c r="M1299" s="10"/>
      <c r="N1299" s="10"/>
      <c r="O1299" s="10">
        <f t="shared" si="516"/>
        <v>0</v>
      </c>
      <c r="Q1299" s="10">
        <f t="shared" si="514"/>
        <v>1580</v>
      </c>
      <c r="R1299" s="10">
        <f t="shared" si="503"/>
        <v>0</v>
      </c>
      <c r="S1299" s="10">
        <f t="shared" si="504"/>
        <v>1580</v>
      </c>
    </row>
    <row r="1300" spans="2:19" x14ac:dyDescent="0.25">
      <c r="B1300" s="73">
        <f t="shared" si="515"/>
        <v>724</v>
      </c>
      <c r="C1300" s="21"/>
      <c r="D1300" s="21"/>
      <c r="E1300" s="21"/>
      <c r="F1300" s="42" t="s">
        <v>309</v>
      </c>
      <c r="G1300" s="97">
        <v>640</v>
      </c>
      <c r="H1300" s="21" t="s">
        <v>230</v>
      </c>
      <c r="I1300" s="15">
        <v>20</v>
      </c>
      <c r="J1300" s="15"/>
      <c r="K1300" s="15">
        <f t="shared" si="517"/>
        <v>20</v>
      </c>
      <c r="L1300" s="130"/>
      <c r="M1300" s="15"/>
      <c r="N1300" s="15"/>
      <c r="O1300" s="15">
        <f t="shared" si="516"/>
        <v>0</v>
      </c>
      <c r="Q1300" s="15">
        <f t="shared" si="514"/>
        <v>20</v>
      </c>
      <c r="R1300" s="15">
        <f t="shared" si="503"/>
        <v>0</v>
      </c>
      <c r="S1300" s="15">
        <f t="shared" si="504"/>
        <v>20</v>
      </c>
    </row>
    <row r="1301" spans="2:19" x14ac:dyDescent="0.25">
      <c r="B1301" s="73">
        <f t="shared" si="515"/>
        <v>725</v>
      </c>
      <c r="C1301" s="21"/>
      <c r="D1301" s="21"/>
      <c r="E1301" s="21"/>
      <c r="F1301" s="42" t="s">
        <v>307</v>
      </c>
      <c r="G1301" s="97">
        <v>610</v>
      </c>
      <c r="H1301" s="21" t="s">
        <v>245</v>
      </c>
      <c r="I1301" s="15">
        <v>25548</v>
      </c>
      <c r="J1301" s="15"/>
      <c r="K1301" s="15">
        <f t="shared" si="517"/>
        <v>25548</v>
      </c>
      <c r="L1301" s="130"/>
      <c r="M1301" s="15"/>
      <c r="N1301" s="15"/>
      <c r="O1301" s="15">
        <f t="shared" si="516"/>
        <v>0</v>
      </c>
      <c r="Q1301" s="15">
        <f t="shared" si="514"/>
        <v>25548</v>
      </c>
      <c r="R1301" s="15">
        <f t="shared" si="503"/>
        <v>0</v>
      </c>
      <c r="S1301" s="15">
        <f t="shared" si="504"/>
        <v>25548</v>
      </c>
    </row>
    <row r="1302" spans="2:19" x14ac:dyDescent="0.25">
      <c r="B1302" s="73">
        <f t="shared" si="515"/>
        <v>726</v>
      </c>
      <c r="C1302" s="21"/>
      <c r="D1302" s="21"/>
      <c r="E1302" s="21"/>
      <c r="F1302" s="42" t="s">
        <v>307</v>
      </c>
      <c r="G1302" s="97">
        <v>620</v>
      </c>
      <c r="H1302" s="21" t="s">
        <v>228</v>
      </c>
      <c r="I1302" s="15">
        <v>9255</v>
      </c>
      <c r="J1302" s="15"/>
      <c r="K1302" s="15">
        <f t="shared" si="517"/>
        <v>9255</v>
      </c>
      <c r="L1302" s="130"/>
      <c r="M1302" s="15"/>
      <c r="N1302" s="15"/>
      <c r="O1302" s="15">
        <f t="shared" si="516"/>
        <v>0</v>
      </c>
      <c r="Q1302" s="15">
        <f t="shared" si="514"/>
        <v>9255</v>
      </c>
      <c r="R1302" s="15">
        <f t="shared" si="503"/>
        <v>0</v>
      </c>
      <c r="S1302" s="15">
        <f t="shared" si="504"/>
        <v>9255</v>
      </c>
    </row>
    <row r="1303" spans="2:19" x14ac:dyDescent="0.25">
      <c r="B1303" s="73">
        <f t="shared" si="515"/>
        <v>727</v>
      </c>
      <c r="C1303" s="21"/>
      <c r="D1303" s="21"/>
      <c r="E1303" s="21"/>
      <c r="F1303" s="42" t="s">
        <v>307</v>
      </c>
      <c r="G1303" s="97">
        <v>630</v>
      </c>
      <c r="H1303" s="21" t="s">
        <v>218</v>
      </c>
      <c r="I1303" s="15">
        <f>I1304+I1305+I1306+I1307+I1308</f>
        <v>8890</v>
      </c>
      <c r="J1303" s="15">
        <f t="shared" ref="J1303" si="521">J1304+J1305+J1306+J1307+J1308</f>
        <v>0</v>
      </c>
      <c r="K1303" s="15">
        <f t="shared" si="517"/>
        <v>8890</v>
      </c>
      <c r="L1303" s="130"/>
      <c r="M1303" s="15"/>
      <c r="N1303" s="15"/>
      <c r="O1303" s="15">
        <f t="shared" si="516"/>
        <v>0</v>
      </c>
      <c r="Q1303" s="15">
        <f t="shared" si="514"/>
        <v>8890</v>
      </c>
      <c r="R1303" s="15">
        <f t="shared" ref="R1303:R1336" si="522">J1303+N1303</f>
        <v>0</v>
      </c>
      <c r="S1303" s="15">
        <f t="shared" ref="S1303:S1336" si="523">K1303+O1303</f>
        <v>8890</v>
      </c>
    </row>
    <row r="1304" spans="2:19" x14ac:dyDescent="0.25">
      <c r="B1304" s="73">
        <f t="shared" si="515"/>
        <v>728</v>
      </c>
      <c r="C1304" s="9"/>
      <c r="D1304" s="9"/>
      <c r="E1304" s="9"/>
      <c r="F1304" s="43" t="s">
        <v>307</v>
      </c>
      <c r="G1304" s="98">
        <v>631</v>
      </c>
      <c r="H1304" s="9" t="s">
        <v>219</v>
      </c>
      <c r="I1304" s="10">
        <v>55</v>
      </c>
      <c r="J1304" s="10"/>
      <c r="K1304" s="10">
        <f t="shared" si="517"/>
        <v>55</v>
      </c>
      <c r="L1304" s="131"/>
      <c r="M1304" s="10"/>
      <c r="N1304" s="10"/>
      <c r="O1304" s="10">
        <f t="shared" si="516"/>
        <v>0</v>
      </c>
      <c r="Q1304" s="10">
        <f t="shared" si="514"/>
        <v>55</v>
      </c>
      <c r="R1304" s="10">
        <f t="shared" si="522"/>
        <v>0</v>
      </c>
      <c r="S1304" s="10">
        <f t="shared" si="523"/>
        <v>55</v>
      </c>
    </row>
    <row r="1305" spans="2:19" x14ac:dyDescent="0.25">
      <c r="B1305" s="73">
        <f t="shared" si="515"/>
        <v>729</v>
      </c>
      <c r="C1305" s="9"/>
      <c r="D1305" s="9"/>
      <c r="E1305" s="9"/>
      <c r="F1305" s="43" t="s">
        <v>307</v>
      </c>
      <c r="G1305" s="98">
        <v>632</v>
      </c>
      <c r="H1305" s="9" t="s">
        <v>229</v>
      </c>
      <c r="I1305" s="10">
        <v>3070</v>
      </c>
      <c r="J1305" s="10"/>
      <c r="K1305" s="10">
        <f t="shared" si="517"/>
        <v>3070</v>
      </c>
      <c r="L1305" s="131"/>
      <c r="M1305" s="10"/>
      <c r="N1305" s="10"/>
      <c r="O1305" s="10">
        <f t="shared" si="516"/>
        <v>0</v>
      </c>
      <c r="Q1305" s="10">
        <f t="shared" si="514"/>
        <v>3070</v>
      </c>
      <c r="R1305" s="10">
        <f t="shared" si="522"/>
        <v>0</v>
      </c>
      <c r="S1305" s="10">
        <f t="shared" si="523"/>
        <v>3070</v>
      </c>
    </row>
    <row r="1306" spans="2:19" x14ac:dyDescent="0.25">
      <c r="B1306" s="73">
        <f t="shared" si="515"/>
        <v>730</v>
      </c>
      <c r="C1306" s="9"/>
      <c r="D1306" s="9"/>
      <c r="E1306" s="9"/>
      <c r="F1306" s="43" t="s">
        <v>307</v>
      </c>
      <c r="G1306" s="98">
        <v>633</v>
      </c>
      <c r="H1306" s="9" t="s">
        <v>220</v>
      </c>
      <c r="I1306" s="10">
        <v>2865</v>
      </c>
      <c r="J1306" s="10"/>
      <c r="K1306" s="10">
        <f t="shared" si="517"/>
        <v>2865</v>
      </c>
      <c r="L1306" s="131"/>
      <c r="M1306" s="10"/>
      <c r="N1306" s="10"/>
      <c r="O1306" s="10">
        <f t="shared" si="516"/>
        <v>0</v>
      </c>
      <c r="Q1306" s="10">
        <f t="shared" si="514"/>
        <v>2865</v>
      </c>
      <c r="R1306" s="10">
        <f t="shared" si="522"/>
        <v>0</v>
      </c>
      <c r="S1306" s="10">
        <f t="shared" si="523"/>
        <v>2865</v>
      </c>
    </row>
    <row r="1307" spans="2:19" x14ac:dyDescent="0.25">
      <c r="B1307" s="73">
        <f t="shared" si="515"/>
        <v>731</v>
      </c>
      <c r="C1307" s="9"/>
      <c r="D1307" s="9"/>
      <c r="E1307" s="9"/>
      <c r="F1307" s="43" t="s">
        <v>307</v>
      </c>
      <c r="G1307" s="98">
        <v>635</v>
      </c>
      <c r="H1307" s="9" t="s">
        <v>234</v>
      </c>
      <c r="I1307" s="10">
        <v>600</v>
      </c>
      <c r="J1307" s="10"/>
      <c r="K1307" s="10">
        <f t="shared" si="517"/>
        <v>600</v>
      </c>
      <c r="L1307" s="131"/>
      <c r="M1307" s="10"/>
      <c r="N1307" s="10"/>
      <c r="O1307" s="10">
        <f t="shared" si="516"/>
        <v>0</v>
      </c>
      <c r="Q1307" s="10">
        <f t="shared" si="514"/>
        <v>600</v>
      </c>
      <c r="R1307" s="10">
        <f t="shared" si="522"/>
        <v>0</v>
      </c>
      <c r="S1307" s="10">
        <f t="shared" si="523"/>
        <v>600</v>
      </c>
    </row>
    <row r="1308" spans="2:19" x14ac:dyDescent="0.25">
      <c r="B1308" s="73">
        <f t="shared" si="515"/>
        <v>732</v>
      </c>
      <c r="C1308" s="9"/>
      <c r="D1308" s="9"/>
      <c r="E1308" s="9"/>
      <c r="F1308" s="43" t="s">
        <v>307</v>
      </c>
      <c r="G1308" s="98">
        <v>637</v>
      </c>
      <c r="H1308" s="9" t="s">
        <v>223</v>
      </c>
      <c r="I1308" s="10">
        <v>2300</v>
      </c>
      <c r="J1308" s="10"/>
      <c r="K1308" s="10">
        <f t="shared" si="517"/>
        <v>2300</v>
      </c>
      <c r="L1308" s="131"/>
      <c r="M1308" s="10"/>
      <c r="N1308" s="10"/>
      <c r="O1308" s="10">
        <f t="shared" si="516"/>
        <v>0</v>
      </c>
      <c r="Q1308" s="10">
        <f t="shared" si="514"/>
        <v>2300</v>
      </c>
      <c r="R1308" s="10">
        <f t="shared" si="522"/>
        <v>0</v>
      </c>
      <c r="S1308" s="10">
        <f t="shared" si="523"/>
        <v>2300</v>
      </c>
    </row>
    <row r="1309" spans="2:19" x14ac:dyDescent="0.25">
      <c r="B1309" s="73">
        <f t="shared" si="515"/>
        <v>733</v>
      </c>
      <c r="C1309" s="21"/>
      <c r="D1309" s="21"/>
      <c r="E1309" s="21"/>
      <c r="F1309" s="42" t="s">
        <v>307</v>
      </c>
      <c r="G1309" s="97">
        <v>640</v>
      </c>
      <c r="H1309" s="21" t="s">
        <v>230</v>
      </c>
      <c r="I1309" s="15">
        <v>30</v>
      </c>
      <c r="J1309" s="15"/>
      <c r="K1309" s="15">
        <f t="shared" si="517"/>
        <v>30</v>
      </c>
      <c r="L1309" s="130"/>
      <c r="M1309" s="15"/>
      <c r="N1309" s="15"/>
      <c r="O1309" s="15">
        <f t="shared" si="516"/>
        <v>0</v>
      </c>
      <c r="Q1309" s="15">
        <f t="shared" si="514"/>
        <v>30</v>
      </c>
      <c r="R1309" s="15">
        <f t="shared" si="522"/>
        <v>0</v>
      </c>
      <c r="S1309" s="15">
        <f t="shared" si="523"/>
        <v>30</v>
      </c>
    </row>
    <row r="1310" spans="2:19" ht="15.75" x14ac:dyDescent="0.25">
      <c r="B1310" s="73">
        <f t="shared" si="515"/>
        <v>734</v>
      </c>
      <c r="C1310" s="34">
        <v>5</v>
      </c>
      <c r="D1310" s="227" t="s">
        <v>316</v>
      </c>
      <c r="E1310" s="228"/>
      <c r="F1310" s="228"/>
      <c r="G1310" s="228"/>
      <c r="H1310" s="229"/>
      <c r="I1310" s="35">
        <f>I1311+I1314+I1316+I1326</f>
        <v>214119</v>
      </c>
      <c r="J1310" s="35">
        <f>J1311+J1314+J1316+J1326</f>
        <v>812</v>
      </c>
      <c r="K1310" s="35">
        <f t="shared" si="517"/>
        <v>214931</v>
      </c>
      <c r="L1310" s="135"/>
      <c r="M1310" s="35">
        <v>0</v>
      </c>
      <c r="N1310" s="35">
        <v>0</v>
      </c>
      <c r="O1310" s="35">
        <f t="shared" si="516"/>
        <v>0</v>
      </c>
      <c r="Q1310" s="35">
        <f t="shared" si="514"/>
        <v>214119</v>
      </c>
      <c r="R1310" s="35">
        <f t="shared" si="522"/>
        <v>812</v>
      </c>
      <c r="S1310" s="35">
        <f t="shared" si="523"/>
        <v>214931</v>
      </c>
    </row>
    <row r="1311" spans="2:19" ht="15.75" x14ac:dyDescent="0.25">
      <c r="B1311" s="73">
        <f t="shared" si="515"/>
        <v>735</v>
      </c>
      <c r="C1311" s="155"/>
      <c r="D1311" s="155"/>
      <c r="E1311" s="159"/>
      <c r="F1311" s="153"/>
      <c r="G1311" s="153"/>
      <c r="H1311" s="154" t="s">
        <v>613</v>
      </c>
      <c r="I1311" s="158">
        <f>I1312</f>
        <v>3111</v>
      </c>
      <c r="J1311" s="158">
        <f t="shared" ref="J1311:J1312" si="524">J1312</f>
        <v>0</v>
      </c>
      <c r="K1311" s="158">
        <f t="shared" si="517"/>
        <v>3111</v>
      </c>
      <c r="L1311" s="156"/>
      <c r="M1311" s="158"/>
      <c r="N1311" s="158"/>
      <c r="O1311" s="158">
        <f t="shared" si="516"/>
        <v>0</v>
      </c>
      <c r="P1311" s="157"/>
      <c r="Q1311" s="158">
        <f t="shared" si="514"/>
        <v>3111</v>
      </c>
      <c r="R1311" s="158">
        <f t="shared" si="522"/>
        <v>0</v>
      </c>
      <c r="S1311" s="158">
        <f t="shared" si="523"/>
        <v>3111</v>
      </c>
    </row>
    <row r="1312" spans="2:19" ht="15.75" x14ac:dyDescent="0.25">
      <c r="B1312" s="73">
        <f t="shared" si="515"/>
        <v>736</v>
      </c>
      <c r="C1312" s="155"/>
      <c r="D1312" s="155"/>
      <c r="E1312" s="159"/>
      <c r="F1312" s="42" t="s">
        <v>317</v>
      </c>
      <c r="G1312" s="97">
        <v>630</v>
      </c>
      <c r="H1312" s="21" t="s">
        <v>218</v>
      </c>
      <c r="I1312" s="160">
        <f>I1313</f>
        <v>3111</v>
      </c>
      <c r="J1312" s="160">
        <f t="shared" si="524"/>
        <v>0</v>
      </c>
      <c r="K1312" s="160">
        <f t="shared" si="517"/>
        <v>3111</v>
      </c>
      <c r="L1312" s="161"/>
      <c r="M1312" s="160"/>
      <c r="N1312" s="160"/>
      <c r="O1312" s="160">
        <f t="shared" si="516"/>
        <v>0</v>
      </c>
      <c r="P1312" s="162"/>
      <c r="Q1312" s="160">
        <f t="shared" si="514"/>
        <v>3111</v>
      </c>
      <c r="R1312" s="160">
        <f t="shared" si="522"/>
        <v>0</v>
      </c>
      <c r="S1312" s="160">
        <f t="shared" si="523"/>
        <v>3111</v>
      </c>
    </row>
    <row r="1313" spans="2:19" ht="15.75" x14ac:dyDescent="0.25">
      <c r="B1313" s="73">
        <f t="shared" si="515"/>
        <v>737</v>
      </c>
      <c r="C1313" s="155"/>
      <c r="D1313" s="155"/>
      <c r="E1313" s="159"/>
      <c r="F1313" s="43" t="s">
        <v>317</v>
      </c>
      <c r="G1313" s="98">
        <v>633</v>
      </c>
      <c r="H1313" s="9" t="s">
        <v>220</v>
      </c>
      <c r="I1313" s="163">
        <v>3111</v>
      </c>
      <c r="J1313" s="163"/>
      <c r="K1313" s="163">
        <f t="shared" si="517"/>
        <v>3111</v>
      </c>
      <c r="L1313" s="161"/>
      <c r="M1313" s="160"/>
      <c r="N1313" s="160"/>
      <c r="O1313" s="160">
        <f t="shared" si="516"/>
        <v>0</v>
      </c>
      <c r="P1313" s="162"/>
      <c r="Q1313" s="160">
        <f t="shared" si="514"/>
        <v>3111</v>
      </c>
      <c r="R1313" s="160">
        <f t="shared" si="522"/>
        <v>0</v>
      </c>
      <c r="S1313" s="160">
        <f t="shared" si="523"/>
        <v>3111</v>
      </c>
    </row>
    <row r="1314" spans="2:19" ht="15.75" x14ac:dyDescent="0.25">
      <c r="B1314" s="73">
        <f t="shared" si="515"/>
        <v>738</v>
      </c>
      <c r="C1314" s="155"/>
      <c r="D1314" s="155"/>
      <c r="E1314" s="159"/>
      <c r="F1314" s="153"/>
      <c r="G1314" s="153"/>
      <c r="H1314" s="154" t="s">
        <v>614</v>
      </c>
      <c r="I1314" s="158">
        <f>I1315</f>
        <v>10000</v>
      </c>
      <c r="J1314" s="158">
        <f t="shared" ref="J1314" si="525">J1315</f>
        <v>0</v>
      </c>
      <c r="K1314" s="158">
        <f t="shared" si="517"/>
        <v>10000</v>
      </c>
      <c r="L1314" s="156"/>
      <c r="M1314" s="158"/>
      <c r="N1314" s="158"/>
      <c r="O1314" s="158">
        <f t="shared" si="516"/>
        <v>0</v>
      </c>
      <c r="P1314" s="157"/>
      <c r="Q1314" s="158">
        <f t="shared" si="514"/>
        <v>10000</v>
      </c>
      <c r="R1314" s="158">
        <f t="shared" si="522"/>
        <v>0</v>
      </c>
      <c r="S1314" s="158">
        <f t="shared" si="523"/>
        <v>10000</v>
      </c>
    </row>
    <row r="1315" spans="2:19" ht="15.75" x14ac:dyDescent="0.25">
      <c r="B1315" s="73">
        <f t="shared" si="515"/>
        <v>739</v>
      </c>
      <c r="C1315" s="155"/>
      <c r="D1315" s="155"/>
      <c r="E1315" s="159"/>
      <c r="F1315" s="42" t="s">
        <v>317</v>
      </c>
      <c r="G1315" s="97">
        <v>640</v>
      </c>
      <c r="H1315" s="21" t="s">
        <v>230</v>
      </c>
      <c r="I1315" s="163">
        <v>10000</v>
      </c>
      <c r="J1315" s="163"/>
      <c r="K1315" s="163">
        <f t="shared" si="517"/>
        <v>10000</v>
      </c>
      <c r="L1315" s="161"/>
      <c r="M1315" s="160"/>
      <c r="N1315" s="160"/>
      <c r="O1315" s="160">
        <f t="shared" si="516"/>
        <v>0</v>
      </c>
      <c r="P1315" s="162"/>
      <c r="Q1315" s="160">
        <f t="shared" si="514"/>
        <v>10000</v>
      </c>
      <c r="R1315" s="160">
        <f t="shared" si="522"/>
        <v>0</v>
      </c>
      <c r="S1315" s="160">
        <f t="shared" si="523"/>
        <v>10000</v>
      </c>
    </row>
    <row r="1316" spans="2:19" ht="15.75" x14ac:dyDescent="0.25">
      <c r="B1316" s="73">
        <f t="shared" si="515"/>
        <v>740</v>
      </c>
      <c r="C1316" s="155"/>
      <c r="D1316" s="155"/>
      <c r="E1316" s="159"/>
      <c r="F1316" s="153"/>
      <c r="G1316" s="153"/>
      <c r="H1316" s="154" t="s">
        <v>615</v>
      </c>
      <c r="I1316" s="158">
        <f>I1317+I1318+I1319</f>
        <v>41040</v>
      </c>
      <c r="J1316" s="158">
        <f>J1317+J1318+J1319</f>
        <v>812</v>
      </c>
      <c r="K1316" s="158">
        <f t="shared" si="517"/>
        <v>41852</v>
      </c>
      <c r="L1316" s="156"/>
      <c r="M1316" s="158"/>
      <c r="N1316" s="158"/>
      <c r="O1316" s="158">
        <f t="shared" si="516"/>
        <v>0</v>
      </c>
      <c r="P1316" s="157"/>
      <c r="Q1316" s="158">
        <f t="shared" si="514"/>
        <v>41040</v>
      </c>
      <c r="R1316" s="158">
        <f t="shared" si="522"/>
        <v>812</v>
      </c>
      <c r="S1316" s="158">
        <f t="shared" si="523"/>
        <v>41852</v>
      </c>
    </row>
    <row r="1317" spans="2:19" x14ac:dyDescent="0.25">
      <c r="B1317" s="73">
        <f t="shared" si="515"/>
        <v>741</v>
      </c>
      <c r="C1317" s="21"/>
      <c r="D1317" s="21"/>
      <c r="E1317" s="21"/>
      <c r="F1317" s="42" t="s">
        <v>317</v>
      </c>
      <c r="G1317" s="97">
        <v>610</v>
      </c>
      <c r="H1317" s="21" t="s">
        <v>245</v>
      </c>
      <c r="I1317" s="15">
        <v>26600</v>
      </c>
      <c r="J1317" s="15"/>
      <c r="K1317" s="15">
        <f t="shared" si="517"/>
        <v>26600</v>
      </c>
      <c r="L1317" s="130"/>
      <c r="M1317" s="15"/>
      <c r="N1317" s="15"/>
      <c r="O1317" s="15">
        <f t="shared" si="516"/>
        <v>0</v>
      </c>
      <c r="Q1317" s="15">
        <f t="shared" si="514"/>
        <v>26600</v>
      </c>
      <c r="R1317" s="15">
        <f t="shared" si="522"/>
        <v>0</v>
      </c>
      <c r="S1317" s="15">
        <f t="shared" si="523"/>
        <v>26600</v>
      </c>
    </row>
    <row r="1318" spans="2:19" x14ac:dyDescent="0.25">
      <c r="B1318" s="73">
        <f t="shared" si="515"/>
        <v>742</v>
      </c>
      <c r="C1318" s="21"/>
      <c r="D1318" s="21"/>
      <c r="E1318" s="21"/>
      <c r="F1318" s="42" t="s">
        <v>317</v>
      </c>
      <c r="G1318" s="97">
        <v>620</v>
      </c>
      <c r="H1318" s="21" t="s">
        <v>228</v>
      </c>
      <c r="I1318" s="15">
        <v>9947</v>
      </c>
      <c r="J1318" s="15"/>
      <c r="K1318" s="15">
        <f t="shared" si="517"/>
        <v>9947</v>
      </c>
      <c r="L1318" s="130"/>
      <c r="M1318" s="15"/>
      <c r="N1318" s="15"/>
      <c r="O1318" s="15">
        <f t="shared" si="516"/>
        <v>0</v>
      </c>
      <c r="Q1318" s="15">
        <f t="shared" si="514"/>
        <v>9947</v>
      </c>
      <c r="R1318" s="15">
        <f t="shared" si="522"/>
        <v>0</v>
      </c>
      <c r="S1318" s="15">
        <f t="shared" si="523"/>
        <v>9947</v>
      </c>
    </row>
    <row r="1319" spans="2:19" x14ac:dyDescent="0.25">
      <c r="B1319" s="73">
        <f t="shared" si="515"/>
        <v>743</v>
      </c>
      <c r="C1319" s="21"/>
      <c r="D1319" s="21"/>
      <c r="E1319" s="21"/>
      <c r="F1319" s="42" t="s">
        <v>317</v>
      </c>
      <c r="G1319" s="97">
        <v>630</v>
      </c>
      <c r="H1319" s="21" t="s">
        <v>218</v>
      </c>
      <c r="I1319" s="15">
        <f>SUM(I1320:I1323)</f>
        <v>4493</v>
      </c>
      <c r="J1319" s="15">
        <f>SUM(J1320:J1325)</f>
        <v>812</v>
      </c>
      <c r="K1319" s="15">
        <f t="shared" si="517"/>
        <v>5305</v>
      </c>
      <c r="L1319" s="130"/>
      <c r="M1319" s="15"/>
      <c r="N1319" s="15"/>
      <c r="O1319" s="15">
        <f t="shared" si="516"/>
        <v>0</v>
      </c>
      <c r="Q1319" s="15">
        <f t="shared" si="514"/>
        <v>4493</v>
      </c>
      <c r="R1319" s="15">
        <f t="shared" si="522"/>
        <v>812</v>
      </c>
      <c r="S1319" s="15">
        <f t="shared" si="523"/>
        <v>5305</v>
      </c>
    </row>
    <row r="1320" spans="2:19" x14ac:dyDescent="0.25">
      <c r="B1320" s="73">
        <f t="shared" si="515"/>
        <v>744</v>
      </c>
      <c r="C1320" s="9"/>
      <c r="D1320" s="9"/>
      <c r="E1320" s="9"/>
      <c r="F1320" s="43" t="s">
        <v>317</v>
      </c>
      <c r="G1320" s="98">
        <v>631</v>
      </c>
      <c r="H1320" s="9" t="s">
        <v>219</v>
      </c>
      <c r="I1320" s="10">
        <f>100+340</f>
        <v>440</v>
      </c>
      <c r="J1320" s="10"/>
      <c r="K1320" s="10">
        <f t="shared" si="517"/>
        <v>440</v>
      </c>
      <c r="L1320" s="131"/>
      <c r="M1320" s="10"/>
      <c r="N1320" s="10"/>
      <c r="O1320" s="10">
        <f t="shared" si="516"/>
        <v>0</v>
      </c>
      <c r="Q1320" s="10">
        <f t="shared" si="514"/>
        <v>440</v>
      </c>
      <c r="R1320" s="10">
        <f t="shared" si="522"/>
        <v>0</v>
      </c>
      <c r="S1320" s="10">
        <f t="shared" si="523"/>
        <v>440</v>
      </c>
    </row>
    <row r="1321" spans="2:19" x14ac:dyDescent="0.25">
      <c r="B1321" s="73">
        <f t="shared" si="515"/>
        <v>745</v>
      </c>
      <c r="C1321" s="9"/>
      <c r="D1321" s="9"/>
      <c r="E1321" s="9"/>
      <c r="F1321" s="43" t="s">
        <v>317</v>
      </c>
      <c r="G1321" s="98">
        <v>632</v>
      </c>
      <c r="H1321" s="9" t="s">
        <v>229</v>
      </c>
      <c r="I1321" s="10">
        <v>300</v>
      </c>
      <c r="J1321" s="10"/>
      <c r="K1321" s="10">
        <f t="shared" si="517"/>
        <v>300</v>
      </c>
      <c r="L1321" s="131"/>
      <c r="M1321" s="10"/>
      <c r="N1321" s="10"/>
      <c r="O1321" s="10">
        <f t="shared" si="516"/>
        <v>0</v>
      </c>
      <c r="Q1321" s="10">
        <f t="shared" si="514"/>
        <v>300</v>
      </c>
      <c r="R1321" s="10">
        <f t="shared" si="522"/>
        <v>0</v>
      </c>
      <c r="S1321" s="10">
        <f t="shared" si="523"/>
        <v>300</v>
      </c>
    </row>
    <row r="1322" spans="2:19" x14ac:dyDescent="0.25">
      <c r="B1322" s="73">
        <f t="shared" si="515"/>
        <v>746</v>
      </c>
      <c r="C1322" s="9"/>
      <c r="D1322" s="9"/>
      <c r="E1322" s="9"/>
      <c r="F1322" s="43" t="s">
        <v>317</v>
      </c>
      <c r="G1322" s="98">
        <v>633</v>
      </c>
      <c r="H1322" s="9" t="s">
        <v>220</v>
      </c>
      <c r="I1322" s="10">
        <f>3764-2111</f>
        <v>1653</v>
      </c>
      <c r="J1322" s="10"/>
      <c r="K1322" s="10">
        <f t="shared" si="517"/>
        <v>1653</v>
      </c>
      <c r="L1322" s="131"/>
      <c r="M1322" s="10"/>
      <c r="N1322" s="10"/>
      <c r="O1322" s="10">
        <f t="shared" si="516"/>
        <v>0</v>
      </c>
      <c r="Q1322" s="10">
        <f t="shared" si="514"/>
        <v>1653</v>
      </c>
      <c r="R1322" s="10">
        <f t="shared" si="522"/>
        <v>0</v>
      </c>
      <c r="S1322" s="10">
        <f t="shared" si="523"/>
        <v>1653</v>
      </c>
    </row>
    <row r="1323" spans="2:19" x14ac:dyDescent="0.25">
      <c r="B1323" s="73">
        <f t="shared" si="515"/>
        <v>747</v>
      </c>
      <c r="C1323" s="9"/>
      <c r="D1323" s="9"/>
      <c r="E1323" s="9"/>
      <c r="F1323" s="43" t="s">
        <v>317</v>
      </c>
      <c r="G1323" s="98">
        <v>637</v>
      </c>
      <c r="H1323" s="9" t="s">
        <v>223</v>
      </c>
      <c r="I1323" s="10">
        <f>1300+800</f>
        <v>2100</v>
      </c>
      <c r="J1323" s="10"/>
      <c r="K1323" s="10">
        <f t="shared" si="517"/>
        <v>2100</v>
      </c>
      <c r="L1323" s="131"/>
      <c r="M1323" s="10"/>
      <c r="N1323" s="10"/>
      <c r="O1323" s="10">
        <f t="shared" si="516"/>
        <v>0</v>
      </c>
      <c r="Q1323" s="10">
        <f t="shared" si="514"/>
        <v>2100</v>
      </c>
      <c r="R1323" s="10">
        <f t="shared" si="522"/>
        <v>0</v>
      </c>
      <c r="S1323" s="10">
        <f t="shared" si="523"/>
        <v>2100</v>
      </c>
    </row>
    <row r="1324" spans="2:19" x14ac:dyDescent="0.25">
      <c r="B1324" s="73">
        <f t="shared" si="515"/>
        <v>748</v>
      </c>
      <c r="C1324" s="9"/>
      <c r="D1324" s="9"/>
      <c r="E1324" s="9"/>
      <c r="F1324" s="43" t="s">
        <v>317</v>
      </c>
      <c r="G1324" s="98">
        <v>630</v>
      </c>
      <c r="H1324" s="9" t="s">
        <v>660</v>
      </c>
      <c r="I1324" s="10">
        <v>0</v>
      </c>
      <c r="J1324" s="10">
        <v>695</v>
      </c>
      <c r="K1324" s="10">
        <f t="shared" si="517"/>
        <v>695</v>
      </c>
      <c r="L1324" s="131"/>
      <c r="M1324" s="10"/>
      <c r="N1324" s="10"/>
      <c r="O1324" s="10">
        <f t="shared" si="516"/>
        <v>0</v>
      </c>
      <c r="Q1324" s="10">
        <f t="shared" ref="Q1324:Q1325" si="526">I1324+M1324</f>
        <v>0</v>
      </c>
      <c r="R1324" s="10">
        <f t="shared" ref="R1324:R1325" si="527">J1324+N1324</f>
        <v>695</v>
      </c>
      <c r="S1324" s="10">
        <f t="shared" ref="S1324:S1325" si="528">K1324+O1324</f>
        <v>695</v>
      </c>
    </row>
    <row r="1325" spans="2:19" x14ac:dyDescent="0.25">
      <c r="B1325" s="73">
        <f t="shared" si="515"/>
        <v>749</v>
      </c>
      <c r="C1325" s="9"/>
      <c r="D1325" s="9"/>
      <c r="E1325" s="9"/>
      <c r="F1325" s="43" t="s">
        <v>317</v>
      </c>
      <c r="G1325" s="98">
        <v>630</v>
      </c>
      <c r="H1325" s="9" t="s">
        <v>661</v>
      </c>
      <c r="I1325" s="10">
        <v>0</v>
      </c>
      <c r="J1325" s="10">
        <v>117</v>
      </c>
      <c r="K1325" s="10">
        <f t="shared" si="517"/>
        <v>117</v>
      </c>
      <c r="L1325" s="131"/>
      <c r="M1325" s="10"/>
      <c r="N1325" s="10"/>
      <c r="O1325" s="10">
        <f t="shared" si="516"/>
        <v>0</v>
      </c>
      <c r="Q1325" s="10">
        <f t="shared" si="526"/>
        <v>0</v>
      </c>
      <c r="R1325" s="10">
        <f t="shared" si="527"/>
        <v>117</v>
      </c>
      <c r="S1325" s="10">
        <f t="shared" si="528"/>
        <v>117</v>
      </c>
    </row>
    <row r="1326" spans="2:19" x14ac:dyDescent="0.25">
      <c r="B1326" s="73">
        <f t="shared" si="515"/>
        <v>750</v>
      </c>
      <c r="C1326" s="38"/>
      <c r="D1326" s="38"/>
      <c r="E1326" s="38">
        <v>4</v>
      </c>
      <c r="F1326" s="38"/>
      <c r="G1326" s="95"/>
      <c r="H1326" s="38" t="s">
        <v>83</v>
      </c>
      <c r="I1326" s="39">
        <f>I1327+I1328+I1329+I1336</f>
        <v>159968</v>
      </c>
      <c r="J1326" s="39">
        <f>J1327+J1328+J1329+J1336</f>
        <v>0</v>
      </c>
      <c r="K1326" s="39">
        <f t="shared" si="517"/>
        <v>159968</v>
      </c>
      <c r="L1326" s="138"/>
      <c r="M1326" s="39">
        <v>0</v>
      </c>
      <c r="N1326" s="39">
        <v>0</v>
      </c>
      <c r="O1326" s="39">
        <f t="shared" si="516"/>
        <v>0</v>
      </c>
      <c r="Q1326" s="39">
        <f t="shared" si="514"/>
        <v>159968</v>
      </c>
      <c r="R1326" s="39">
        <f t="shared" si="522"/>
        <v>0</v>
      </c>
      <c r="S1326" s="39">
        <f t="shared" si="523"/>
        <v>159968</v>
      </c>
    </row>
    <row r="1327" spans="2:19" x14ac:dyDescent="0.25">
      <c r="B1327" s="73">
        <f t="shared" si="515"/>
        <v>751</v>
      </c>
      <c r="C1327" s="21"/>
      <c r="D1327" s="21"/>
      <c r="E1327" s="21"/>
      <c r="F1327" s="42" t="s">
        <v>318</v>
      </c>
      <c r="G1327" s="97">
        <v>610</v>
      </c>
      <c r="H1327" s="21" t="s">
        <v>245</v>
      </c>
      <c r="I1327" s="15">
        <v>91125</v>
      </c>
      <c r="J1327" s="15"/>
      <c r="K1327" s="15">
        <f t="shared" si="517"/>
        <v>91125</v>
      </c>
      <c r="L1327" s="130"/>
      <c r="M1327" s="15"/>
      <c r="N1327" s="15"/>
      <c r="O1327" s="15">
        <f t="shared" si="516"/>
        <v>0</v>
      </c>
      <c r="Q1327" s="15">
        <f t="shared" si="514"/>
        <v>91125</v>
      </c>
      <c r="R1327" s="15">
        <f t="shared" si="522"/>
        <v>0</v>
      </c>
      <c r="S1327" s="15">
        <f t="shared" si="523"/>
        <v>91125</v>
      </c>
    </row>
    <row r="1328" spans="2:19" ht="22.5" customHeight="1" x14ac:dyDescent="0.25">
      <c r="B1328" s="73">
        <f t="shared" si="515"/>
        <v>752</v>
      </c>
      <c r="C1328" s="21"/>
      <c r="D1328" s="21"/>
      <c r="E1328" s="21"/>
      <c r="F1328" s="42" t="s">
        <v>318</v>
      </c>
      <c r="G1328" s="97">
        <v>620</v>
      </c>
      <c r="H1328" s="21" t="s">
        <v>228</v>
      </c>
      <c r="I1328" s="15">
        <v>33700</v>
      </c>
      <c r="J1328" s="15"/>
      <c r="K1328" s="15">
        <f t="shared" si="517"/>
        <v>33700</v>
      </c>
      <c r="L1328" s="130"/>
      <c r="M1328" s="15"/>
      <c r="N1328" s="15"/>
      <c r="O1328" s="15">
        <f t="shared" si="516"/>
        <v>0</v>
      </c>
      <c r="Q1328" s="15">
        <f t="shared" si="514"/>
        <v>33700</v>
      </c>
      <c r="R1328" s="15">
        <f t="shared" si="522"/>
        <v>0</v>
      </c>
      <c r="S1328" s="15">
        <f t="shared" si="523"/>
        <v>33700</v>
      </c>
    </row>
    <row r="1329" spans="2:19" x14ac:dyDescent="0.25">
      <c r="B1329" s="73">
        <f t="shared" si="515"/>
        <v>753</v>
      </c>
      <c r="C1329" s="21"/>
      <c r="D1329" s="21"/>
      <c r="E1329" s="21"/>
      <c r="F1329" s="42" t="s">
        <v>318</v>
      </c>
      <c r="G1329" s="97">
        <v>630</v>
      </c>
      <c r="H1329" s="21" t="s">
        <v>218</v>
      </c>
      <c r="I1329" s="15">
        <f>I1330+I1331+I1332+I1333+I1334+I1335</f>
        <v>33210</v>
      </c>
      <c r="J1329" s="15">
        <f>J1330+J1331+J1332+J1333+J1334+J1335</f>
        <v>0</v>
      </c>
      <c r="K1329" s="15">
        <f t="shared" si="517"/>
        <v>33210</v>
      </c>
      <c r="L1329" s="130"/>
      <c r="M1329" s="15"/>
      <c r="N1329" s="15"/>
      <c r="O1329" s="15">
        <f t="shared" si="516"/>
        <v>0</v>
      </c>
      <c r="Q1329" s="15">
        <f t="shared" si="514"/>
        <v>33210</v>
      </c>
      <c r="R1329" s="15">
        <f t="shared" si="522"/>
        <v>0</v>
      </c>
      <c r="S1329" s="15">
        <f t="shared" si="523"/>
        <v>33210</v>
      </c>
    </row>
    <row r="1330" spans="2:19" x14ac:dyDescent="0.25">
      <c r="B1330" s="73">
        <f t="shared" si="515"/>
        <v>754</v>
      </c>
      <c r="C1330" s="9"/>
      <c r="D1330" s="9"/>
      <c r="E1330" s="9"/>
      <c r="F1330" s="43" t="s">
        <v>318</v>
      </c>
      <c r="G1330" s="98">
        <v>632</v>
      </c>
      <c r="H1330" s="9" t="s">
        <v>229</v>
      </c>
      <c r="I1330" s="10">
        <v>2200</v>
      </c>
      <c r="J1330" s="10"/>
      <c r="K1330" s="10">
        <f t="shared" si="517"/>
        <v>2200</v>
      </c>
      <c r="L1330" s="131"/>
      <c r="M1330" s="10"/>
      <c r="N1330" s="10"/>
      <c r="O1330" s="10">
        <f t="shared" si="516"/>
        <v>0</v>
      </c>
      <c r="Q1330" s="10">
        <f t="shared" si="514"/>
        <v>2200</v>
      </c>
      <c r="R1330" s="10">
        <f t="shared" si="522"/>
        <v>0</v>
      </c>
      <c r="S1330" s="10">
        <f t="shared" si="523"/>
        <v>2200</v>
      </c>
    </row>
    <row r="1331" spans="2:19" x14ac:dyDescent="0.25">
      <c r="B1331" s="73">
        <f t="shared" si="515"/>
        <v>755</v>
      </c>
      <c r="C1331" s="9"/>
      <c r="D1331" s="9"/>
      <c r="E1331" s="9"/>
      <c r="F1331" s="43" t="s">
        <v>318</v>
      </c>
      <c r="G1331" s="98">
        <v>633</v>
      </c>
      <c r="H1331" s="9" t="s">
        <v>220</v>
      </c>
      <c r="I1331" s="10">
        <v>2450</v>
      </c>
      <c r="J1331" s="10"/>
      <c r="K1331" s="10">
        <f t="shared" si="517"/>
        <v>2450</v>
      </c>
      <c r="L1331" s="131"/>
      <c r="M1331" s="10"/>
      <c r="N1331" s="10"/>
      <c r="O1331" s="10">
        <f t="shared" si="516"/>
        <v>0</v>
      </c>
      <c r="Q1331" s="10">
        <f t="shared" si="514"/>
        <v>2450</v>
      </c>
      <c r="R1331" s="10">
        <f t="shared" si="522"/>
        <v>0</v>
      </c>
      <c r="S1331" s="10">
        <f t="shared" si="523"/>
        <v>2450</v>
      </c>
    </row>
    <row r="1332" spans="2:19" x14ac:dyDescent="0.25">
      <c r="B1332" s="73">
        <f t="shared" si="515"/>
        <v>756</v>
      </c>
      <c r="C1332" s="9"/>
      <c r="D1332" s="9"/>
      <c r="E1332" s="9"/>
      <c r="F1332" s="43" t="s">
        <v>318</v>
      </c>
      <c r="G1332" s="98">
        <v>634</v>
      </c>
      <c r="H1332" s="9" t="s">
        <v>221</v>
      </c>
      <c r="I1332" s="10">
        <v>3300</v>
      </c>
      <c r="J1332" s="10"/>
      <c r="K1332" s="10">
        <f t="shared" si="517"/>
        <v>3300</v>
      </c>
      <c r="L1332" s="131"/>
      <c r="M1332" s="10"/>
      <c r="N1332" s="10"/>
      <c r="O1332" s="10">
        <f t="shared" si="516"/>
        <v>0</v>
      </c>
      <c r="Q1332" s="10">
        <f t="shared" si="514"/>
        <v>3300</v>
      </c>
      <c r="R1332" s="10">
        <f t="shared" si="522"/>
        <v>0</v>
      </c>
      <c r="S1332" s="10">
        <f t="shared" si="523"/>
        <v>3300</v>
      </c>
    </row>
    <row r="1333" spans="2:19" x14ac:dyDescent="0.25">
      <c r="B1333" s="73">
        <f t="shared" si="515"/>
        <v>757</v>
      </c>
      <c r="C1333" s="9"/>
      <c r="D1333" s="9"/>
      <c r="E1333" s="9"/>
      <c r="F1333" s="43" t="s">
        <v>318</v>
      </c>
      <c r="G1333" s="98">
        <v>635</v>
      </c>
      <c r="H1333" s="9" t="s">
        <v>234</v>
      </c>
      <c r="I1333" s="10">
        <v>750</v>
      </c>
      <c r="J1333" s="10"/>
      <c r="K1333" s="10">
        <f t="shared" si="517"/>
        <v>750</v>
      </c>
      <c r="L1333" s="131"/>
      <c r="M1333" s="10"/>
      <c r="N1333" s="10"/>
      <c r="O1333" s="10">
        <f t="shared" si="516"/>
        <v>0</v>
      </c>
      <c r="Q1333" s="10">
        <f t="shared" si="514"/>
        <v>750</v>
      </c>
      <c r="R1333" s="10">
        <f t="shared" si="522"/>
        <v>0</v>
      </c>
      <c r="S1333" s="10">
        <f t="shared" si="523"/>
        <v>750</v>
      </c>
    </row>
    <row r="1334" spans="2:19" x14ac:dyDescent="0.25">
      <c r="B1334" s="73">
        <f t="shared" si="515"/>
        <v>758</v>
      </c>
      <c r="C1334" s="9"/>
      <c r="D1334" s="9"/>
      <c r="E1334" s="9"/>
      <c r="F1334" s="43" t="s">
        <v>318</v>
      </c>
      <c r="G1334" s="98">
        <v>636</v>
      </c>
      <c r="H1334" s="9" t="s">
        <v>222</v>
      </c>
      <c r="I1334" s="10">
        <v>2500</v>
      </c>
      <c r="J1334" s="10"/>
      <c r="K1334" s="10">
        <f t="shared" si="517"/>
        <v>2500</v>
      </c>
      <c r="L1334" s="131"/>
      <c r="M1334" s="10"/>
      <c r="N1334" s="10"/>
      <c r="O1334" s="10">
        <f t="shared" si="516"/>
        <v>0</v>
      </c>
      <c r="Q1334" s="10">
        <f t="shared" si="514"/>
        <v>2500</v>
      </c>
      <c r="R1334" s="10">
        <f t="shared" si="522"/>
        <v>0</v>
      </c>
      <c r="S1334" s="10">
        <f t="shared" si="523"/>
        <v>2500</v>
      </c>
    </row>
    <row r="1335" spans="2:19" x14ac:dyDescent="0.25">
      <c r="B1335" s="73">
        <f t="shared" si="515"/>
        <v>759</v>
      </c>
      <c r="C1335" s="9"/>
      <c r="D1335" s="9"/>
      <c r="E1335" s="9"/>
      <c r="F1335" s="43" t="s">
        <v>318</v>
      </c>
      <c r="G1335" s="98">
        <v>637</v>
      </c>
      <c r="H1335" s="9" t="s">
        <v>223</v>
      </c>
      <c r="I1335" s="10">
        <v>22010</v>
      </c>
      <c r="J1335" s="10"/>
      <c r="K1335" s="10">
        <f t="shared" si="517"/>
        <v>22010</v>
      </c>
      <c r="L1335" s="131"/>
      <c r="M1335" s="10"/>
      <c r="N1335" s="10"/>
      <c r="O1335" s="10">
        <f t="shared" si="516"/>
        <v>0</v>
      </c>
      <c r="Q1335" s="10">
        <f t="shared" si="514"/>
        <v>22010</v>
      </c>
      <c r="R1335" s="10">
        <f t="shared" si="522"/>
        <v>0</v>
      </c>
      <c r="S1335" s="10">
        <f t="shared" si="523"/>
        <v>22010</v>
      </c>
    </row>
    <row r="1336" spans="2:19" x14ac:dyDescent="0.25">
      <c r="B1336" s="73">
        <f t="shared" si="515"/>
        <v>760</v>
      </c>
      <c r="C1336" s="21"/>
      <c r="D1336" s="21"/>
      <c r="E1336" s="21"/>
      <c r="F1336" s="42" t="s">
        <v>318</v>
      </c>
      <c r="G1336" s="97">
        <v>640</v>
      </c>
      <c r="H1336" s="21" t="s">
        <v>230</v>
      </c>
      <c r="I1336" s="15">
        <v>1933</v>
      </c>
      <c r="J1336" s="15"/>
      <c r="K1336" s="15">
        <f t="shared" si="517"/>
        <v>1933</v>
      </c>
      <c r="L1336" s="130"/>
      <c r="M1336" s="15"/>
      <c r="N1336" s="15"/>
      <c r="O1336" s="15">
        <f t="shared" si="516"/>
        <v>0</v>
      </c>
      <c r="Q1336" s="15">
        <f t="shared" si="514"/>
        <v>1933</v>
      </c>
      <c r="R1336" s="15">
        <f t="shared" si="522"/>
        <v>0</v>
      </c>
      <c r="S1336" s="15">
        <f t="shared" si="523"/>
        <v>1933</v>
      </c>
    </row>
    <row r="1342" spans="2:19" ht="27" x14ac:dyDescent="0.35">
      <c r="B1342" s="231" t="s">
        <v>319</v>
      </c>
      <c r="C1342" s="232"/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</row>
    <row r="1343" spans="2:19" x14ac:dyDescent="0.25">
      <c r="B1343" s="233" t="s">
        <v>208</v>
      </c>
      <c r="C1343" s="234"/>
      <c r="D1343" s="234"/>
      <c r="E1343" s="234"/>
      <c r="F1343" s="234"/>
      <c r="G1343" s="234"/>
      <c r="H1343" s="234"/>
      <c r="I1343" s="234"/>
      <c r="J1343" s="234"/>
      <c r="K1343" s="234"/>
      <c r="L1343" s="234"/>
      <c r="M1343" s="235"/>
      <c r="N1343" s="169"/>
      <c r="O1343" s="170"/>
      <c r="Q1343" s="236" t="s">
        <v>563</v>
      </c>
      <c r="R1343" s="221" t="s">
        <v>635</v>
      </c>
      <c r="S1343" s="221" t="s">
        <v>636</v>
      </c>
    </row>
    <row r="1344" spans="2:19" x14ac:dyDescent="0.25">
      <c r="B1344" s="237"/>
      <c r="C1344" s="240" t="s">
        <v>209</v>
      </c>
      <c r="D1344" s="240" t="s">
        <v>210</v>
      </c>
      <c r="E1344" s="240" t="s">
        <v>211</v>
      </c>
      <c r="F1344" s="240" t="s">
        <v>212</v>
      </c>
      <c r="G1344" s="243" t="s">
        <v>213</v>
      </c>
      <c r="H1344" s="245" t="s">
        <v>214</v>
      </c>
      <c r="I1344" s="248" t="s">
        <v>561</v>
      </c>
      <c r="J1344" s="222" t="s">
        <v>635</v>
      </c>
      <c r="K1344" s="222" t="s">
        <v>637</v>
      </c>
      <c r="L1344" s="129"/>
      <c r="M1344" s="250" t="s">
        <v>562</v>
      </c>
      <c r="N1344" s="222" t="s">
        <v>635</v>
      </c>
      <c r="O1344" s="222" t="s">
        <v>638</v>
      </c>
      <c r="Q1344" s="236"/>
      <c r="R1344" s="222"/>
      <c r="S1344" s="222"/>
    </row>
    <row r="1345" spans="2:19" x14ac:dyDescent="0.25">
      <c r="B1345" s="238"/>
      <c r="C1345" s="241"/>
      <c r="D1345" s="241"/>
      <c r="E1345" s="241"/>
      <c r="F1345" s="241"/>
      <c r="G1345" s="243"/>
      <c r="H1345" s="246"/>
      <c r="I1345" s="248"/>
      <c r="J1345" s="222"/>
      <c r="K1345" s="222"/>
      <c r="L1345" s="129"/>
      <c r="M1345" s="250"/>
      <c r="N1345" s="222"/>
      <c r="O1345" s="222"/>
      <c r="Q1345" s="236"/>
      <c r="R1345" s="222"/>
      <c r="S1345" s="222"/>
    </row>
    <row r="1346" spans="2:19" x14ac:dyDescent="0.25">
      <c r="B1346" s="238"/>
      <c r="C1346" s="241"/>
      <c r="D1346" s="241"/>
      <c r="E1346" s="241"/>
      <c r="F1346" s="241"/>
      <c r="G1346" s="243"/>
      <c r="H1346" s="246"/>
      <c r="I1346" s="248"/>
      <c r="J1346" s="222"/>
      <c r="K1346" s="222"/>
      <c r="L1346" s="129"/>
      <c r="M1346" s="250"/>
      <c r="N1346" s="222"/>
      <c r="O1346" s="222"/>
      <c r="Q1346" s="236"/>
      <c r="R1346" s="222"/>
      <c r="S1346" s="222"/>
    </row>
    <row r="1347" spans="2:19" ht="15.75" thickBot="1" x14ac:dyDescent="0.3">
      <c r="B1347" s="239"/>
      <c r="C1347" s="242"/>
      <c r="D1347" s="242"/>
      <c r="E1347" s="242"/>
      <c r="F1347" s="242"/>
      <c r="G1347" s="244"/>
      <c r="H1347" s="247"/>
      <c r="I1347" s="249"/>
      <c r="J1347" s="223"/>
      <c r="K1347" s="223"/>
      <c r="L1347" s="129"/>
      <c r="M1347" s="251"/>
      <c r="N1347" s="223"/>
      <c r="O1347" s="223"/>
      <c r="Q1347" s="236"/>
      <c r="R1347" s="223"/>
      <c r="S1347" s="223"/>
    </row>
    <row r="1348" spans="2:19" ht="16.5" thickTop="1" x14ac:dyDescent="0.25">
      <c r="B1348" s="74">
        <v>1</v>
      </c>
      <c r="C1348" s="224" t="s">
        <v>319</v>
      </c>
      <c r="D1348" s="225"/>
      <c r="E1348" s="225"/>
      <c r="F1348" s="225"/>
      <c r="G1348" s="225"/>
      <c r="H1348" s="226"/>
      <c r="I1348" s="33">
        <f>I1349+I1354+I1373+I1442</f>
        <v>1979144</v>
      </c>
      <c r="J1348" s="33">
        <f t="shared" ref="J1348" si="529">J1349+J1354+J1373+J1442</f>
        <v>58000</v>
      </c>
      <c r="K1348" s="33">
        <f>I1348+J1348</f>
        <v>2037144</v>
      </c>
      <c r="L1348" s="134"/>
      <c r="M1348" s="33">
        <f>M1349+M1354+M1373+M1442</f>
        <v>1088127</v>
      </c>
      <c r="N1348" s="33">
        <f t="shared" ref="N1348" si="530">N1349+N1354+N1373+N1442</f>
        <v>68000</v>
      </c>
      <c r="O1348" s="33">
        <f>M1348+N1348</f>
        <v>1156127</v>
      </c>
      <c r="Q1348" s="33">
        <f t="shared" ref="Q1348:Q1419" si="531">I1348+M1348</f>
        <v>3067271</v>
      </c>
      <c r="R1348" s="33">
        <f t="shared" ref="R1348:R1419" si="532">J1348+N1348</f>
        <v>126000</v>
      </c>
      <c r="S1348" s="33">
        <f t="shared" ref="S1348:S1419" si="533">K1348+O1348</f>
        <v>3193271</v>
      </c>
    </row>
    <row r="1349" spans="2:19" ht="15.75" x14ac:dyDescent="0.25">
      <c r="B1349" s="73">
        <f>B1348+1</f>
        <v>2</v>
      </c>
      <c r="C1349" s="34">
        <v>1</v>
      </c>
      <c r="D1349" s="227" t="s">
        <v>320</v>
      </c>
      <c r="E1349" s="228"/>
      <c r="F1349" s="228"/>
      <c r="G1349" s="228"/>
      <c r="H1349" s="229"/>
      <c r="I1349" s="35">
        <f>I1350</f>
        <v>3200</v>
      </c>
      <c r="J1349" s="35">
        <f t="shared" ref="J1349" si="534">J1350</f>
        <v>0</v>
      </c>
      <c r="K1349" s="35">
        <f t="shared" ref="K1349:K1420" si="535">I1349+J1349</f>
        <v>3200</v>
      </c>
      <c r="L1349" s="135"/>
      <c r="M1349" s="35">
        <v>0</v>
      </c>
      <c r="N1349" s="35">
        <v>0</v>
      </c>
      <c r="O1349" s="35">
        <f t="shared" ref="O1349:O1420" si="536">M1349+N1349</f>
        <v>0</v>
      </c>
      <c r="Q1349" s="35">
        <f t="shared" si="531"/>
        <v>3200</v>
      </c>
      <c r="R1349" s="35">
        <f t="shared" si="532"/>
        <v>0</v>
      </c>
      <c r="S1349" s="35">
        <f t="shared" si="533"/>
        <v>3200</v>
      </c>
    </row>
    <row r="1350" spans="2:19" x14ac:dyDescent="0.25">
      <c r="B1350" s="73">
        <f>B1349+1</f>
        <v>3</v>
      </c>
      <c r="C1350" s="21"/>
      <c r="D1350" s="21"/>
      <c r="E1350" s="21"/>
      <c r="F1350" s="42" t="s">
        <v>321</v>
      </c>
      <c r="G1350" s="97">
        <v>630</v>
      </c>
      <c r="H1350" s="21" t="s">
        <v>218</v>
      </c>
      <c r="I1350" s="15">
        <f>SUM(I1351:I1353)</f>
        <v>3200</v>
      </c>
      <c r="J1350" s="15">
        <f t="shared" ref="J1350" si="537">SUM(J1351:J1353)</f>
        <v>0</v>
      </c>
      <c r="K1350" s="15">
        <f t="shared" si="535"/>
        <v>3200</v>
      </c>
      <c r="L1350" s="130"/>
      <c r="M1350" s="15"/>
      <c r="N1350" s="15"/>
      <c r="O1350" s="15">
        <f t="shared" si="536"/>
        <v>0</v>
      </c>
      <c r="Q1350" s="15">
        <f t="shared" si="531"/>
        <v>3200</v>
      </c>
      <c r="R1350" s="15">
        <f t="shared" si="532"/>
        <v>0</v>
      </c>
      <c r="S1350" s="15">
        <f t="shared" si="533"/>
        <v>3200</v>
      </c>
    </row>
    <row r="1351" spans="2:19" x14ac:dyDescent="0.25">
      <c r="B1351" s="73">
        <f t="shared" ref="B1351:B1422" si="538">B1350+1</f>
        <v>4</v>
      </c>
      <c r="C1351" s="9"/>
      <c r="D1351" s="9"/>
      <c r="E1351" s="9"/>
      <c r="F1351" s="43" t="s">
        <v>321</v>
      </c>
      <c r="G1351" s="98">
        <v>633</v>
      </c>
      <c r="H1351" s="9" t="s">
        <v>220</v>
      </c>
      <c r="I1351" s="10">
        <v>1700</v>
      </c>
      <c r="J1351" s="10"/>
      <c r="K1351" s="10">
        <f t="shared" si="535"/>
        <v>1700</v>
      </c>
      <c r="L1351" s="131"/>
      <c r="M1351" s="10"/>
      <c r="N1351" s="10"/>
      <c r="O1351" s="10">
        <f t="shared" si="536"/>
        <v>0</v>
      </c>
      <c r="Q1351" s="10">
        <f t="shared" si="531"/>
        <v>1700</v>
      </c>
      <c r="R1351" s="10">
        <f t="shared" si="532"/>
        <v>0</v>
      </c>
      <c r="S1351" s="10">
        <f t="shared" si="533"/>
        <v>1700</v>
      </c>
    </row>
    <row r="1352" spans="2:19" x14ac:dyDescent="0.25">
      <c r="B1352" s="73">
        <f t="shared" si="538"/>
        <v>5</v>
      </c>
      <c r="C1352" s="9"/>
      <c r="D1352" s="9"/>
      <c r="E1352" s="9"/>
      <c r="F1352" s="43" t="s">
        <v>321</v>
      </c>
      <c r="G1352" s="98">
        <v>633</v>
      </c>
      <c r="H1352" s="9" t="s">
        <v>632</v>
      </c>
      <c r="I1352" s="10">
        <v>1050</v>
      </c>
      <c r="J1352" s="10"/>
      <c r="K1352" s="10">
        <f t="shared" si="535"/>
        <v>1050</v>
      </c>
      <c r="L1352" s="131"/>
      <c r="M1352" s="10"/>
      <c r="N1352" s="10"/>
      <c r="O1352" s="10">
        <f t="shared" si="536"/>
        <v>0</v>
      </c>
      <c r="Q1352" s="10">
        <f t="shared" si="531"/>
        <v>1050</v>
      </c>
      <c r="R1352" s="10">
        <f t="shared" si="532"/>
        <v>0</v>
      </c>
      <c r="S1352" s="10">
        <f t="shared" si="533"/>
        <v>1050</v>
      </c>
    </row>
    <row r="1353" spans="2:19" x14ac:dyDescent="0.25">
      <c r="B1353" s="73">
        <f t="shared" si="538"/>
        <v>6</v>
      </c>
      <c r="C1353" s="9"/>
      <c r="D1353" s="9"/>
      <c r="E1353" s="9"/>
      <c r="F1353" s="43" t="s">
        <v>321</v>
      </c>
      <c r="G1353" s="98">
        <v>637</v>
      </c>
      <c r="H1353" s="9" t="s">
        <v>633</v>
      </c>
      <c r="I1353" s="10">
        <v>450</v>
      </c>
      <c r="J1353" s="10"/>
      <c r="K1353" s="10">
        <f t="shared" si="535"/>
        <v>450</v>
      </c>
      <c r="L1353" s="131"/>
      <c r="M1353" s="10"/>
      <c r="N1353" s="10"/>
      <c r="O1353" s="10">
        <f t="shared" si="536"/>
        <v>0</v>
      </c>
      <c r="Q1353" s="10">
        <f t="shared" si="531"/>
        <v>450</v>
      </c>
      <c r="R1353" s="10">
        <f t="shared" si="532"/>
        <v>0</v>
      </c>
      <c r="S1353" s="10">
        <f t="shared" si="533"/>
        <v>450</v>
      </c>
    </row>
    <row r="1354" spans="2:19" ht="15.75" x14ac:dyDescent="0.25">
      <c r="B1354" s="73">
        <f t="shared" si="538"/>
        <v>7</v>
      </c>
      <c r="C1354" s="34">
        <v>2</v>
      </c>
      <c r="D1354" s="227" t="s">
        <v>322</v>
      </c>
      <c r="E1354" s="228"/>
      <c r="F1354" s="228"/>
      <c r="G1354" s="228"/>
      <c r="H1354" s="229"/>
      <c r="I1354" s="35">
        <f>I1355</f>
        <v>584138</v>
      </c>
      <c r="J1354" s="35">
        <f t="shared" ref="J1354" si="539">J1355</f>
        <v>0</v>
      </c>
      <c r="K1354" s="35">
        <f t="shared" si="535"/>
        <v>584138</v>
      </c>
      <c r="L1354" s="135"/>
      <c r="M1354" s="35">
        <v>0</v>
      </c>
      <c r="N1354" s="35">
        <v>0</v>
      </c>
      <c r="O1354" s="35">
        <f t="shared" si="536"/>
        <v>0</v>
      </c>
      <c r="Q1354" s="35">
        <f t="shared" si="531"/>
        <v>584138</v>
      </c>
      <c r="R1354" s="35">
        <f t="shared" si="532"/>
        <v>0</v>
      </c>
      <c r="S1354" s="35">
        <f t="shared" si="533"/>
        <v>584138</v>
      </c>
    </row>
    <row r="1355" spans="2:19" x14ac:dyDescent="0.25">
      <c r="B1355" s="73">
        <f t="shared" si="538"/>
        <v>8</v>
      </c>
      <c r="C1355" s="21"/>
      <c r="D1355" s="21"/>
      <c r="E1355" s="21"/>
      <c r="F1355" s="42" t="s">
        <v>321</v>
      </c>
      <c r="G1355" s="97">
        <v>640</v>
      </c>
      <c r="H1355" s="21" t="s">
        <v>230</v>
      </c>
      <c r="I1355" s="15">
        <f>SUM(I1356:I1370)</f>
        <v>584138</v>
      </c>
      <c r="J1355" s="15">
        <f>SUM(J1356:J1372)</f>
        <v>0</v>
      </c>
      <c r="K1355" s="15">
        <f t="shared" si="535"/>
        <v>584138</v>
      </c>
      <c r="L1355" s="130"/>
      <c r="M1355" s="15"/>
      <c r="N1355" s="15"/>
      <c r="O1355" s="15">
        <f t="shared" si="536"/>
        <v>0</v>
      </c>
      <c r="Q1355" s="15">
        <f t="shared" si="531"/>
        <v>584138</v>
      </c>
      <c r="R1355" s="15">
        <f t="shared" si="532"/>
        <v>0</v>
      </c>
      <c r="S1355" s="15">
        <f t="shared" si="533"/>
        <v>584138</v>
      </c>
    </row>
    <row r="1356" spans="2:19" x14ac:dyDescent="0.25">
      <c r="B1356" s="73">
        <f t="shared" si="538"/>
        <v>9</v>
      </c>
      <c r="C1356" s="9"/>
      <c r="D1356" s="9"/>
      <c r="E1356" s="9"/>
      <c r="F1356" s="43"/>
      <c r="G1356" s="98"/>
      <c r="H1356" s="9" t="s">
        <v>413</v>
      </c>
      <c r="I1356" s="16">
        <f>20000+30000-1500</f>
        <v>48500</v>
      </c>
      <c r="J1356" s="16">
        <v>-7453</v>
      </c>
      <c r="K1356" s="16">
        <f t="shared" si="535"/>
        <v>41047</v>
      </c>
      <c r="L1356" s="131"/>
      <c r="M1356" s="10"/>
      <c r="N1356" s="10"/>
      <c r="O1356" s="10">
        <f t="shared" si="536"/>
        <v>0</v>
      </c>
      <c r="Q1356" s="10">
        <f t="shared" si="531"/>
        <v>48500</v>
      </c>
      <c r="R1356" s="10">
        <f t="shared" si="532"/>
        <v>-7453</v>
      </c>
      <c r="S1356" s="10">
        <f t="shared" si="533"/>
        <v>41047</v>
      </c>
    </row>
    <row r="1357" spans="2:19" x14ac:dyDescent="0.25">
      <c r="B1357" s="73">
        <f t="shared" si="538"/>
        <v>10</v>
      </c>
      <c r="C1357" s="9"/>
      <c r="D1357" s="9"/>
      <c r="E1357" s="9"/>
      <c r="F1357" s="43"/>
      <c r="G1357" s="98"/>
      <c r="H1357" s="9" t="s">
        <v>323</v>
      </c>
      <c r="I1357" s="16">
        <f>500+9500</f>
        <v>10000</v>
      </c>
      <c r="J1357" s="16"/>
      <c r="K1357" s="16">
        <f t="shared" si="535"/>
        <v>10000</v>
      </c>
      <c r="L1357" s="131"/>
      <c r="M1357" s="10"/>
      <c r="N1357" s="10"/>
      <c r="O1357" s="10">
        <f t="shared" si="536"/>
        <v>0</v>
      </c>
      <c r="Q1357" s="10">
        <f t="shared" si="531"/>
        <v>10000</v>
      </c>
      <c r="R1357" s="10">
        <f t="shared" si="532"/>
        <v>0</v>
      </c>
      <c r="S1357" s="10">
        <f t="shared" si="533"/>
        <v>10000</v>
      </c>
    </row>
    <row r="1358" spans="2:19" x14ac:dyDescent="0.25">
      <c r="B1358" s="73">
        <f t="shared" si="538"/>
        <v>11</v>
      </c>
      <c r="C1358" s="9"/>
      <c r="D1358" s="9"/>
      <c r="E1358" s="9"/>
      <c r="F1358" s="43"/>
      <c r="G1358" s="98"/>
      <c r="H1358" s="9" t="s">
        <v>414</v>
      </c>
      <c r="I1358" s="16">
        <f>500+500+500+1000+1000+16500</f>
        <v>20000</v>
      </c>
      <c r="J1358" s="16"/>
      <c r="K1358" s="16">
        <f t="shared" si="535"/>
        <v>20000</v>
      </c>
      <c r="L1358" s="131"/>
      <c r="M1358" s="10"/>
      <c r="N1358" s="10"/>
      <c r="O1358" s="10">
        <f t="shared" si="536"/>
        <v>0</v>
      </c>
      <c r="Q1358" s="10">
        <f t="shared" si="531"/>
        <v>20000</v>
      </c>
      <c r="R1358" s="10">
        <f t="shared" si="532"/>
        <v>0</v>
      </c>
      <c r="S1358" s="10">
        <f t="shared" si="533"/>
        <v>20000</v>
      </c>
    </row>
    <row r="1359" spans="2:19" x14ac:dyDescent="0.25">
      <c r="B1359" s="73">
        <f t="shared" si="538"/>
        <v>12</v>
      </c>
      <c r="C1359" s="9"/>
      <c r="D1359" s="9"/>
      <c r="E1359" s="9"/>
      <c r="F1359" s="43"/>
      <c r="G1359" s="98"/>
      <c r="H1359" s="9" t="s">
        <v>415</v>
      </c>
      <c r="I1359" s="16">
        <f>200000-100000</f>
        <v>100000</v>
      </c>
      <c r="J1359" s="16">
        <v>-100000</v>
      </c>
      <c r="K1359" s="16">
        <f t="shared" si="535"/>
        <v>0</v>
      </c>
      <c r="L1359" s="131"/>
      <c r="M1359" s="10"/>
      <c r="N1359" s="10"/>
      <c r="O1359" s="10">
        <f t="shared" si="536"/>
        <v>0</v>
      </c>
      <c r="Q1359" s="10">
        <f t="shared" si="531"/>
        <v>100000</v>
      </c>
      <c r="R1359" s="10">
        <f t="shared" si="532"/>
        <v>-100000</v>
      </c>
      <c r="S1359" s="10">
        <f t="shared" si="533"/>
        <v>0</v>
      </c>
    </row>
    <row r="1360" spans="2:19" s="80" customFormat="1" ht="24" x14ac:dyDescent="0.25">
      <c r="B1360" s="73">
        <f t="shared" si="538"/>
        <v>13</v>
      </c>
      <c r="C1360" s="76"/>
      <c r="D1360" s="76"/>
      <c r="E1360" s="76"/>
      <c r="F1360" s="77"/>
      <c r="G1360" s="101"/>
      <c r="H1360" s="78" t="s">
        <v>675</v>
      </c>
      <c r="I1360" s="81">
        <v>0</v>
      </c>
      <c r="J1360" s="81">
        <v>60000</v>
      </c>
      <c r="K1360" s="81">
        <f t="shared" si="535"/>
        <v>60000</v>
      </c>
      <c r="L1360" s="142"/>
      <c r="M1360" s="79"/>
      <c r="N1360" s="79"/>
      <c r="O1360" s="79">
        <f t="shared" si="536"/>
        <v>0</v>
      </c>
      <c r="Q1360" s="79">
        <f t="shared" ref="Q1360:Q1362" si="540">I1360+M1360</f>
        <v>0</v>
      </c>
      <c r="R1360" s="79">
        <f t="shared" ref="R1360:R1362" si="541">J1360+N1360</f>
        <v>60000</v>
      </c>
      <c r="S1360" s="79">
        <f t="shared" ref="S1360:S1362" si="542">K1360+O1360</f>
        <v>60000</v>
      </c>
    </row>
    <row r="1361" spans="2:19" x14ac:dyDescent="0.25">
      <c r="B1361" s="73">
        <f t="shared" si="538"/>
        <v>14</v>
      </c>
      <c r="C1361" s="9"/>
      <c r="D1361" s="9"/>
      <c r="E1361" s="9"/>
      <c r="F1361" s="43"/>
      <c r="G1361" s="98"/>
      <c r="H1361" s="9" t="s">
        <v>676</v>
      </c>
      <c r="I1361" s="16">
        <v>0</v>
      </c>
      <c r="J1361" s="16">
        <v>35000</v>
      </c>
      <c r="K1361" s="16">
        <f t="shared" si="535"/>
        <v>35000</v>
      </c>
      <c r="L1361" s="131"/>
      <c r="M1361" s="10"/>
      <c r="N1361" s="10"/>
      <c r="O1361" s="10">
        <f t="shared" si="536"/>
        <v>0</v>
      </c>
      <c r="Q1361" s="10">
        <f t="shared" si="540"/>
        <v>0</v>
      </c>
      <c r="R1361" s="10">
        <f t="shared" si="541"/>
        <v>35000</v>
      </c>
      <c r="S1361" s="10">
        <f t="shared" si="542"/>
        <v>35000</v>
      </c>
    </row>
    <row r="1362" spans="2:19" x14ac:dyDescent="0.25">
      <c r="B1362" s="73">
        <f t="shared" si="538"/>
        <v>15</v>
      </c>
      <c r="C1362" s="9"/>
      <c r="D1362" s="9"/>
      <c r="E1362" s="9"/>
      <c r="F1362" s="43"/>
      <c r="G1362" s="98"/>
      <c r="H1362" s="9" t="s">
        <v>677</v>
      </c>
      <c r="I1362" s="16">
        <v>0</v>
      </c>
      <c r="J1362" s="16">
        <v>5000</v>
      </c>
      <c r="K1362" s="16">
        <f t="shared" si="535"/>
        <v>5000</v>
      </c>
      <c r="L1362" s="131"/>
      <c r="M1362" s="10"/>
      <c r="N1362" s="10"/>
      <c r="O1362" s="10">
        <f t="shared" si="536"/>
        <v>0</v>
      </c>
      <c r="Q1362" s="10">
        <f t="shared" si="540"/>
        <v>0</v>
      </c>
      <c r="R1362" s="10">
        <f t="shared" si="541"/>
        <v>5000</v>
      </c>
      <c r="S1362" s="10">
        <f t="shared" si="542"/>
        <v>5000</v>
      </c>
    </row>
    <row r="1363" spans="2:19" ht="24" x14ac:dyDescent="0.25">
      <c r="B1363" s="73">
        <f t="shared" si="538"/>
        <v>16</v>
      </c>
      <c r="C1363" s="76"/>
      <c r="D1363" s="76"/>
      <c r="E1363" s="76"/>
      <c r="F1363" s="77"/>
      <c r="G1363" s="101"/>
      <c r="H1363" s="78" t="s">
        <v>421</v>
      </c>
      <c r="I1363" s="81">
        <v>119655</v>
      </c>
      <c r="J1363" s="81"/>
      <c r="K1363" s="81">
        <f t="shared" si="535"/>
        <v>119655</v>
      </c>
      <c r="L1363" s="142"/>
      <c r="M1363" s="79"/>
      <c r="N1363" s="79"/>
      <c r="O1363" s="79">
        <f t="shared" si="536"/>
        <v>0</v>
      </c>
      <c r="P1363" s="80"/>
      <c r="Q1363" s="79">
        <f t="shared" si="531"/>
        <v>119655</v>
      </c>
      <c r="R1363" s="79">
        <f t="shared" si="532"/>
        <v>0</v>
      </c>
      <c r="S1363" s="79">
        <f t="shared" si="533"/>
        <v>119655</v>
      </c>
    </row>
    <row r="1364" spans="2:19" ht="24" x14ac:dyDescent="0.25">
      <c r="B1364" s="73">
        <f t="shared" si="538"/>
        <v>17</v>
      </c>
      <c r="C1364" s="76"/>
      <c r="D1364" s="76"/>
      <c r="E1364" s="76"/>
      <c r="F1364" s="77"/>
      <c r="G1364" s="101"/>
      <c r="H1364" s="78" t="s">
        <v>422</v>
      </c>
      <c r="I1364" s="81">
        <v>198910</v>
      </c>
      <c r="J1364" s="81"/>
      <c r="K1364" s="81">
        <f t="shared" si="535"/>
        <v>198910</v>
      </c>
      <c r="L1364" s="142"/>
      <c r="M1364" s="79"/>
      <c r="N1364" s="79"/>
      <c r="O1364" s="79">
        <f t="shared" si="536"/>
        <v>0</v>
      </c>
      <c r="P1364" s="80"/>
      <c r="Q1364" s="79">
        <f t="shared" si="531"/>
        <v>198910</v>
      </c>
      <c r="R1364" s="79">
        <f t="shared" si="532"/>
        <v>0</v>
      </c>
      <c r="S1364" s="79">
        <f t="shared" si="533"/>
        <v>198910</v>
      </c>
    </row>
    <row r="1365" spans="2:19" ht="24" x14ac:dyDescent="0.25">
      <c r="B1365" s="73">
        <f t="shared" si="538"/>
        <v>18</v>
      </c>
      <c r="C1365" s="76"/>
      <c r="D1365" s="76"/>
      <c r="E1365" s="76"/>
      <c r="F1365" s="77"/>
      <c r="G1365" s="101"/>
      <c r="H1365" s="78" t="s">
        <v>419</v>
      </c>
      <c r="I1365" s="81">
        <v>27347</v>
      </c>
      <c r="J1365" s="81"/>
      <c r="K1365" s="81">
        <f t="shared" si="535"/>
        <v>27347</v>
      </c>
      <c r="L1365" s="142"/>
      <c r="M1365" s="79"/>
      <c r="N1365" s="79"/>
      <c r="O1365" s="79">
        <f t="shared" si="536"/>
        <v>0</v>
      </c>
      <c r="P1365" s="80"/>
      <c r="Q1365" s="79">
        <f t="shared" si="531"/>
        <v>27347</v>
      </c>
      <c r="R1365" s="79">
        <f t="shared" si="532"/>
        <v>0</v>
      </c>
      <c r="S1365" s="79">
        <f t="shared" si="533"/>
        <v>27347</v>
      </c>
    </row>
    <row r="1366" spans="2:19" ht="24" x14ac:dyDescent="0.25">
      <c r="B1366" s="73">
        <f t="shared" si="538"/>
        <v>19</v>
      </c>
      <c r="C1366" s="76"/>
      <c r="D1366" s="76"/>
      <c r="E1366" s="76"/>
      <c r="F1366" s="77"/>
      <c r="G1366" s="101"/>
      <c r="H1366" s="78" t="s">
        <v>420</v>
      </c>
      <c r="I1366" s="81">
        <v>49726</v>
      </c>
      <c r="J1366" s="81"/>
      <c r="K1366" s="81">
        <f t="shared" si="535"/>
        <v>49726</v>
      </c>
      <c r="L1366" s="142"/>
      <c r="M1366" s="79"/>
      <c r="N1366" s="79"/>
      <c r="O1366" s="79">
        <f t="shared" si="536"/>
        <v>0</v>
      </c>
      <c r="P1366" s="80"/>
      <c r="Q1366" s="79">
        <f t="shared" si="531"/>
        <v>49726</v>
      </c>
      <c r="R1366" s="79">
        <f t="shared" si="532"/>
        <v>0</v>
      </c>
      <c r="S1366" s="79">
        <f t="shared" si="533"/>
        <v>49726</v>
      </c>
    </row>
    <row r="1367" spans="2:19" x14ac:dyDescent="0.25">
      <c r="B1367" s="73">
        <f t="shared" si="538"/>
        <v>20</v>
      </c>
      <c r="C1367" s="9"/>
      <c r="D1367" s="9"/>
      <c r="E1367" s="9"/>
      <c r="F1367" s="43"/>
      <c r="G1367" s="98"/>
      <c r="H1367" s="9" t="s">
        <v>416</v>
      </c>
      <c r="I1367" s="16">
        <v>2000</v>
      </c>
      <c r="J1367" s="16"/>
      <c r="K1367" s="16">
        <f t="shared" si="535"/>
        <v>2000</v>
      </c>
      <c r="L1367" s="131"/>
      <c r="M1367" s="10"/>
      <c r="N1367" s="10"/>
      <c r="O1367" s="10">
        <f t="shared" si="536"/>
        <v>0</v>
      </c>
      <c r="Q1367" s="10">
        <f t="shared" si="531"/>
        <v>2000</v>
      </c>
      <c r="R1367" s="10">
        <f t="shared" si="532"/>
        <v>0</v>
      </c>
      <c r="S1367" s="10">
        <f t="shared" si="533"/>
        <v>2000</v>
      </c>
    </row>
    <row r="1368" spans="2:19" x14ac:dyDescent="0.25">
      <c r="B1368" s="73">
        <f t="shared" si="538"/>
        <v>21</v>
      </c>
      <c r="C1368" s="9"/>
      <c r="D1368" s="9"/>
      <c r="E1368" s="9"/>
      <c r="F1368" s="43"/>
      <c r="G1368" s="98"/>
      <c r="H1368" s="9" t="s">
        <v>417</v>
      </c>
      <c r="I1368" s="16">
        <v>4000</v>
      </c>
      <c r="J1368" s="16"/>
      <c r="K1368" s="16">
        <f t="shared" si="535"/>
        <v>4000</v>
      </c>
      <c r="L1368" s="131"/>
      <c r="M1368" s="10"/>
      <c r="N1368" s="10"/>
      <c r="O1368" s="10">
        <f t="shared" si="536"/>
        <v>0</v>
      </c>
      <c r="Q1368" s="10">
        <f t="shared" si="531"/>
        <v>4000</v>
      </c>
      <c r="R1368" s="10">
        <f t="shared" si="532"/>
        <v>0</v>
      </c>
      <c r="S1368" s="10">
        <f t="shared" si="533"/>
        <v>4000</v>
      </c>
    </row>
    <row r="1369" spans="2:19" x14ac:dyDescent="0.25">
      <c r="B1369" s="73">
        <f t="shared" si="538"/>
        <v>22</v>
      </c>
      <c r="C1369" s="9"/>
      <c r="D1369" s="9"/>
      <c r="E1369" s="9"/>
      <c r="F1369" s="43"/>
      <c r="G1369" s="98"/>
      <c r="H1369" s="9" t="s">
        <v>418</v>
      </c>
      <c r="I1369" s="16">
        <v>3000</v>
      </c>
      <c r="J1369" s="16"/>
      <c r="K1369" s="16">
        <f t="shared" si="535"/>
        <v>3000</v>
      </c>
      <c r="L1369" s="131"/>
      <c r="M1369" s="10"/>
      <c r="N1369" s="10"/>
      <c r="O1369" s="10">
        <f t="shared" si="536"/>
        <v>0</v>
      </c>
      <c r="Q1369" s="10">
        <f t="shared" si="531"/>
        <v>3000</v>
      </c>
      <c r="R1369" s="10">
        <f t="shared" si="532"/>
        <v>0</v>
      </c>
      <c r="S1369" s="10">
        <f t="shared" si="533"/>
        <v>3000</v>
      </c>
    </row>
    <row r="1370" spans="2:19" ht="24" x14ac:dyDescent="0.25">
      <c r="B1370" s="73">
        <f t="shared" si="538"/>
        <v>23</v>
      </c>
      <c r="C1370" s="76"/>
      <c r="D1370" s="76"/>
      <c r="E1370" s="76"/>
      <c r="F1370" s="77"/>
      <c r="G1370" s="101"/>
      <c r="H1370" s="78" t="s">
        <v>585</v>
      </c>
      <c r="I1370" s="81">
        <v>1000</v>
      </c>
      <c r="J1370" s="81"/>
      <c r="K1370" s="81">
        <f t="shared" si="535"/>
        <v>1000</v>
      </c>
      <c r="L1370" s="142"/>
      <c r="M1370" s="79"/>
      <c r="N1370" s="79"/>
      <c r="O1370" s="79">
        <f t="shared" si="536"/>
        <v>0</v>
      </c>
      <c r="P1370" s="80"/>
      <c r="Q1370" s="79">
        <f t="shared" si="531"/>
        <v>1000</v>
      </c>
      <c r="R1370" s="79">
        <f t="shared" si="532"/>
        <v>0</v>
      </c>
      <c r="S1370" s="79">
        <f t="shared" si="533"/>
        <v>1000</v>
      </c>
    </row>
    <row r="1371" spans="2:19" x14ac:dyDescent="0.25">
      <c r="B1371" s="73">
        <f t="shared" si="538"/>
        <v>24</v>
      </c>
      <c r="C1371" s="76"/>
      <c r="D1371" s="182"/>
      <c r="E1371" s="76"/>
      <c r="F1371" s="77"/>
      <c r="G1371" s="101"/>
      <c r="H1371" s="82" t="s">
        <v>641</v>
      </c>
      <c r="I1371" s="81">
        <v>0</v>
      </c>
      <c r="J1371" s="81">
        <v>3800</v>
      </c>
      <c r="K1371" s="81">
        <f t="shared" si="535"/>
        <v>3800</v>
      </c>
      <c r="L1371" s="142"/>
      <c r="M1371" s="79"/>
      <c r="N1371" s="79"/>
      <c r="O1371" s="79"/>
      <c r="P1371" s="80"/>
      <c r="Q1371" s="79">
        <f t="shared" si="531"/>
        <v>0</v>
      </c>
      <c r="R1371" s="79">
        <f t="shared" ref="R1371:R1372" si="543">J1371+N1371</f>
        <v>3800</v>
      </c>
      <c r="S1371" s="79">
        <f t="shared" ref="S1371:S1372" si="544">K1371+O1371</f>
        <v>3800</v>
      </c>
    </row>
    <row r="1372" spans="2:19" x14ac:dyDescent="0.25">
      <c r="B1372" s="73">
        <f t="shared" si="538"/>
        <v>25</v>
      </c>
      <c r="C1372" s="76"/>
      <c r="D1372" s="182"/>
      <c r="E1372" s="76"/>
      <c r="F1372" s="77"/>
      <c r="G1372" s="101"/>
      <c r="H1372" s="82" t="s">
        <v>642</v>
      </c>
      <c r="I1372" s="81">
        <v>0</v>
      </c>
      <c r="J1372" s="81">
        <v>3653</v>
      </c>
      <c r="K1372" s="81">
        <f t="shared" si="535"/>
        <v>3653</v>
      </c>
      <c r="L1372" s="142"/>
      <c r="M1372" s="79"/>
      <c r="N1372" s="79"/>
      <c r="O1372" s="79"/>
      <c r="P1372" s="80"/>
      <c r="Q1372" s="79">
        <f t="shared" si="531"/>
        <v>0</v>
      </c>
      <c r="R1372" s="79">
        <f t="shared" si="543"/>
        <v>3653</v>
      </c>
      <c r="S1372" s="79">
        <f t="shared" si="544"/>
        <v>3653</v>
      </c>
    </row>
    <row r="1373" spans="2:19" ht="15.75" x14ac:dyDescent="0.25">
      <c r="B1373" s="73">
        <f t="shared" si="538"/>
        <v>26</v>
      </c>
      <c r="C1373" s="34">
        <v>3</v>
      </c>
      <c r="D1373" s="227" t="s">
        <v>324</v>
      </c>
      <c r="E1373" s="228"/>
      <c r="F1373" s="228"/>
      <c r="G1373" s="228"/>
      <c r="H1373" s="229"/>
      <c r="I1373" s="35">
        <f>I1374+I1378+I1391+I1409+I1433</f>
        <v>1334787</v>
      </c>
      <c r="J1373" s="35">
        <f t="shared" ref="J1373" si="545">J1374+J1378+J1391+J1409+J1433</f>
        <v>58000</v>
      </c>
      <c r="K1373" s="35">
        <f t="shared" si="535"/>
        <v>1392787</v>
      </c>
      <c r="L1373" s="135"/>
      <c r="M1373" s="35">
        <f>M1374+M1378+M1391+M1409+M1433</f>
        <v>757627</v>
      </c>
      <c r="N1373" s="35">
        <f>N1374+N1378+N1391+N1409+N1433</f>
        <v>13000</v>
      </c>
      <c r="O1373" s="35">
        <f t="shared" si="536"/>
        <v>770627</v>
      </c>
      <c r="Q1373" s="35">
        <f t="shared" si="531"/>
        <v>2092414</v>
      </c>
      <c r="R1373" s="35">
        <f t="shared" si="532"/>
        <v>71000</v>
      </c>
      <c r="S1373" s="35">
        <f t="shared" si="533"/>
        <v>2163414</v>
      </c>
    </row>
    <row r="1374" spans="2:19" x14ac:dyDescent="0.25">
      <c r="B1374" s="73">
        <f t="shared" si="538"/>
        <v>27</v>
      </c>
      <c r="C1374" s="171"/>
      <c r="D1374" s="171">
        <v>1</v>
      </c>
      <c r="E1374" s="230" t="s">
        <v>325</v>
      </c>
      <c r="F1374" s="228"/>
      <c r="G1374" s="228"/>
      <c r="H1374" s="229"/>
      <c r="I1374" s="37">
        <f>I1375</f>
        <v>160750</v>
      </c>
      <c r="J1374" s="37">
        <f t="shared" ref="J1374" si="546">J1375</f>
        <v>0</v>
      </c>
      <c r="K1374" s="37">
        <f t="shared" si="535"/>
        <v>160750</v>
      </c>
      <c r="L1374" s="136"/>
      <c r="M1374" s="37">
        <f>M1375</f>
        <v>0</v>
      </c>
      <c r="N1374" s="37">
        <f t="shared" ref="N1374" si="547">N1375</f>
        <v>0</v>
      </c>
      <c r="O1374" s="37">
        <f t="shared" si="536"/>
        <v>0</v>
      </c>
      <c r="Q1374" s="37">
        <f t="shared" si="531"/>
        <v>160750</v>
      </c>
      <c r="R1374" s="37">
        <f t="shared" si="532"/>
        <v>0</v>
      </c>
      <c r="S1374" s="37">
        <f t="shared" si="533"/>
        <v>160750</v>
      </c>
    </row>
    <row r="1375" spans="2:19" x14ac:dyDescent="0.25">
      <c r="B1375" s="73">
        <f t="shared" si="538"/>
        <v>28</v>
      </c>
      <c r="C1375" s="21"/>
      <c r="D1375" s="21"/>
      <c r="E1375" s="21"/>
      <c r="F1375" s="42" t="s">
        <v>321</v>
      </c>
      <c r="G1375" s="97">
        <v>630</v>
      </c>
      <c r="H1375" s="21" t="s">
        <v>218</v>
      </c>
      <c r="I1375" s="15">
        <f>I1376+I1377</f>
        <v>160750</v>
      </c>
      <c r="J1375" s="15">
        <f t="shared" ref="J1375" si="548">J1376+J1377</f>
        <v>0</v>
      </c>
      <c r="K1375" s="15">
        <f t="shared" si="535"/>
        <v>160750</v>
      </c>
      <c r="L1375" s="130"/>
      <c r="M1375" s="15"/>
      <c r="N1375" s="15"/>
      <c r="O1375" s="15">
        <f t="shared" si="536"/>
        <v>0</v>
      </c>
      <c r="Q1375" s="15">
        <f t="shared" si="531"/>
        <v>160750</v>
      </c>
      <c r="R1375" s="15">
        <f t="shared" si="532"/>
        <v>0</v>
      </c>
      <c r="S1375" s="15">
        <f t="shared" si="533"/>
        <v>160750</v>
      </c>
    </row>
    <row r="1376" spans="2:19" x14ac:dyDescent="0.25">
      <c r="B1376" s="73">
        <f t="shared" si="538"/>
        <v>29</v>
      </c>
      <c r="C1376" s="9"/>
      <c r="D1376" s="9"/>
      <c r="E1376" s="9"/>
      <c r="F1376" s="43" t="s">
        <v>321</v>
      </c>
      <c r="G1376" s="98">
        <v>636</v>
      </c>
      <c r="H1376" s="9" t="s">
        <v>222</v>
      </c>
      <c r="I1376" s="10">
        <v>159950</v>
      </c>
      <c r="J1376" s="10"/>
      <c r="K1376" s="10">
        <f t="shared" si="535"/>
        <v>159950</v>
      </c>
      <c r="L1376" s="131"/>
      <c r="M1376" s="10"/>
      <c r="N1376" s="10"/>
      <c r="O1376" s="10">
        <f t="shared" si="536"/>
        <v>0</v>
      </c>
      <c r="Q1376" s="10">
        <f t="shared" si="531"/>
        <v>159950</v>
      </c>
      <c r="R1376" s="10">
        <f t="shared" si="532"/>
        <v>0</v>
      </c>
      <c r="S1376" s="10">
        <f t="shared" si="533"/>
        <v>159950</v>
      </c>
    </row>
    <row r="1377" spans="2:19" x14ac:dyDescent="0.25">
      <c r="B1377" s="73">
        <f t="shared" si="538"/>
        <v>30</v>
      </c>
      <c r="C1377" s="9"/>
      <c r="D1377" s="9"/>
      <c r="E1377" s="9"/>
      <c r="F1377" s="43" t="s">
        <v>321</v>
      </c>
      <c r="G1377" s="98">
        <v>637</v>
      </c>
      <c r="H1377" s="9" t="s">
        <v>223</v>
      </c>
      <c r="I1377" s="10">
        <v>800</v>
      </c>
      <c r="J1377" s="10"/>
      <c r="K1377" s="10">
        <f t="shared" si="535"/>
        <v>800</v>
      </c>
      <c r="L1377" s="131"/>
      <c r="M1377" s="10"/>
      <c r="N1377" s="10"/>
      <c r="O1377" s="10">
        <f t="shared" si="536"/>
        <v>0</v>
      </c>
      <c r="Q1377" s="10">
        <f t="shared" si="531"/>
        <v>800</v>
      </c>
      <c r="R1377" s="10">
        <f t="shared" si="532"/>
        <v>0</v>
      </c>
      <c r="S1377" s="10">
        <f t="shared" si="533"/>
        <v>800</v>
      </c>
    </row>
    <row r="1378" spans="2:19" x14ac:dyDescent="0.25">
      <c r="B1378" s="73">
        <f t="shared" si="538"/>
        <v>31</v>
      </c>
      <c r="C1378" s="171"/>
      <c r="D1378" s="171">
        <v>2</v>
      </c>
      <c r="E1378" s="230" t="s">
        <v>326</v>
      </c>
      <c r="F1378" s="228"/>
      <c r="G1378" s="228"/>
      <c r="H1378" s="229"/>
      <c r="I1378" s="37">
        <f>I1379</f>
        <v>204580</v>
      </c>
      <c r="J1378" s="37">
        <f t="shared" ref="J1378" si="549">J1379</f>
        <v>0</v>
      </c>
      <c r="K1378" s="37">
        <f t="shared" si="535"/>
        <v>204580</v>
      </c>
      <c r="L1378" s="136"/>
      <c r="M1378" s="37">
        <f>M1383</f>
        <v>4247</v>
      </c>
      <c r="N1378" s="37">
        <f>N1383+N1388</f>
        <v>15000</v>
      </c>
      <c r="O1378" s="37">
        <f t="shared" si="536"/>
        <v>19247</v>
      </c>
      <c r="Q1378" s="37">
        <f t="shared" si="531"/>
        <v>208827</v>
      </c>
      <c r="R1378" s="37">
        <f t="shared" si="532"/>
        <v>15000</v>
      </c>
      <c r="S1378" s="37">
        <f t="shared" si="533"/>
        <v>223827</v>
      </c>
    </row>
    <row r="1379" spans="2:19" x14ac:dyDescent="0.25">
      <c r="B1379" s="73">
        <f t="shared" si="538"/>
        <v>32</v>
      </c>
      <c r="C1379" s="21"/>
      <c r="D1379" s="21"/>
      <c r="E1379" s="21"/>
      <c r="F1379" s="42" t="s">
        <v>321</v>
      </c>
      <c r="G1379" s="97">
        <v>630</v>
      </c>
      <c r="H1379" s="21" t="s">
        <v>218</v>
      </c>
      <c r="I1379" s="15">
        <f>I1380+I1381+I1382</f>
        <v>204580</v>
      </c>
      <c r="J1379" s="15">
        <f t="shared" ref="J1379" si="550">J1380+J1381+J1382</f>
        <v>0</v>
      </c>
      <c r="K1379" s="15">
        <f t="shared" si="535"/>
        <v>204580</v>
      </c>
      <c r="L1379" s="130"/>
      <c r="M1379" s="15"/>
      <c r="N1379" s="15"/>
      <c r="O1379" s="15">
        <f t="shared" si="536"/>
        <v>0</v>
      </c>
      <c r="Q1379" s="15">
        <f t="shared" si="531"/>
        <v>204580</v>
      </c>
      <c r="R1379" s="15">
        <f t="shared" si="532"/>
        <v>0</v>
      </c>
      <c r="S1379" s="15">
        <f t="shared" si="533"/>
        <v>204580</v>
      </c>
    </row>
    <row r="1380" spans="2:19" x14ac:dyDescent="0.25">
      <c r="B1380" s="73">
        <f t="shared" si="538"/>
        <v>33</v>
      </c>
      <c r="C1380" s="9"/>
      <c r="D1380" s="9"/>
      <c r="E1380" s="9"/>
      <c r="F1380" s="43" t="s">
        <v>321</v>
      </c>
      <c r="G1380" s="98">
        <v>632</v>
      </c>
      <c r="H1380" s="9" t="s">
        <v>229</v>
      </c>
      <c r="I1380" s="10">
        <v>3500</v>
      </c>
      <c r="J1380" s="10"/>
      <c r="K1380" s="10">
        <f t="shared" si="535"/>
        <v>3500</v>
      </c>
      <c r="L1380" s="131"/>
      <c r="M1380" s="10"/>
      <c r="N1380" s="10"/>
      <c r="O1380" s="10">
        <f t="shared" si="536"/>
        <v>0</v>
      </c>
      <c r="Q1380" s="10">
        <f t="shared" si="531"/>
        <v>3500</v>
      </c>
      <c r="R1380" s="10">
        <f t="shared" si="532"/>
        <v>0</v>
      </c>
      <c r="S1380" s="10">
        <f t="shared" si="533"/>
        <v>3500</v>
      </c>
    </row>
    <row r="1381" spans="2:19" x14ac:dyDescent="0.25">
      <c r="B1381" s="73">
        <f t="shared" si="538"/>
        <v>34</v>
      </c>
      <c r="C1381" s="9"/>
      <c r="D1381" s="9"/>
      <c r="E1381" s="9"/>
      <c r="F1381" s="43" t="s">
        <v>321</v>
      </c>
      <c r="G1381" s="98">
        <v>636</v>
      </c>
      <c r="H1381" s="9" t="s">
        <v>222</v>
      </c>
      <c r="I1381" s="10">
        <v>200000</v>
      </c>
      <c r="J1381" s="10"/>
      <c r="K1381" s="10">
        <f t="shared" si="535"/>
        <v>200000</v>
      </c>
      <c r="L1381" s="131"/>
      <c r="M1381" s="10"/>
      <c r="N1381" s="10"/>
      <c r="O1381" s="10">
        <f t="shared" si="536"/>
        <v>0</v>
      </c>
      <c r="Q1381" s="10">
        <f t="shared" si="531"/>
        <v>200000</v>
      </c>
      <c r="R1381" s="10">
        <f t="shared" si="532"/>
        <v>0</v>
      </c>
      <c r="S1381" s="10">
        <f t="shared" si="533"/>
        <v>200000</v>
      </c>
    </row>
    <row r="1382" spans="2:19" x14ac:dyDescent="0.25">
      <c r="B1382" s="73">
        <f t="shared" si="538"/>
        <v>35</v>
      </c>
      <c r="C1382" s="9"/>
      <c r="D1382" s="9"/>
      <c r="E1382" s="9"/>
      <c r="F1382" s="43" t="s">
        <v>321</v>
      </c>
      <c r="G1382" s="98">
        <v>637</v>
      </c>
      <c r="H1382" s="9" t="s">
        <v>223</v>
      </c>
      <c r="I1382" s="10">
        <v>1080</v>
      </c>
      <c r="J1382" s="10"/>
      <c r="K1382" s="10">
        <f t="shared" si="535"/>
        <v>1080</v>
      </c>
      <c r="L1382" s="131"/>
      <c r="M1382" s="10"/>
      <c r="N1382" s="10"/>
      <c r="O1382" s="10">
        <f t="shared" si="536"/>
        <v>0</v>
      </c>
      <c r="Q1382" s="10">
        <f t="shared" si="531"/>
        <v>1080</v>
      </c>
      <c r="R1382" s="10">
        <f t="shared" si="532"/>
        <v>0</v>
      </c>
      <c r="S1382" s="10">
        <f t="shared" si="533"/>
        <v>1080</v>
      </c>
    </row>
    <row r="1383" spans="2:19" x14ac:dyDescent="0.25">
      <c r="B1383" s="73">
        <f t="shared" si="538"/>
        <v>36</v>
      </c>
      <c r="C1383" s="21"/>
      <c r="D1383" s="21"/>
      <c r="E1383" s="21"/>
      <c r="F1383" s="42" t="s">
        <v>321</v>
      </c>
      <c r="G1383" s="97">
        <v>710</v>
      </c>
      <c r="H1383" s="21" t="s">
        <v>235</v>
      </c>
      <c r="I1383" s="15"/>
      <c r="J1383" s="15"/>
      <c r="K1383" s="15">
        <f t="shared" si="535"/>
        <v>0</v>
      </c>
      <c r="L1383" s="130"/>
      <c r="M1383" s="15">
        <f>M1384+M1386</f>
        <v>4247</v>
      </c>
      <c r="N1383" s="15">
        <f t="shared" ref="N1383" si="551">N1384+N1386</f>
        <v>0</v>
      </c>
      <c r="O1383" s="15">
        <f t="shared" si="536"/>
        <v>4247</v>
      </c>
      <c r="Q1383" s="15">
        <f t="shared" si="531"/>
        <v>4247</v>
      </c>
      <c r="R1383" s="15">
        <f t="shared" si="532"/>
        <v>0</v>
      </c>
      <c r="S1383" s="15">
        <f t="shared" si="533"/>
        <v>4247</v>
      </c>
    </row>
    <row r="1384" spans="2:19" x14ac:dyDescent="0.25">
      <c r="B1384" s="73">
        <f t="shared" si="538"/>
        <v>37</v>
      </c>
      <c r="C1384" s="21"/>
      <c r="D1384" s="21"/>
      <c r="E1384" s="21"/>
      <c r="F1384" s="43" t="s">
        <v>321</v>
      </c>
      <c r="G1384" s="98">
        <v>716</v>
      </c>
      <c r="H1384" s="9" t="s">
        <v>237</v>
      </c>
      <c r="I1384" s="15"/>
      <c r="J1384" s="15"/>
      <c r="K1384" s="15">
        <f t="shared" si="535"/>
        <v>0</v>
      </c>
      <c r="L1384" s="130"/>
      <c r="M1384" s="118">
        <f>M1385</f>
        <v>1200</v>
      </c>
      <c r="N1384" s="118">
        <f t="shared" ref="N1384" si="552">N1385</f>
        <v>0</v>
      </c>
      <c r="O1384" s="118">
        <f t="shared" si="536"/>
        <v>1200</v>
      </c>
      <c r="Q1384" s="15">
        <f t="shared" si="531"/>
        <v>1200</v>
      </c>
      <c r="R1384" s="15">
        <f t="shared" si="532"/>
        <v>0</v>
      </c>
      <c r="S1384" s="15">
        <f t="shared" si="533"/>
        <v>1200</v>
      </c>
    </row>
    <row r="1385" spans="2:19" x14ac:dyDescent="0.25">
      <c r="B1385" s="73">
        <f t="shared" si="538"/>
        <v>38</v>
      </c>
      <c r="C1385" s="21"/>
      <c r="D1385" s="21"/>
      <c r="E1385" s="21"/>
      <c r="F1385" s="12"/>
      <c r="G1385" s="99"/>
      <c r="H1385" s="12" t="s">
        <v>524</v>
      </c>
      <c r="I1385" s="15"/>
      <c r="J1385" s="15"/>
      <c r="K1385" s="15">
        <f t="shared" si="535"/>
        <v>0</v>
      </c>
      <c r="L1385" s="130"/>
      <c r="M1385" s="14">
        <v>1200</v>
      </c>
      <c r="N1385" s="14"/>
      <c r="O1385" s="14">
        <f t="shared" si="536"/>
        <v>1200</v>
      </c>
      <c r="Q1385" s="15">
        <f t="shared" si="531"/>
        <v>1200</v>
      </c>
      <c r="R1385" s="15">
        <f t="shared" si="532"/>
        <v>0</v>
      </c>
      <c r="S1385" s="15">
        <f t="shared" si="533"/>
        <v>1200</v>
      </c>
    </row>
    <row r="1386" spans="2:19" x14ac:dyDescent="0.25">
      <c r="B1386" s="73">
        <f t="shared" si="538"/>
        <v>39</v>
      </c>
      <c r="C1386" s="9"/>
      <c r="D1386" s="9"/>
      <c r="E1386" s="9"/>
      <c r="F1386" s="43" t="s">
        <v>321</v>
      </c>
      <c r="G1386" s="98">
        <v>717</v>
      </c>
      <c r="H1386" s="9" t="s">
        <v>240</v>
      </c>
      <c r="I1386" s="10"/>
      <c r="J1386" s="10"/>
      <c r="K1386" s="10">
        <f t="shared" si="535"/>
        <v>0</v>
      </c>
      <c r="L1386" s="131"/>
      <c r="M1386" s="10">
        <f>M1387</f>
        <v>3047</v>
      </c>
      <c r="N1386" s="10">
        <f t="shared" ref="N1386" si="553">N1387</f>
        <v>0</v>
      </c>
      <c r="O1386" s="10">
        <f t="shared" si="536"/>
        <v>3047</v>
      </c>
      <c r="Q1386" s="10">
        <f t="shared" si="531"/>
        <v>3047</v>
      </c>
      <c r="R1386" s="10">
        <f t="shared" si="532"/>
        <v>0</v>
      </c>
      <c r="S1386" s="10">
        <f t="shared" si="533"/>
        <v>3047</v>
      </c>
    </row>
    <row r="1387" spans="2:19" x14ac:dyDescent="0.25">
      <c r="B1387" s="73">
        <f t="shared" si="538"/>
        <v>40</v>
      </c>
      <c r="C1387" s="12"/>
      <c r="D1387" s="12"/>
      <c r="E1387" s="12"/>
      <c r="F1387" s="12"/>
      <c r="G1387" s="99"/>
      <c r="H1387" s="67" t="s">
        <v>505</v>
      </c>
      <c r="I1387" s="13"/>
      <c r="J1387" s="13"/>
      <c r="K1387" s="13">
        <f t="shared" si="535"/>
        <v>0</v>
      </c>
      <c r="L1387" s="132"/>
      <c r="M1387" s="13">
        <f>1500+1547</f>
        <v>3047</v>
      </c>
      <c r="N1387" s="13"/>
      <c r="O1387" s="13">
        <f t="shared" si="536"/>
        <v>3047</v>
      </c>
      <c r="Q1387" s="13">
        <f t="shared" si="531"/>
        <v>3047</v>
      </c>
      <c r="R1387" s="13">
        <f t="shared" si="532"/>
        <v>0</v>
      </c>
      <c r="S1387" s="13">
        <f t="shared" si="533"/>
        <v>3047</v>
      </c>
    </row>
    <row r="1388" spans="2:19" x14ac:dyDescent="0.25">
      <c r="B1388" s="73">
        <f t="shared" si="538"/>
        <v>41</v>
      </c>
      <c r="C1388" s="12"/>
      <c r="D1388" s="12"/>
      <c r="E1388" s="46"/>
      <c r="F1388" s="190" t="s">
        <v>321</v>
      </c>
      <c r="G1388" s="191">
        <v>720</v>
      </c>
      <c r="H1388" s="21" t="s">
        <v>650</v>
      </c>
      <c r="I1388" s="8"/>
      <c r="J1388" s="8"/>
      <c r="K1388" s="8">
        <f t="shared" si="535"/>
        <v>0</v>
      </c>
      <c r="L1388" s="130"/>
      <c r="M1388" s="8">
        <v>0</v>
      </c>
      <c r="N1388" s="8">
        <f>N1389</f>
        <v>15000</v>
      </c>
      <c r="O1388" s="8">
        <f t="shared" si="536"/>
        <v>15000</v>
      </c>
      <c r="P1388" s="192"/>
      <c r="Q1388" s="8">
        <f t="shared" ref="Q1388:Q1390" si="554">I1388+M1388</f>
        <v>0</v>
      </c>
      <c r="R1388" s="8">
        <f t="shared" ref="R1388:R1390" si="555">J1388+N1388</f>
        <v>15000</v>
      </c>
      <c r="S1388" s="8">
        <f t="shared" ref="S1388:S1390" si="556">K1388+O1388</f>
        <v>15000</v>
      </c>
    </row>
    <row r="1389" spans="2:19" x14ac:dyDescent="0.25">
      <c r="B1389" s="73">
        <f t="shared" si="538"/>
        <v>42</v>
      </c>
      <c r="C1389" s="12"/>
      <c r="D1389" s="12"/>
      <c r="E1389" s="46"/>
      <c r="F1389" s="43"/>
      <c r="G1389" s="98">
        <v>722</v>
      </c>
      <c r="H1389" s="45" t="s">
        <v>231</v>
      </c>
      <c r="I1389" s="10"/>
      <c r="J1389" s="10"/>
      <c r="K1389" s="13">
        <f t="shared" si="535"/>
        <v>0</v>
      </c>
      <c r="L1389" s="131"/>
      <c r="M1389" s="10">
        <v>0</v>
      </c>
      <c r="N1389" s="10">
        <f>N1390</f>
        <v>15000</v>
      </c>
      <c r="O1389" s="13">
        <f t="shared" si="536"/>
        <v>15000</v>
      </c>
      <c r="P1389" s="189"/>
      <c r="Q1389" s="13">
        <f t="shared" si="554"/>
        <v>0</v>
      </c>
      <c r="R1389" s="13">
        <f t="shared" si="555"/>
        <v>15000</v>
      </c>
      <c r="S1389" s="13">
        <f t="shared" si="556"/>
        <v>15000</v>
      </c>
    </row>
    <row r="1390" spans="2:19" s="80" customFormat="1" ht="26.25" customHeight="1" x14ac:dyDescent="0.25">
      <c r="B1390" s="73">
        <f t="shared" si="538"/>
        <v>43</v>
      </c>
      <c r="C1390" s="85"/>
      <c r="D1390" s="85"/>
      <c r="E1390" s="183"/>
      <c r="F1390" s="85"/>
      <c r="G1390" s="193"/>
      <c r="H1390" s="120" t="s">
        <v>651</v>
      </c>
      <c r="I1390" s="86"/>
      <c r="J1390" s="86"/>
      <c r="K1390" s="86">
        <f t="shared" si="535"/>
        <v>0</v>
      </c>
      <c r="L1390" s="141"/>
      <c r="M1390" s="86">
        <v>0</v>
      </c>
      <c r="N1390" s="86">
        <v>15000</v>
      </c>
      <c r="O1390" s="86">
        <f t="shared" si="536"/>
        <v>15000</v>
      </c>
      <c r="P1390" s="194"/>
      <c r="Q1390" s="86">
        <f t="shared" si="554"/>
        <v>0</v>
      </c>
      <c r="R1390" s="86">
        <f t="shared" si="555"/>
        <v>15000</v>
      </c>
      <c r="S1390" s="86">
        <f t="shared" si="556"/>
        <v>15000</v>
      </c>
    </row>
    <row r="1391" spans="2:19" x14ac:dyDescent="0.25">
      <c r="B1391" s="73">
        <f t="shared" si="538"/>
        <v>44</v>
      </c>
      <c r="C1391" s="171"/>
      <c r="D1391" s="171">
        <v>3</v>
      </c>
      <c r="E1391" s="230" t="s">
        <v>72</v>
      </c>
      <c r="F1391" s="228"/>
      <c r="G1391" s="228"/>
      <c r="H1391" s="229"/>
      <c r="I1391" s="37">
        <f>I1392+I1399</f>
        <v>428820</v>
      </c>
      <c r="J1391" s="37">
        <f t="shared" ref="J1391" si="557">J1392+J1399</f>
        <v>0</v>
      </c>
      <c r="K1391" s="37">
        <f t="shared" si="535"/>
        <v>428820</v>
      </c>
      <c r="L1391" s="136"/>
      <c r="M1391" s="37">
        <f>M1394+M1399</f>
        <v>40000</v>
      </c>
      <c r="N1391" s="37">
        <f t="shared" ref="N1391" si="558">N1394+N1399</f>
        <v>0</v>
      </c>
      <c r="O1391" s="37">
        <f t="shared" si="536"/>
        <v>40000</v>
      </c>
      <c r="Q1391" s="37">
        <f t="shared" si="531"/>
        <v>468820</v>
      </c>
      <c r="R1391" s="37">
        <f t="shared" si="532"/>
        <v>0</v>
      </c>
      <c r="S1391" s="37">
        <f t="shared" si="533"/>
        <v>468820</v>
      </c>
    </row>
    <row r="1392" spans="2:19" x14ac:dyDescent="0.25">
      <c r="B1392" s="73">
        <f t="shared" si="538"/>
        <v>45</v>
      </c>
      <c r="C1392" s="21"/>
      <c r="D1392" s="21"/>
      <c r="E1392" s="21"/>
      <c r="F1392" s="42" t="s">
        <v>321</v>
      </c>
      <c r="G1392" s="97">
        <v>630</v>
      </c>
      <c r="H1392" s="21" t="s">
        <v>218</v>
      </c>
      <c r="I1392" s="15">
        <f>I1393</f>
        <v>2670</v>
      </c>
      <c r="J1392" s="15">
        <f t="shared" ref="J1392" si="559">J1393</f>
        <v>0</v>
      </c>
      <c r="K1392" s="15">
        <f t="shared" si="535"/>
        <v>2670</v>
      </c>
      <c r="L1392" s="130"/>
      <c r="M1392" s="15"/>
      <c r="N1392" s="15"/>
      <c r="O1392" s="15">
        <f t="shared" si="536"/>
        <v>0</v>
      </c>
      <c r="Q1392" s="15">
        <f t="shared" si="531"/>
        <v>2670</v>
      </c>
      <c r="R1392" s="15">
        <f t="shared" si="532"/>
        <v>0</v>
      </c>
      <c r="S1392" s="15">
        <f t="shared" si="533"/>
        <v>2670</v>
      </c>
    </row>
    <row r="1393" spans="2:19" x14ac:dyDescent="0.25">
      <c r="B1393" s="73">
        <f t="shared" si="538"/>
        <v>46</v>
      </c>
      <c r="C1393" s="9"/>
      <c r="D1393" s="9"/>
      <c r="E1393" s="9"/>
      <c r="F1393" s="43" t="s">
        <v>321</v>
      </c>
      <c r="G1393" s="98">
        <v>637</v>
      </c>
      <c r="H1393" s="9" t="s">
        <v>223</v>
      </c>
      <c r="I1393" s="10">
        <v>2670</v>
      </c>
      <c r="J1393" s="10"/>
      <c r="K1393" s="10">
        <f t="shared" si="535"/>
        <v>2670</v>
      </c>
      <c r="L1393" s="131"/>
      <c r="M1393" s="10"/>
      <c r="N1393" s="10"/>
      <c r="O1393" s="10">
        <f t="shared" si="536"/>
        <v>0</v>
      </c>
      <c r="Q1393" s="10">
        <f t="shared" si="531"/>
        <v>2670</v>
      </c>
      <c r="R1393" s="10">
        <f t="shared" si="532"/>
        <v>0</v>
      </c>
      <c r="S1393" s="10">
        <f t="shared" si="533"/>
        <v>2670</v>
      </c>
    </row>
    <row r="1394" spans="2:19" x14ac:dyDescent="0.25">
      <c r="B1394" s="73">
        <f t="shared" si="538"/>
        <v>47</v>
      </c>
      <c r="C1394" s="21"/>
      <c r="D1394" s="21"/>
      <c r="E1394" s="21"/>
      <c r="F1394" s="42" t="s">
        <v>321</v>
      </c>
      <c r="G1394" s="97">
        <v>710</v>
      </c>
      <c r="H1394" s="21" t="s">
        <v>235</v>
      </c>
      <c r="I1394" s="15"/>
      <c r="J1394" s="15"/>
      <c r="K1394" s="15">
        <f t="shared" si="535"/>
        <v>0</v>
      </c>
      <c r="L1394" s="130"/>
      <c r="M1394" s="15">
        <f>M1395+M1397</f>
        <v>40000</v>
      </c>
      <c r="N1394" s="15">
        <f t="shared" ref="N1394" si="560">N1395+N1397</f>
        <v>0</v>
      </c>
      <c r="O1394" s="15">
        <f t="shared" si="536"/>
        <v>40000</v>
      </c>
      <c r="Q1394" s="15">
        <f t="shared" si="531"/>
        <v>40000</v>
      </c>
      <c r="R1394" s="15">
        <f t="shared" si="532"/>
        <v>0</v>
      </c>
      <c r="S1394" s="15">
        <f t="shared" si="533"/>
        <v>40000</v>
      </c>
    </row>
    <row r="1395" spans="2:19" x14ac:dyDescent="0.25">
      <c r="B1395" s="73">
        <f t="shared" si="538"/>
        <v>48</v>
      </c>
      <c r="C1395" s="9"/>
      <c r="D1395" s="9"/>
      <c r="E1395" s="9"/>
      <c r="F1395" s="43" t="s">
        <v>321</v>
      </c>
      <c r="G1395" s="98">
        <v>716</v>
      </c>
      <c r="H1395" s="9" t="s">
        <v>237</v>
      </c>
      <c r="I1395" s="10"/>
      <c r="J1395" s="10"/>
      <c r="K1395" s="10">
        <f t="shared" si="535"/>
        <v>0</v>
      </c>
      <c r="L1395" s="131"/>
      <c r="M1395" s="10">
        <f>SUM(M1396:M1396)</f>
        <v>25000</v>
      </c>
      <c r="N1395" s="10">
        <f t="shared" ref="N1395" si="561">SUM(N1396:N1396)</f>
        <v>0</v>
      </c>
      <c r="O1395" s="10">
        <f t="shared" si="536"/>
        <v>25000</v>
      </c>
      <c r="Q1395" s="10">
        <f t="shared" si="531"/>
        <v>25000</v>
      </c>
      <c r="R1395" s="10">
        <f t="shared" si="532"/>
        <v>0</v>
      </c>
      <c r="S1395" s="10">
        <f t="shared" si="533"/>
        <v>25000</v>
      </c>
    </row>
    <row r="1396" spans="2:19" x14ac:dyDescent="0.25">
      <c r="B1396" s="73">
        <f t="shared" si="538"/>
        <v>49</v>
      </c>
      <c r="C1396" s="12"/>
      <c r="D1396" s="12"/>
      <c r="E1396" s="12"/>
      <c r="F1396" s="12"/>
      <c r="G1396" s="99"/>
      <c r="H1396" s="67" t="s">
        <v>503</v>
      </c>
      <c r="I1396" s="13"/>
      <c r="J1396" s="13"/>
      <c r="K1396" s="13">
        <f t="shared" si="535"/>
        <v>0</v>
      </c>
      <c r="L1396" s="132"/>
      <c r="M1396" s="13">
        <f>10000+15000</f>
        <v>25000</v>
      </c>
      <c r="N1396" s="13"/>
      <c r="O1396" s="13">
        <f t="shared" si="536"/>
        <v>25000</v>
      </c>
      <c r="Q1396" s="13">
        <f t="shared" si="531"/>
        <v>25000</v>
      </c>
      <c r="R1396" s="13">
        <f t="shared" si="532"/>
        <v>0</v>
      </c>
      <c r="S1396" s="13">
        <f t="shared" si="533"/>
        <v>25000</v>
      </c>
    </row>
    <row r="1397" spans="2:19" x14ac:dyDescent="0.25">
      <c r="B1397" s="73">
        <f t="shared" si="538"/>
        <v>50</v>
      </c>
      <c r="C1397" s="9"/>
      <c r="D1397" s="9"/>
      <c r="E1397" s="9"/>
      <c r="F1397" s="43" t="s">
        <v>321</v>
      </c>
      <c r="G1397" s="98">
        <v>717</v>
      </c>
      <c r="H1397" s="9" t="s">
        <v>240</v>
      </c>
      <c r="I1397" s="10"/>
      <c r="J1397" s="10"/>
      <c r="K1397" s="10">
        <f t="shared" si="535"/>
        <v>0</v>
      </c>
      <c r="L1397" s="131"/>
      <c r="M1397" s="10">
        <f>SUM(M1398:M1398)</f>
        <v>15000</v>
      </c>
      <c r="N1397" s="10">
        <f t="shared" ref="N1397" si="562">SUM(N1398:N1398)</f>
        <v>0</v>
      </c>
      <c r="O1397" s="10">
        <f t="shared" si="536"/>
        <v>15000</v>
      </c>
      <c r="Q1397" s="10">
        <f t="shared" si="531"/>
        <v>15000</v>
      </c>
      <c r="R1397" s="10">
        <f t="shared" si="532"/>
        <v>0</v>
      </c>
      <c r="S1397" s="10">
        <f t="shared" si="533"/>
        <v>15000</v>
      </c>
    </row>
    <row r="1398" spans="2:19" x14ac:dyDescent="0.25">
      <c r="B1398" s="73">
        <f t="shared" si="538"/>
        <v>51</v>
      </c>
      <c r="C1398" s="12"/>
      <c r="D1398" s="12"/>
      <c r="E1398" s="12"/>
      <c r="F1398" s="12"/>
      <c r="G1398" s="99"/>
      <c r="H1398" s="12" t="s">
        <v>467</v>
      </c>
      <c r="I1398" s="13"/>
      <c r="J1398" s="13"/>
      <c r="K1398" s="13">
        <f t="shared" si="535"/>
        <v>0</v>
      </c>
      <c r="L1398" s="132"/>
      <c r="M1398" s="13">
        <v>15000</v>
      </c>
      <c r="N1398" s="13"/>
      <c r="O1398" s="13">
        <f t="shared" si="536"/>
        <v>15000</v>
      </c>
      <c r="Q1398" s="13">
        <f t="shared" si="531"/>
        <v>15000</v>
      </c>
      <c r="R1398" s="13">
        <f t="shared" si="532"/>
        <v>0</v>
      </c>
      <c r="S1398" s="13">
        <f t="shared" si="533"/>
        <v>15000</v>
      </c>
    </row>
    <row r="1399" spans="2:19" x14ac:dyDescent="0.25">
      <c r="B1399" s="73">
        <f t="shared" si="538"/>
        <v>52</v>
      </c>
      <c r="C1399" s="38"/>
      <c r="D1399" s="38"/>
      <c r="E1399" s="38">
        <v>2</v>
      </c>
      <c r="F1399" s="38"/>
      <c r="G1399" s="95"/>
      <c r="H1399" s="38" t="s">
        <v>48</v>
      </c>
      <c r="I1399" s="39">
        <f>I1400+I1401+I1402+I1408</f>
        <v>426150</v>
      </c>
      <c r="J1399" s="39">
        <f t="shared" ref="J1399" si="563">J1400+J1401+J1402+J1408</f>
        <v>0</v>
      </c>
      <c r="K1399" s="39">
        <f t="shared" si="535"/>
        <v>426150</v>
      </c>
      <c r="L1399" s="138"/>
      <c r="M1399" s="39">
        <v>0</v>
      </c>
      <c r="N1399" s="39">
        <v>0</v>
      </c>
      <c r="O1399" s="39">
        <f t="shared" si="536"/>
        <v>0</v>
      </c>
      <c r="Q1399" s="39">
        <f t="shared" si="531"/>
        <v>426150</v>
      </c>
      <c r="R1399" s="39">
        <f t="shared" si="532"/>
        <v>0</v>
      </c>
      <c r="S1399" s="39">
        <f t="shared" si="533"/>
        <v>426150</v>
      </c>
    </row>
    <row r="1400" spans="2:19" x14ac:dyDescent="0.25">
      <c r="B1400" s="73">
        <f t="shared" si="538"/>
        <v>53</v>
      </c>
      <c r="C1400" s="21"/>
      <c r="D1400" s="21"/>
      <c r="E1400" s="21"/>
      <c r="F1400" s="42" t="s">
        <v>321</v>
      </c>
      <c r="G1400" s="97">
        <v>610</v>
      </c>
      <c r="H1400" s="21" t="s">
        <v>245</v>
      </c>
      <c r="I1400" s="15">
        <v>114000</v>
      </c>
      <c r="J1400" s="15"/>
      <c r="K1400" s="15">
        <f t="shared" si="535"/>
        <v>114000</v>
      </c>
      <c r="L1400" s="130"/>
      <c r="M1400" s="15"/>
      <c r="N1400" s="15"/>
      <c r="O1400" s="15">
        <f t="shared" si="536"/>
        <v>0</v>
      </c>
      <c r="Q1400" s="15">
        <f t="shared" si="531"/>
        <v>114000</v>
      </c>
      <c r="R1400" s="15">
        <f t="shared" si="532"/>
        <v>0</v>
      </c>
      <c r="S1400" s="15">
        <f t="shared" si="533"/>
        <v>114000</v>
      </c>
    </row>
    <row r="1401" spans="2:19" x14ac:dyDescent="0.25">
      <c r="B1401" s="73">
        <f t="shared" si="538"/>
        <v>54</v>
      </c>
      <c r="C1401" s="21"/>
      <c r="D1401" s="21"/>
      <c r="E1401" s="21"/>
      <c r="F1401" s="42" t="s">
        <v>321</v>
      </c>
      <c r="G1401" s="97">
        <v>620</v>
      </c>
      <c r="H1401" s="21" t="s">
        <v>228</v>
      </c>
      <c r="I1401" s="15">
        <v>39900</v>
      </c>
      <c r="J1401" s="15"/>
      <c r="K1401" s="15">
        <f t="shared" si="535"/>
        <v>39900</v>
      </c>
      <c r="L1401" s="130"/>
      <c r="M1401" s="15"/>
      <c r="N1401" s="15"/>
      <c r="O1401" s="15">
        <f t="shared" si="536"/>
        <v>0</v>
      </c>
      <c r="Q1401" s="15">
        <f t="shared" si="531"/>
        <v>39900</v>
      </c>
      <c r="R1401" s="15">
        <f t="shared" si="532"/>
        <v>0</v>
      </c>
      <c r="S1401" s="15">
        <f t="shared" si="533"/>
        <v>39900</v>
      </c>
    </row>
    <row r="1402" spans="2:19" x14ac:dyDescent="0.25">
      <c r="B1402" s="73">
        <f t="shared" si="538"/>
        <v>55</v>
      </c>
      <c r="C1402" s="21"/>
      <c r="D1402" s="21"/>
      <c r="E1402" s="21"/>
      <c r="F1402" s="42" t="s">
        <v>321</v>
      </c>
      <c r="G1402" s="97">
        <v>630</v>
      </c>
      <c r="H1402" s="21" t="s">
        <v>218</v>
      </c>
      <c r="I1402" s="15">
        <f>SUM(I1403:I1407)</f>
        <v>271900</v>
      </c>
      <c r="J1402" s="15">
        <f t="shared" ref="J1402" si="564">SUM(J1403:J1407)</f>
        <v>0</v>
      </c>
      <c r="K1402" s="15">
        <f t="shared" si="535"/>
        <v>271900</v>
      </c>
      <c r="L1402" s="130"/>
      <c r="M1402" s="15"/>
      <c r="N1402" s="15"/>
      <c r="O1402" s="15">
        <f t="shared" si="536"/>
        <v>0</v>
      </c>
      <c r="Q1402" s="15">
        <f t="shared" si="531"/>
        <v>271900</v>
      </c>
      <c r="R1402" s="15">
        <f t="shared" si="532"/>
        <v>0</v>
      </c>
      <c r="S1402" s="15">
        <f t="shared" si="533"/>
        <v>271900</v>
      </c>
    </row>
    <row r="1403" spans="2:19" ht="19.5" customHeight="1" x14ac:dyDescent="0.25">
      <c r="B1403" s="73">
        <f t="shared" si="538"/>
        <v>56</v>
      </c>
      <c r="C1403" s="9"/>
      <c r="D1403" s="9"/>
      <c r="E1403" s="9"/>
      <c r="F1403" s="43" t="s">
        <v>321</v>
      </c>
      <c r="G1403" s="98">
        <v>632</v>
      </c>
      <c r="H1403" s="9" t="s">
        <v>229</v>
      </c>
      <c r="I1403" s="10">
        <v>210000</v>
      </c>
      <c r="J1403" s="10"/>
      <c r="K1403" s="10">
        <f t="shared" si="535"/>
        <v>210000</v>
      </c>
      <c r="L1403" s="131"/>
      <c r="M1403" s="10"/>
      <c r="N1403" s="10"/>
      <c r="O1403" s="10">
        <f t="shared" si="536"/>
        <v>0</v>
      </c>
      <c r="Q1403" s="10">
        <f t="shared" si="531"/>
        <v>210000</v>
      </c>
      <c r="R1403" s="10">
        <f t="shared" si="532"/>
        <v>0</v>
      </c>
      <c r="S1403" s="10">
        <f t="shared" si="533"/>
        <v>210000</v>
      </c>
    </row>
    <row r="1404" spans="2:19" x14ac:dyDescent="0.25">
      <c r="B1404" s="73">
        <f t="shared" si="538"/>
        <v>57</v>
      </c>
      <c r="C1404" s="9"/>
      <c r="D1404" s="9"/>
      <c r="E1404" s="9"/>
      <c r="F1404" s="43" t="s">
        <v>321</v>
      </c>
      <c r="G1404" s="98">
        <v>633</v>
      </c>
      <c r="H1404" s="9" t="s">
        <v>220</v>
      </c>
      <c r="I1404" s="10">
        <v>13700</v>
      </c>
      <c r="J1404" s="10"/>
      <c r="K1404" s="10">
        <f t="shared" si="535"/>
        <v>13700</v>
      </c>
      <c r="L1404" s="131"/>
      <c r="M1404" s="10"/>
      <c r="N1404" s="10"/>
      <c r="O1404" s="10">
        <f t="shared" si="536"/>
        <v>0</v>
      </c>
      <c r="Q1404" s="10">
        <f t="shared" si="531"/>
        <v>13700</v>
      </c>
      <c r="R1404" s="10">
        <f t="shared" si="532"/>
        <v>0</v>
      </c>
      <c r="S1404" s="10">
        <f t="shared" si="533"/>
        <v>13700</v>
      </c>
    </row>
    <row r="1405" spans="2:19" x14ac:dyDescent="0.25">
      <c r="B1405" s="73">
        <f t="shared" si="538"/>
        <v>58</v>
      </c>
      <c r="C1405" s="9"/>
      <c r="D1405" s="9"/>
      <c r="E1405" s="9"/>
      <c r="F1405" s="43" t="s">
        <v>321</v>
      </c>
      <c r="G1405" s="98">
        <v>635</v>
      </c>
      <c r="H1405" s="9" t="s">
        <v>234</v>
      </c>
      <c r="I1405" s="10">
        <v>10000</v>
      </c>
      <c r="J1405" s="10"/>
      <c r="K1405" s="10">
        <f t="shared" si="535"/>
        <v>10000</v>
      </c>
      <c r="L1405" s="131"/>
      <c r="M1405" s="10"/>
      <c r="N1405" s="10"/>
      <c r="O1405" s="10">
        <f t="shared" si="536"/>
        <v>0</v>
      </c>
      <c r="Q1405" s="10">
        <f t="shared" si="531"/>
        <v>10000</v>
      </c>
      <c r="R1405" s="10">
        <f t="shared" si="532"/>
        <v>0</v>
      </c>
      <c r="S1405" s="10">
        <f t="shared" si="533"/>
        <v>10000</v>
      </c>
    </row>
    <row r="1406" spans="2:19" x14ac:dyDescent="0.25">
      <c r="B1406" s="73">
        <f t="shared" si="538"/>
        <v>59</v>
      </c>
      <c r="C1406" s="9"/>
      <c r="D1406" s="9"/>
      <c r="E1406" s="9"/>
      <c r="F1406" s="43" t="s">
        <v>321</v>
      </c>
      <c r="G1406" s="98">
        <v>636</v>
      </c>
      <c r="H1406" s="9" t="s">
        <v>222</v>
      </c>
      <c r="I1406" s="10">
        <v>200</v>
      </c>
      <c r="J1406" s="10"/>
      <c r="K1406" s="10">
        <f t="shared" si="535"/>
        <v>200</v>
      </c>
      <c r="L1406" s="131"/>
      <c r="M1406" s="10"/>
      <c r="N1406" s="10"/>
      <c r="O1406" s="10">
        <f t="shared" si="536"/>
        <v>0</v>
      </c>
      <c r="Q1406" s="10">
        <f t="shared" si="531"/>
        <v>200</v>
      </c>
      <c r="R1406" s="10">
        <f t="shared" si="532"/>
        <v>0</v>
      </c>
      <c r="S1406" s="10">
        <f t="shared" si="533"/>
        <v>200</v>
      </c>
    </row>
    <row r="1407" spans="2:19" x14ac:dyDescent="0.25">
      <c r="B1407" s="73">
        <f t="shared" si="538"/>
        <v>60</v>
      </c>
      <c r="C1407" s="9"/>
      <c r="D1407" s="9"/>
      <c r="E1407" s="9"/>
      <c r="F1407" s="43" t="s">
        <v>321</v>
      </c>
      <c r="G1407" s="98">
        <v>637</v>
      </c>
      <c r="H1407" s="9" t="s">
        <v>223</v>
      </c>
      <c r="I1407" s="10">
        <v>38000</v>
      </c>
      <c r="J1407" s="10"/>
      <c r="K1407" s="10">
        <f t="shared" si="535"/>
        <v>38000</v>
      </c>
      <c r="L1407" s="131"/>
      <c r="M1407" s="10"/>
      <c r="N1407" s="10"/>
      <c r="O1407" s="10">
        <f t="shared" si="536"/>
        <v>0</v>
      </c>
      <c r="Q1407" s="10">
        <f t="shared" si="531"/>
        <v>38000</v>
      </c>
      <c r="R1407" s="10">
        <f t="shared" si="532"/>
        <v>0</v>
      </c>
      <c r="S1407" s="10">
        <f t="shared" si="533"/>
        <v>38000</v>
      </c>
    </row>
    <row r="1408" spans="2:19" x14ac:dyDescent="0.25">
      <c r="B1408" s="73">
        <f t="shared" si="538"/>
        <v>61</v>
      </c>
      <c r="C1408" s="21"/>
      <c r="D1408" s="21"/>
      <c r="E1408" s="21"/>
      <c r="F1408" s="42" t="s">
        <v>321</v>
      </c>
      <c r="G1408" s="97">
        <v>640</v>
      </c>
      <c r="H1408" s="21" t="s">
        <v>230</v>
      </c>
      <c r="I1408" s="15">
        <v>350</v>
      </c>
      <c r="J1408" s="15"/>
      <c r="K1408" s="15">
        <f t="shared" si="535"/>
        <v>350</v>
      </c>
      <c r="L1408" s="130"/>
      <c r="M1408" s="15"/>
      <c r="N1408" s="15"/>
      <c r="O1408" s="15">
        <f t="shared" si="536"/>
        <v>0</v>
      </c>
      <c r="Q1408" s="15">
        <f t="shared" si="531"/>
        <v>350</v>
      </c>
      <c r="R1408" s="15">
        <f t="shared" si="532"/>
        <v>0</v>
      </c>
      <c r="S1408" s="15">
        <f t="shared" si="533"/>
        <v>350</v>
      </c>
    </row>
    <row r="1409" spans="2:19" x14ac:dyDescent="0.25">
      <c r="B1409" s="73">
        <f t="shared" si="538"/>
        <v>62</v>
      </c>
      <c r="C1409" s="171"/>
      <c r="D1409" s="171">
        <v>4</v>
      </c>
      <c r="E1409" s="230" t="s">
        <v>327</v>
      </c>
      <c r="F1409" s="228"/>
      <c r="G1409" s="228"/>
      <c r="H1409" s="229"/>
      <c r="I1409" s="37">
        <f>I1410+I1419</f>
        <v>505637</v>
      </c>
      <c r="J1409" s="37">
        <f t="shared" ref="J1409" si="565">J1410+J1419</f>
        <v>58000</v>
      </c>
      <c r="K1409" s="37">
        <f t="shared" si="535"/>
        <v>563637</v>
      </c>
      <c r="L1409" s="136"/>
      <c r="M1409" s="37">
        <f>M1413+M1419</f>
        <v>713380</v>
      </c>
      <c r="N1409" s="37">
        <f t="shared" ref="N1409" si="566">N1413+N1419</f>
        <v>-2000</v>
      </c>
      <c r="O1409" s="37">
        <f t="shared" si="536"/>
        <v>711380</v>
      </c>
      <c r="Q1409" s="37">
        <f t="shared" si="531"/>
        <v>1219017</v>
      </c>
      <c r="R1409" s="37">
        <f t="shared" si="532"/>
        <v>56000</v>
      </c>
      <c r="S1409" s="37">
        <f t="shared" si="533"/>
        <v>1275017</v>
      </c>
    </row>
    <row r="1410" spans="2:19" x14ac:dyDescent="0.25">
      <c r="B1410" s="73">
        <f t="shared" si="538"/>
        <v>63</v>
      </c>
      <c r="C1410" s="21"/>
      <c r="D1410" s="21"/>
      <c r="E1410" s="21"/>
      <c r="F1410" s="42" t="s">
        <v>321</v>
      </c>
      <c r="G1410" s="97">
        <v>630</v>
      </c>
      <c r="H1410" s="21" t="s">
        <v>218</v>
      </c>
      <c r="I1410" s="15">
        <f>I1412+I1411</f>
        <v>4100</v>
      </c>
      <c r="J1410" s="15">
        <f t="shared" ref="J1410" si="567">J1412+J1411</f>
        <v>6000</v>
      </c>
      <c r="K1410" s="15">
        <f t="shared" si="535"/>
        <v>10100</v>
      </c>
      <c r="L1410" s="130"/>
      <c r="M1410" s="15"/>
      <c r="N1410" s="15"/>
      <c r="O1410" s="15">
        <f t="shared" si="536"/>
        <v>0</v>
      </c>
      <c r="Q1410" s="15">
        <f t="shared" si="531"/>
        <v>4100</v>
      </c>
      <c r="R1410" s="15">
        <f t="shared" si="532"/>
        <v>6000</v>
      </c>
      <c r="S1410" s="15">
        <f t="shared" si="533"/>
        <v>10100</v>
      </c>
    </row>
    <row r="1411" spans="2:19" x14ac:dyDescent="0.25">
      <c r="B1411" s="73">
        <f t="shared" si="538"/>
        <v>64</v>
      </c>
      <c r="C1411" s="21"/>
      <c r="D1411" s="21"/>
      <c r="E1411" s="21"/>
      <c r="F1411" s="43" t="s">
        <v>321</v>
      </c>
      <c r="G1411" s="98">
        <v>632</v>
      </c>
      <c r="H1411" s="9" t="s">
        <v>229</v>
      </c>
      <c r="I1411" s="10">
        <v>300</v>
      </c>
      <c r="J1411" s="10">
        <v>6000</v>
      </c>
      <c r="K1411" s="10">
        <f t="shared" si="535"/>
        <v>6300</v>
      </c>
      <c r="L1411" s="131"/>
      <c r="M1411" s="10"/>
      <c r="N1411" s="10"/>
      <c r="O1411" s="10">
        <f t="shared" si="536"/>
        <v>0</v>
      </c>
      <c r="Q1411" s="10">
        <f t="shared" si="531"/>
        <v>300</v>
      </c>
      <c r="R1411" s="10">
        <f t="shared" si="532"/>
        <v>6000</v>
      </c>
      <c r="S1411" s="10">
        <f t="shared" si="533"/>
        <v>6300</v>
      </c>
    </row>
    <row r="1412" spans="2:19" x14ac:dyDescent="0.25">
      <c r="B1412" s="73">
        <f t="shared" si="538"/>
        <v>65</v>
      </c>
      <c r="C1412" s="9"/>
      <c r="D1412" s="9"/>
      <c r="E1412" s="9"/>
      <c r="F1412" s="43" t="s">
        <v>321</v>
      </c>
      <c r="G1412" s="98">
        <v>637</v>
      </c>
      <c r="H1412" s="9" t="s">
        <v>223</v>
      </c>
      <c r="I1412" s="10">
        <f>3500+300</f>
        <v>3800</v>
      </c>
      <c r="J1412" s="10"/>
      <c r="K1412" s="10">
        <f t="shared" si="535"/>
        <v>3800</v>
      </c>
      <c r="L1412" s="131"/>
      <c r="M1412" s="10"/>
      <c r="N1412" s="10"/>
      <c r="O1412" s="10">
        <f t="shared" si="536"/>
        <v>0</v>
      </c>
      <c r="Q1412" s="10">
        <f t="shared" si="531"/>
        <v>3800</v>
      </c>
      <c r="R1412" s="10">
        <f t="shared" si="532"/>
        <v>0</v>
      </c>
      <c r="S1412" s="10">
        <f t="shared" si="533"/>
        <v>3800</v>
      </c>
    </row>
    <row r="1413" spans="2:19" x14ac:dyDescent="0.25">
      <c r="B1413" s="73">
        <f t="shared" si="538"/>
        <v>66</v>
      </c>
      <c r="C1413" s="21"/>
      <c r="D1413" s="21"/>
      <c r="E1413" s="21"/>
      <c r="F1413" s="42" t="s">
        <v>321</v>
      </c>
      <c r="G1413" s="97">
        <v>710</v>
      </c>
      <c r="H1413" s="21" t="s">
        <v>235</v>
      </c>
      <c r="I1413" s="15"/>
      <c r="J1413" s="15"/>
      <c r="K1413" s="15">
        <f t="shared" si="535"/>
        <v>0</v>
      </c>
      <c r="L1413" s="130"/>
      <c r="M1413" s="15">
        <f>M1414+M1416</f>
        <v>596755</v>
      </c>
      <c r="N1413" s="15">
        <f t="shared" ref="N1413" si="568">N1414+N1416</f>
        <v>0</v>
      </c>
      <c r="O1413" s="15">
        <f t="shared" si="536"/>
        <v>596755</v>
      </c>
      <c r="Q1413" s="15">
        <f t="shared" si="531"/>
        <v>596755</v>
      </c>
      <c r="R1413" s="15">
        <f t="shared" si="532"/>
        <v>0</v>
      </c>
      <c r="S1413" s="15">
        <f t="shared" si="533"/>
        <v>596755</v>
      </c>
    </row>
    <row r="1414" spans="2:19" x14ac:dyDescent="0.25">
      <c r="B1414" s="73">
        <f t="shared" si="538"/>
        <v>67</v>
      </c>
      <c r="C1414" s="9"/>
      <c r="D1414" s="9"/>
      <c r="E1414" s="9"/>
      <c r="F1414" s="43" t="s">
        <v>321</v>
      </c>
      <c r="G1414" s="98">
        <v>716</v>
      </c>
      <c r="H1414" s="9" t="s">
        <v>237</v>
      </c>
      <c r="I1414" s="10"/>
      <c r="J1414" s="10"/>
      <c r="K1414" s="10">
        <f t="shared" si="535"/>
        <v>0</v>
      </c>
      <c r="L1414" s="131"/>
      <c r="M1414" s="10">
        <f>M1415</f>
        <v>16500</v>
      </c>
      <c r="N1414" s="10">
        <f t="shared" ref="N1414" si="569">N1415</f>
        <v>0</v>
      </c>
      <c r="O1414" s="10">
        <f t="shared" si="536"/>
        <v>16500</v>
      </c>
      <c r="Q1414" s="10">
        <f t="shared" si="531"/>
        <v>16500</v>
      </c>
      <c r="R1414" s="10">
        <f t="shared" si="532"/>
        <v>0</v>
      </c>
      <c r="S1414" s="10">
        <f t="shared" si="533"/>
        <v>16500</v>
      </c>
    </row>
    <row r="1415" spans="2:19" x14ac:dyDescent="0.25">
      <c r="B1415" s="73">
        <f t="shared" si="538"/>
        <v>68</v>
      </c>
      <c r="C1415" s="12"/>
      <c r="D1415" s="12"/>
      <c r="E1415" s="12"/>
      <c r="F1415" s="12"/>
      <c r="G1415" s="99"/>
      <c r="H1415" s="67" t="s">
        <v>503</v>
      </c>
      <c r="I1415" s="13"/>
      <c r="J1415" s="13"/>
      <c r="K1415" s="13">
        <f t="shared" si="535"/>
        <v>0</v>
      </c>
      <c r="L1415" s="132"/>
      <c r="M1415" s="13">
        <f>10000+1500+5000</f>
        <v>16500</v>
      </c>
      <c r="N1415" s="13"/>
      <c r="O1415" s="13">
        <f t="shared" si="536"/>
        <v>16500</v>
      </c>
      <c r="Q1415" s="13">
        <f t="shared" si="531"/>
        <v>16500</v>
      </c>
      <c r="R1415" s="13">
        <f t="shared" si="532"/>
        <v>0</v>
      </c>
      <c r="S1415" s="13">
        <f t="shared" si="533"/>
        <v>16500</v>
      </c>
    </row>
    <row r="1416" spans="2:19" x14ac:dyDescent="0.25">
      <c r="B1416" s="73">
        <f t="shared" si="538"/>
        <v>69</v>
      </c>
      <c r="C1416" s="9"/>
      <c r="D1416" s="9"/>
      <c r="E1416" s="9"/>
      <c r="F1416" s="43" t="s">
        <v>321</v>
      </c>
      <c r="G1416" s="98">
        <v>717</v>
      </c>
      <c r="H1416" s="9" t="s">
        <v>240</v>
      </c>
      <c r="I1416" s="10"/>
      <c r="J1416" s="10"/>
      <c r="K1416" s="10">
        <f t="shared" si="535"/>
        <v>0</v>
      </c>
      <c r="L1416" s="131"/>
      <c r="M1416" s="10">
        <f>SUM(M1417:M1418)</f>
        <v>580255</v>
      </c>
      <c r="N1416" s="10">
        <f t="shared" ref="N1416" si="570">SUM(N1417:N1418)</f>
        <v>0</v>
      </c>
      <c r="O1416" s="10">
        <f t="shared" si="536"/>
        <v>580255</v>
      </c>
      <c r="Q1416" s="10">
        <f t="shared" si="531"/>
        <v>580255</v>
      </c>
      <c r="R1416" s="10">
        <f t="shared" si="532"/>
        <v>0</v>
      </c>
      <c r="S1416" s="10">
        <f t="shared" si="533"/>
        <v>580255</v>
      </c>
    </row>
    <row r="1417" spans="2:19" x14ac:dyDescent="0.25">
      <c r="B1417" s="73">
        <f t="shared" si="538"/>
        <v>70</v>
      </c>
      <c r="C1417" s="12"/>
      <c r="D1417" s="12"/>
      <c r="E1417" s="12"/>
      <c r="F1417" s="12"/>
      <c r="G1417" s="99"/>
      <c r="H1417" s="67" t="s">
        <v>328</v>
      </c>
      <c r="I1417" s="13"/>
      <c r="J1417" s="13"/>
      <c r="K1417" s="13">
        <f t="shared" si="535"/>
        <v>0</v>
      </c>
      <c r="L1417" s="132"/>
      <c r="M1417" s="13">
        <v>540255</v>
      </c>
      <c r="N1417" s="13"/>
      <c r="O1417" s="13">
        <f t="shared" si="536"/>
        <v>540255</v>
      </c>
      <c r="Q1417" s="13">
        <f t="shared" si="531"/>
        <v>540255</v>
      </c>
      <c r="R1417" s="13">
        <f t="shared" si="532"/>
        <v>0</v>
      </c>
      <c r="S1417" s="13">
        <f t="shared" si="533"/>
        <v>540255</v>
      </c>
    </row>
    <row r="1418" spans="2:19" x14ac:dyDescent="0.25">
      <c r="B1418" s="73">
        <f t="shared" si="538"/>
        <v>71</v>
      </c>
      <c r="C1418" s="12"/>
      <c r="D1418" s="12"/>
      <c r="E1418" s="12"/>
      <c r="F1418" s="12"/>
      <c r="G1418" s="99"/>
      <c r="H1418" s="67" t="s">
        <v>597</v>
      </c>
      <c r="I1418" s="13"/>
      <c r="J1418" s="13"/>
      <c r="K1418" s="13">
        <f t="shared" si="535"/>
        <v>0</v>
      </c>
      <c r="L1418" s="132"/>
      <c r="M1418" s="13">
        <v>40000</v>
      </c>
      <c r="N1418" s="13"/>
      <c r="O1418" s="13">
        <f t="shared" si="536"/>
        <v>40000</v>
      </c>
      <c r="Q1418" s="13">
        <f t="shared" si="531"/>
        <v>40000</v>
      </c>
      <c r="R1418" s="13">
        <f t="shared" si="532"/>
        <v>0</v>
      </c>
      <c r="S1418" s="13">
        <f t="shared" si="533"/>
        <v>40000</v>
      </c>
    </row>
    <row r="1419" spans="2:19" x14ac:dyDescent="0.25">
      <c r="B1419" s="73">
        <f t="shared" si="538"/>
        <v>72</v>
      </c>
      <c r="C1419" s="38"/>
      <c r="D1419" s="38"/>
      <c r="E1419" s="38">
        <v>2</v>
      </c>
      <c r="F1419" s="38"/>
      <c r="G1419" s="95"/>
      <c r="H1419" s="38" t="s">
        <v>48</v>
      </c>
      <c r="I1419" s="39">
        <f>I1420+I1421+I1422+I1427</f>
        <v>501537</v>
      </c>
      <c r="J1419" s="39">
        <f t="shared" ref="J1419" si="571">J1420+J1421+J1422+J1427</f>
        <v>52000</v>
      </c>
      <c r="K1419" s="39">
        <f t="shared" si="535"/>
        <v>553537</v>
      </c>
      <c r="L1419" s="138"/>
      <c r="M1419" s="39">
        <f>M1428</f>
        <v>116625</v>
      </c>
      <c r="N1419" s="39">
        <f t="shared" ref="N1419" si="572">N1428</f>
        <v>-2000</v>
      </c>
      <c r="O1419" s="39">
        <f t="shared" si="536"/>
        <v>114625</v>
      </c>
      <c r="Q1419" s="39">
        <f t="shared" si="531"/>
        <v>618162</v>
      </c>
      <c r="R1419" s="39">
        <f t="shared" si="532"/>
        <v>50000</v>
      </c>
      <c r="S1419" s="39">
        <f t="shared" si="533"/>
        <v>668162</v>
      </c>
    </row>
    <row r="1420" spans="2:19" x14ac:dyDescent="0.25">
      <c r="B1420" s="73">
        <f t="shared" si="538"/>
        <v>73</v>
      </c>
      <c r="C1420" s="21"/>
      <c r="D1420" s="21"/>
      <c r="E1420" s="21"/>
      <c r="F1420" s="42" t="s">
        <v>321</v>
      </c>
      <c r="G1420" s="97">
        <v>610</v>
      </c>
      <c r="H1420" s="21" t="s">
        <v>245</v>
      </c>
      <c r="I1420" s="15">
        <v>130700</v>
      </c>
      <c r="J1420" s="15"/>
      <c r="K1420" s="15">
        <f t="shared" si="535"/>
        <v>130700</v>
      </c>
      <c r="L1420" s="130"/>
      <c r="M1420" s="15"/>
      <c r="N1420" s="15"/>
      <c r="O1420" s="15">
        <f t="shared" si="536"/>
        <v>0</v>
      </c>
      <c r="Q1420" s="15">
        <f t="shared" ref="Q1420:Q1470" si="573">I1420+M1420</f>
        <v>130700</v>
      </c>
      <c r="R1420" s="15">
        <f t="shared" ref="R1420:R1470" si="574">J1420+N1420</f>
        <v>0</v>
      </c>
      <c r="S1420" s="15">
        <f t="shared" ref="S1420:S1470" si="575">K1420+O1420</f>
        <v>130700</v>
      </c>
    </row>
    <row r="1421" spans="2:19" x14ac:dyDescent="0.25">
      <c r="B1421" s="73">
        <f t="shared" si="538"/>
        <v>74</v>
      </c>
      <c r="C1421" s="21"/>
      <c r="D1421" s="21"/>
      <c r="E1421" s="21"/>
      <c r="F1421" s="42" t="s">
        <v>321</v>
      </c>
      <c r="G1421" s="97">
        <v>620</v>
      </c>
      <c r="H1421" s="21" t="s">
        <v>228</v>
      </c>
      <c r="I1421" s="15">
        <v>59937</v>
      </c>
      <c r="J1421" s="15"/>
      <c r="K1421" s="15">
        <f t="shared" ref="K1421:K1470" si="576">I1421+J1421</f>
        <v>59937</v>
      </c>
      <c r="L1421" s="130"/>
      <c r="M1421" s="15"/>
      <c r="N1421" s="15"/>
      <c r="O1421" s="15">
        <f t="shared" ref="O1421:O1470" si="577">M1421+N1421</f>
        <v>0</v>
      </c>
      <c r="Q1421" s="15">
        <f t="shared" si="573"/>
        <v>59937</v>
      </c>
      <c r="R1421" s="15">
        <f t="shared" si="574"/>
        <v>0</v>
      </c>
      <c r="S1421" s="15">
        <f t="shared" si="575"/>
        <v>59937</v>
      </c>
    </row>
    <row r="1422" spans="2:19" x14ac:dyDescent="0.25">
      <c r="B1422" s="73">
        <f t="shared" si="538"/>
        <v>75</v>
      </c>
      <c r="C1422" s="21"/>
      <c r="D1422" s="21"/>
      <c r="E1422" s="21"/>
      <c r="F1422" s="42" t="s">
        <v>321</v>
      </c>
      <c r="G1422" s="97">
        <v>630</v>
      </c>
      <c r="H1422" s="21" t="s">
        <v>218</v>
      </c>
      <c r="I1422" s="15">
        <f>SUM(I1423:I1426)</f>
        <v>309600</v>
      </c>
      <c r="J1422" s="15">
        <f t="shared" ref="J1422" si="578">SUM(J1423:J1426)</f>
        <v>52000</v>
      </c>
      <c r="K1422" s="15">
        <f t="shared" si="576"/>
        <v>361600</v>
      </c>
      <c r="L1422" s="130"/>
      <c r="M1422" s="15"/>
      <c r="N1422" s="15"/>
      <c r="O1422" s="15">
        <f t="shared" si="577"/>
        <v>0</v>
      </c>
      <c r="Q1422" s="15">
        <f t="shared" si="573"/>
        <v>309600</v>
      </c>
      <c r="R1422" s="15">
        <f t="shared" si="574"/>
        <v>52000</v>
      </c>
      <c r="S1422" s="15">
        <f t="shared" si="575"/>
        <v>361600</v>
      </c>
    </row>
    <row r="1423" spans="2:19" x14ac:dyDescent="0.25">
      <c r="B1423" s="73">
        <f t="shared" ref="B1423:B1470" si="579">B1422+1</f>
        <v>76</v>
      </c>
      <c r="C1423" s="9"/>
      <c r="D1423" s="9"/>
      <c r="E1423" s="9"/>
      <c r="F1423" s="43" t="s">
        <v>321</v>
      </c>
      <c r="G1423" s="98">
        <v>632</v>
      </c>
      <c r="H1423" s="9" t="s">
        <v>229</v>
      </c>
      <c r="I1423" s="10">
        <v>192000</v>
      </c>
      <c r="J1423" s="10">
        <v>50000</v>
      </c>
      <c r="K1423" s="10">
        <f t="shared" si="576"/>
        <v>242000</v>
      </c>
      <c r="L1423" s="131"/>
      <c r="M1423" s="10"/>
      <c r="N1423" s="10"/>
      <c r="O1423" s="10">
        <f t="shared" si="577"/>
        <v>0</v>
      </c>
      <c r="Q1423" s="10">
        <f t="shared" si="573"/>
        <v>192000</v>
      </c>
      <c r="R1423" s="10">
        <f t="shared" si="574"/>
        <v>50000</v>
      </c>
      <c r="S1423" s="10">
        <f t="shared" si="575"/>
        <v>242000</v>
      </c>
    </row>
    <row r="1424" spans="2:19" x14ac:dyDescent="0.25">
      <c r="B1424" s="73">
        <f t="shared" si="579"/>
        <v>77</v>
      </c>
      <c r="C1424" s="9"/>
      <c r="D1424" s="9"/>
      <c r="E1424" s="9"/>
      <c r="F1424" s="43" t="s">
        <v>321</v>
      </c>
      <c r="G1424" s="98">
        <v>633</v>
      </c>
      <c r="H1424" s="9" t="s">
        <v>220</v>
      </c>
      <c r="I1424" s="10">
        <f>34000+5000</f>
        <v>39000</v>
      </c>
      <c r="J1424" s="10">
        <v>2000</v>
      </c>
      <c r="K1424" s="10">
        <f t="shared" si="576"/>
        <v>41000</v>
      </c>
      <c r="L1424" s="131"/>
      <c r="M1424" s="10"/>
      <c r="N1424" s="10"/>
      <c r="O1424" s="10">
        <f t="shared" si="577"/>
        <v>0</v>
      </c>
      <c r="Q1424" s="10">
        <f t="shared" si="573"/>
        <v>39000</v>
      </c>
      <c r="R1424" s="10">
        <f t="shared" si="574"/>
        <v>2000</v>
      </c>
      <c r="S1424" s="10">
        <f t="shared" si="575"/>
        <v>41000</v>
      </c>
    </row>
    <row r="1425" spans="2:19" x14ac:dyDescent="0.25">
      <c r="B1425" s="73">
        <f t="shared" si="579"/>
        <v>78</v>
      </c>
      <c r="C1425" s="9"/>
      <c r="D1425" s="9"/>
      <c r="E1425" s="9"/>
      <c r="F1425" s="43" t="s">
        <v>321</v>
      </c>
      <c r="G1425" s="98">
        <v>635</v>
      </c>
      <c r="H1425" s="9" t="s">
        <v>234</v>
      </c>
      <c r="I1425" s="10">
        <f>23000-8000</f>
        <v>15000</v>
      </c>
      <c r="J1425" s="10"/>
      <c r="K1425" s="10">
        <f t="shared" si="576"/>
        <v>15000</v>
      </c>
      <c r="L1425" s="131"/>
      <c r="M1425" s="10"/>
      <c r="N1425" s="10"/>
      <c r="O1425" s="10">
        <f t="shared" si="577"/>
        <v>0</v>
      </c>
      <c r="Q1425" s="10">
        <f t="shared" si="573"/>
        <v>15000</v>
      </c>
      <c r="R1425" s="10">
        <f t="shared" si="574"/>
        <v>0</v>
      </c>
      <c r="S1425" s="10">
        <f t="shared" si="575"/>
        <v>15000</v>
      </c>
    </row>
    <row r="1426" spans="2:19" x14ac:dyDescent="0.25">
      <c r="B1426" s="73">
        <f t="shared" si="579"/>
        <v>79</v>
      </c>
      <c r="C1426" s="9"/>
      <c r="D1426" s="9"/>
      <c r="E1426" s="9"/>
      <c r="F1426" s="43" t="s">
        <v>321</v>
      </c>
      <c r="G1426" s="98">
        <v>637</v>
      </c>
      <c r="H1426" s="9" t="s">
        <v>223</v>
      </c>
      <c r="I1426" s="10">
        <v>63600</v>
      </c>
      <c r="J1426" s="10"/>
      <c r="K1426" s="10">
        <f t="shared" si="576"/>
        <v>63600</v>
      </c>
      <c r="L1426" s="131"/>
      <c r="M1426" s="10"/>
      <c r="N1426" s="10"/>
      <c r="O1426" s="10">
        <f t="shared" si="577"/>
        <v>0</v>
      </c>
      <c r="Q1426" s="10">
        <f t="shared" si="573"/>
        <v>63600</v>
      </c>
      <c r="R1426" s="10">
        <f t="shared" si="574"/>
        <v>0</v>
      </c>
      <c r="S1426" s="10">
        <f t="shared" si="575"/>
        <v>63600</v>
      </c>
    </row>
    <row r="1427" spans="2:19" x14ac:dyDescent="0.25">
      <c r="B1427" s="73">
        <f t="shared" si="579"/>
        <v>80</v>
      </c>
      <c r="C1427" s="21"/>
      <c r="D1427" s="21"/>
      <c r="E1427" s="21"/>
      <c r="F1427" s="42" t="s">
        <v>321</v>
      </c>
      <c r="G1427" s="97">
        <v>640</v>
      </c>
      <c r="H1427" s="21" t="s">
        <v>230</v>
      </c>
      <c r="I1427" s="15">
        <v>1300</v>
      </c>
      <c r="J1427" s="15"/>
      <c r="K1427" s="15">
        <f t="shared" si="576"/>
        <v>1300</v>
      </c>
      <c r="L1427" s="130"/>
      <c r="M1427" s="15"/>
      <c r="N1427" s="15"/>
      <c r="O1427" s="15">
        <f t="shared" si="577"/>
        <v>0</v>
      </c>
      <c r="Q1427" s="15">
        <f t="shared" si="573"/>
        <v>1300</v>
      </c>
      <c r="R1427" s="15">
        <f t="shared" si="574"/>
        <v>0</v>
      </c>
      <c r="S1427" s="15">
        <f t="shared" si="575"/>
        <v>1300</v>
      </c>
    </row>
    <row r="1428" spans="2:19" x14ac:dyDescent="0.25">
      <c r="B1428" s="73">
        <f t="shared" si="579"/>
        <v>81</v>
      </c>
      <c r="C1428" s="21"/>
      <c r="D1428" s="21"/>
      <c r="E1428" s="21"/>
      <c r="F1428" s="42" t="s">
        <v>321</v>
      </c>
      <c r="G1428" s="97">
        <v>710</v>
      </c>
      <c r="H1428" s="21" t="s">
        <v>235</v>
      </c>
      <c r="I1428" s="15"/>
      <c r="J1428" s="15"/>
      <c r="K1428" s="15">
        <f t="shared" si="576"/>
        <v>0</v>
      </c>
      <c r="L1428" s="130"/>
      <c r="M1428" s="15">
        <f>SUM(M1429:M1432)</f>
        <v>116625</v>
      </c>
      <c r="N1428" s="15">
        <f t="shared" ref="N1428" si="580">SUM(N1429:N1432)</f>
        <v>-2000</v>
      </c>
      <c r="O1428" s="15">
        <f t="shared" si="577"/>
        <v>114625</v>
      </c>
      <c r="Q1428" s="15">
        <f t="shared" si="573"/>
        <v>116625</v>
      </c>
      <c r="R1428" s="15">
        <f t="shared" si="574"/>
        <v>-2000</v>
      </c>
      <c r="S1428" s="15">
        <f t="shared" si="575"/>
        <v>114625</v>
      </c>
    </row>
    <row r="1429" spans="2:19" x14ac:dyDescent="0.25">
      <c r="B1429" s="73">
        <f t="shared" si="579"/>
        <v>82</v>
      </c>
      <c r="C1429" s="9"/>
      <c r="D1429" s="9"/>
      <c r="E1429" s="9"/>
      <c r="F1429" s="43" t="s">
        <v>321</v>
      </c>
      <c r="G1429" s="98">
        <v>718</v>
      </c>
      <c r="H1429" s="9" t="s">
        <v>401</v>
      </c>
      <c r="I1429" s="10"/>
      <c r="J1429" s="10"/>
      <c r="K1429" s="10">
        <f t="shared" si="576"/>
        <v>0</v>
      </c>
      <c r="L1429" s="131"/>
      <c r="M1429" s="10">
        <v>12500</v>
      </c>
      <c r="N1429" s="10"/>
      <c r="O1429" s="10">
        <f t="shared" si="577"/>
        <v>12500</v>
      </c>
      <c r="Q1429" s="10">
        <f t="shared" si="573"/>
        <v>12500</v>
      </c>
      <c r="R1429" s="10">
        <f t="shared" si="574"/>
        <v>0</v>
      </c>
      <c r="S1429" s="10">
        <f t="shared" si="575"/>
        <v>12500</v>
      </c>
    </row>
    <row r="1430" spans="2:19" x14ac:dyDescent="0.25">
      <c r="B1430" s="73">
        <f t="shared" si="579"/>
        <v>83</v>
      </c>
      <c r="C1430" s="9"/>
      <c r="D1430" s="9"/>
      <c r="E1430" s="9"/>
      <c r="F1430" s="43" t="s">
        <v>321</v>
      </c>
      <c r="G1430" s="98">
        <v>717</v>
      </c>
      <c r="H1430" s="9" t="s">
        <v>402</v>
      </c>
      <c r="I1430" s="10"/>
      <c r="J1430" s="10"/>
      <c r="K1430" s="10">
        <f t="shared" si="576"/>
        <v>0</v>
      </c>
      <c r="L1430" s="131"/>
      <c r="M1430" s="10">
        <v>66125</v>
      </c>
      <c r="N1430" s="10"/>
      <c r="O1430" s="10">
        <f t="shared" si="577"/>
        <v>66125</v>
      </c>
      <c r="Q1430" s="10">
        <f t="shared" si="573"/>
        <v>66125</v>
      </c>
      <c r="R1430" s="10">
        <f t="shared" si="574"/>
        <v>0</v>
      </c>
      <c r="S1430" s="10">
        <f t="shared" si="575"/>
        <v>66125</v>
      </c>
    </row>
    <row r="1431" spans="2:19" x14ac:dyDescent="0.25">
      <c r="B1431" s="73">
        <f t="shared" si="579"/>
        <v>84</v>
      </c>
      <c r="C1431" s="9"/>
      <c r="D1431" s="9"/>
      <c r="E1431" s="9"/>
      <c r="F1431" s="43" t="s">
        <v>321</v>
      </c>
      <c r="G1431" s="98">
        <v>717</v>
      </c>
      <c r="H1431" s="9" t="s">
        <v>411</v>
      </c>
      <c r="I1431" s="10"/>
      <c r="J1431" s="10"/>
      <c r="K1431" s="10">
        <f t="shared" si="576"/>
        <v>0</v>
      </c>
      <c r="L1431" s="131"/>
      <c r="M1431" s="10">
        <v>30000</v>
      </c>
      <c r="N1431" s="10"/>
      <c r="O1431" s="10">
        <f t="shared" si="577"/>
        <v>30000</v>
      </c>
      <c r="Q1431" s="10">
        <f t="shared" si="573"/>
        <v>30000</v>
      </c>
      <c r="R1431" s="10">
        <f t="shared" si="574"/>
        <v>0</v>
      </c>
      <c r="S1431" s="10">
        <f t="shared" si="575"/>
        <v>30000</v>
      </c>
    </row>
    <row r="1432" spans="2:19" x14ac:dyDescent="0.25">
      <c r="B1432" s="73">
        <f t="shared" si="579"/>
        <v>85</v>
      </c>
      <c r="C1432" s="9"/>
      <c r="D1432" s="9"/>
      <c r="E1432" s="9"/>
      <c r="F1432" s="43" t="s">
        <v>321</v>
      </c>
      <c r="G1432" s="98">
        <v>713</v>
      </c>
      <c r="H1432" s="9" t="s">
        <v>601</v>
      </c>
      <c r="I1432" s="10"/>
      <c r="J1432" s="10"/>
      <c r="K1432" s="10">
        <f t="shared" si="576"/>
        <v>0</v>
      </c>
      <c r="L1432" s="131"/>
      <c r="M1432" s="10">
        <v>8000</v>
      </c>
      <c r="N1432" s="10">
        <v>-2000</v>
      </c>
      <c r="O1432" s="10">
        <f t="shared" si="577"/>
        <v>6000</v>
      </c>
      <c r="Q1432" s="10">
        <f t="shared" si="573"/>
        <v>8000</v>
      </c>
      <c r="R1432" s="10">
        <f t="shared" si="574"/>
        <v>-2000</v>
      </c>
      <c r="S1432" s="10">
        <f t="shared" si="575"/>
        <v>6000</v>
      </c>
    </row>
    <row r="1433" spans="2:19" x14ac:dyDescent="0.25">
      <c r="B1433" s="73">
        <f t="shared" si="579"/>
        <v>86</v>
      </c>
      <c r="C1433" s="171"/>
      <c r="D1433" s="171">
        <v>5</v>
      </c>
      <c r="E1433" s="252" t="s">
        <v>329</v>
      </c>
      <c r="F1433" s="253"/>
      <c r="G1433" s="253"/>
      <c r="H1433" s="253"/>
      <c r="I1433" s="37">
        <f>I1434+I1435+I1436</f>
        <v>35000</v>
      </c>
      <c r="J1433" s="37">
        <f t="shared" ref="J1433" si="581">J1434+J1435+J1436</f>
        <v>0</v>
      </c>
      <c r="K1433" s="37">
        <f t="shared" si="576"/>
        <v>35000</v>
      </c>
      <c r="L1433" s="136"/>
      <c r="M1433" s="37">
        <v>0</v>
      </c>
      <c r="N1433" s="37">
        <v>0</v>
      </c>
      <c r="O1433" s="37">
        <f t="shared" si="577"/>
        <v>0</v>
      </c>
      <c r="Q1433" s="37">
        <f t="shared" si="573"/>
        <v>35000</v>
      </c>
      <c r="R1433" s="37">
        <f t="shared" si="574"/>
        <v>0</v>
      </c>
      <c r="S1433" s="37">
        <f t="shared" si="575"/>
        <v>35000</v>
      </c>
    </row>
    <row r="1434" spans="2:19" x14ac:dyDescent="0.25">
      <c r="B1434" s="73">
        <f t="shared" si="579"/>
        <v>87</v>
      </c>
      <c r="C1434" s="21"/>
      <c r="D1434" s="21"/>
      <c r="E1434" s="21"/>
      <c r="F1434" s="42" t="s">
        <v>321</v>
      </c>
      <c r="G1434" s="97">
        <v>610</v>
      </c>
      <c r="H1434" s="21" t="s">
        <v>245</v>
      </c>
      <c r="I1434" s="15">
        <v>7800</v>
      </c>
      <c r="J1434" s="15"/>
      <c r="K1434" s="15">
        <f t="shared" si="576"/>
        <v>7800</v>
      </c>
      <c r="L1434" s="130"/>
      <c r="M1434" s="15"/>
      <c r="N1434" s="15"/>
      <c r="O1434" s="15">
        <f t="shared" si="577"/>
        <v>0</v>
      </c>
      <c r="Q1434" s="15">
        <f t="shared" si="573"/>
        <v>7800</v>
      </c>
      <c r="R1434" s="15">
        <f t="shared" si="574"/>
        <v>0</v>
      </c>
      <c r="S1434" s="15">
        <f t="shared" si="575"/>
        <v>7800</v>
      </c>
    </row>
    <row r="1435" spans="2:19" ht="15.75" customHeight="1" x14ac:dyDescent="0.25">
      <c r="B1435" s="73">
        <f t="shared" si="579"/>
        <v>88</v>
      </c>
      <c r="C1435" s="21"/>
      <c r="D1435" s="21"/>
      <c r="E1435" s="21"/>
      <c r="F1435" s="42" t="s">
        <v>321</v>
      </c>
      <c r="G1435" s="97">
        <v>620</v>
      </c>
      <c r="H1435" s="21" t="s">
        <v>228</v>
      </c>
      <c r="I1435" s="15">
        <v>2750</v>
      </c>
      <c r="J1435" s="15"/>
      <c r="K1435" s="15">
        <f t="shared" si="576"/>
        <v>2750</v>
      </c>
      <c r="L1435" s="130"/>
      <c r="M1435" s="15"/>
      <c r="N1435" s="15"/>
      <c r="O1435" s="15">
        <f t="shared" si="577"/>
        <v>0</v>
      </c>
      <c r="Q1435" s="15">
        <f t="shared" si="573"/>
        <v>2750</v>
      </c>
      <c r="R1435" s="15">
        <f t="shared" si="574"/>
        <v>0</v>
      </c>
      <c r="S1435" s="15">
        <f t="shared" si="575"/>
        <v>2750</v>
      </c>
    </row>
    <row r="1436" spans="2:19" ht="15.75" customHeight="1" x14ac:dyDescent="0.25">
      <c r="B1436" s="73">
        <f t="shared" si="579"/>
        <v>89</v>
      </c>
      <c r="C1436" s="21"/>
      <c r="D1436" s="21"/>
      <c r="E1436" s="21"/>
      <c r="F1436" s="42" t="s">
        <v>321</v>
      </c>
      <c r="G1436" s="97">
        <v>630</v>
      </c>
      <c r="H1436" s="21" t="s">
        <v>218</v>
      </c>
      <c r="I1436" s="15">
        <f>I1437+I1438+I1439+I1440+I1441</f>
        <v>24450</v>
      </c>
      <c r="J1436" s="15">
        <f t="shared" ref="J1436" si="582">J1437+J1438+J1439+J1440+J1441</f>
        <v>0</v>
      </c>
      <c r="K1436" s="15">
        <f t="shared" si="576"/>
        <v>24450</v>
      </c>
      <c r="L1436" s="130"/>
      <c r="M1436" s="15"/>
      <c r="N1436" s="15"/>
      <c r="O1436" s="15">
        <f t="shared" si="577"/>
        <v>0</v>
      </c>
      <c r="Q1436" s="15">
        <f t="shared" si="573"/>
        <v>24450</v>
      </c>
      <c r="R1436" s="15">
        <f t="shared" si="574"/>
        <v>0</v>
      </c>
      <c r="S1436" s="15">
        <f t="shared" si="575"/>
        <v>24450</v>
      </c>
    </row>
    <row r="1437" spans="2:19" ht="19.5" customHeight="1" x14ac:dyDescent="0.25">
      <c r="B1437" s="73">
        <f t="shared" si="579"/>
        <v>90</v>
      </c>
      <c r="C1437" s="9"/>
      <c r="D1437" s="9"/>
      <c r="E1437" s="9"/>
      <c r="F1437" s="43" t="s">
        <v>321</v>
      </c>
      <c r="G1437" s="98">
        <v>632</v>
      </c>
      <c r="H1437" s="9" t="s">
        <v>229</v>
      </c>
      <c r="I1437" s="10">
        <f>23000-5000</f>
        <v>18000</v>
      </c>
      <c r="J1437" s="10"/>
      <c r="K1437" s="10">
        <f t="shared" si="576"/>
        <v>18000</v>
      </c>
      <c r="L1437" s="131"/>
      <c r="M1437" s="10"/>
      <c r="N1437" s="10"/>
      <c r="O1437" s="10">
        <f t="shared" si="577"/>
        <v>0</v>
      </c>
      <c r="Q1437" s="10">
        <f t="shared" si="573"/>
        <v>18000</v>
      </c>
      <c r="R1437" s="10">
        <f t="shared" si="574"/>
        <v>0</v>
      </c>
      <c r="S1437" s="10">
        <f t="shared" si="575"/>
        <v>18000</v>
      </c>
    </row>
    <row r="1438" spans="2:19" x14ac:dyDescent="0.25">
      <c r="B1438" s="73">
        <f t="shared" si="579"/>
        <v>91</v>
      </c>
      <c r="C1438" s="9"/>
      <c r="D1438" s="9"/>
      <c r="E1438" s="9"/>
      <c r="F1438" s="43" t="s">
        <v>321</v>
      </c>
      <c r="G1438" s="98">
        <v>633</v>
      </c>
      <c r="H1438" s="9" t="s">
        <v>220</v>
      </c>
      <c r="I1438" s="10">
        <v>1250</v>
      </c>
      <c r="J1438" s="10"/>
      <c r="K1438" s="10">
        <f t="shared" si="576"/>
        <v>1250</v>
      </c>
      <c r="L1438" s="131"/>
      <c r="M1438" s="10"/>
      <c r="N1438" s="10"/>
      <c r="O1438" s="10">
        <f t="shared" si="577"/>
        <v>0</v>
      </c>
      <c r="Q1438" s="10">
        <f t="shared" si="573"/>
        <v>1250</v>
      </c>
      <c r="R1438" s="10">
        <f t="shared" si="574"/>
        <v>0</v>
      </c>
      <c r="S1438" s="10">
        <f t="shared" si="575"/>
        <v>1250</v>
      </c>
    </row>
    <row r="1439" spans="2:19" x14ac:dyDescent="0.25">
      <c r="B1439" s="73">
        <f t="shared" si="579"/>
        <v>92</v>
      </c>
      <c r="C1439" s="9"/>
      <c r="D1439" s="9"/>
      <c r="E1439" s="9"/>
      <c r="F1439" s="43" t="s">
        <v>321</v>
      </c>
      <c r="G1439" s="98">
        <v>634</v>
      </c>
      <c r="H1439" s="9" t="s">
        <v>221</v>
      </c>
      <c r="I1439" s="10">
        <v>200</v>
      </c>
      <c r="J1439" s="10"/>
      <c r="K1439" s="10">
        <f t="shared" si="576"/>
        <v>200</v>
      </c>
      <c r="L1439" s="131"/>
      <c r="M1439" s="10"/>
      <c r="N1439" s="10"/>
      <c r="O1439" s="10">
        <f t="shared" si="577"/>
        <v>0</v>
      </c>
      <c r="Q1439" s="10">
        <f t="shared" si="573"/>
        <v>200</v>
      </c>
      <c r="R1439" s="10">
        <f t="shared" si="574"/>
        <v>0</v>
      </c>
      <c r="S1439" s="10">
        <f t="shared" si="575"/>
        <v>200</v>
      </c>
    </row>
    <row r="1440" spans="2:19" x14ac:dyDescent="0.25">
      <c r="B1440" s="73">
        <f t="shared" si="579"/>
        <v>93</v>
      </c>
      <c r="C1440" s="9"/>
      <c r="D1440" s="9"/>
      <c r="E1440" s="9"/>
      <c r="F1440" s="43" t="s">
        <v>321</v>
      </c>
      <c r="G1440" s="98">
        <v>635</v>
      </c>
      <c r="H1440" s="9" t="s">
        <v>234</v>
      </c>
      <c r="I1440" s="10">
        <f>5000-1200</f>
        <v>3800</v>
      </c>
      <c r="J1440" s="10"/>
      <c r="K1440" s="10">
        <f t="shared" si="576"/>
        <v>3800</v>
      </c>
      <c r="L1440" s="131"/>
      <c r="M1440" s="10"/>
      <c r="N1440" s="10"/>
      <c r="O1440" s="10">
        <f t="shared" si="577"/>
        <v>0</v>
      </c>
      <c r="Q1440" s="10">
        <f t="shared" si="573"/>
        <v>3800</v>
      </c>
      <c r="R1440" s="10">
        <f t="shared" si="574"/>
        <v>0</v>
      </c>
      <c r="S1440" s="10">
        <f t="shared" si="575"/>
        <v>3800</v>
      </c>
    </row>
    <row r="1441" spans="2:19" x14ac:dyDescent="0.25">
      <c r="B1441" s="73">
        <f t="shared" si="579"/>
        <v>94</v>
      </c>
      <c r="C1441" s="9"/>
      <c r="D1441" s="9"/>
      <c r="E1441" s="9"/>
      <c r="F1441" s="43" t="s">
        <v>321</v>
      </c>
      <c r="G1441" s="98">
        <v>637</v>
      </c>
      <c r="H1441" s="9" t="s">
        <v>223</v>
      </c>
      <c r="I1441" s="10">
        <v>1200</v>
      </c>
      <c r="J1441" s="10"/>
      <c r="K1441" s="10">
        <f t="shared" si="576"/>
        <v>1200</v>
      </c>
      <c r="L1441" s="131"/>
      <c r="M1441" s="10"/>
      <c r="N1441" s="10"/>
      <c r="O1441" s="10">
        <f t="shared" si="577"/>
        <v>0</v>
      </c>
      <c r="Q1441" s="10">
        <f t="shared" si="573"/>
        <v>1200</v>
      </c>
      <c r="R1441" s="10">
        <f t="shared" si="574"/>
        <v>0</v>
      </c>
      <c r="S1441" s="10">
        <f t="shared" si="575"/>
        <v>1200</v>
      </c>
    </row>
    <row r="1442" spans="2:19" ht="15.75" x14ac:dyDescent="0.25">
      <c r="B1442" s="73">
        <f t="shared" si="579"/>
        <v>95</v>
      </c>
      <c r="C1442" s="34">
        <v>4</v>
      </c>
      <c r="D1442" s="227" t="s">
        <v>330</v>
      </c>
      <c r="E1442" s="228"/>
      <c r="F1442" s="228"/>
      <c r="G1442" s="228"/>
      <c r="H1442" s="229"/>
      <c r="I1442" s="35">
        <f>I1454</f>
        <v>57019</v>
      </c>
      <c r="J1442" s="35">
        <f t="shared" ref="J1442" si="583">J1454</f>
        <v>0</v>
      </c>
      <c r="K1442" s="35">
        <f t="shared" si="576"/>
        <v>57019</v>
      </c>
      <c r="L1442" s="135"/>
      <c r="M1442" s="35">
        <f>M1454+M1443</f>
        <v>330500</v>
      </c>
      <c r="N1442" s="35">
        <f>N1454+N1443</f>
        <v>55000</v>
      </c>
      <c r="O1442" s="35">
        <f t="shared" si="577"/>
        <v>385500</v>
      </c>
      <c r="Q1442" s="35">
        <f t="shared" si="573"/>
        <v>387519</v>
      </c>
      <c r="R1442" s="35">
        <f t="shared" si="574"/>
        <v>55000</v>
      </c>
      <c r="S1442" s="35">
        <f t="shared" si="575"/>
        <v>442519</v>
      </c>
    </row>
    <row r="1443" spans="2:19" x14ac:dyDescent="0.25">
      <c r="B1443" s="73">
        <f t="shared" si="579"/>
        <v>96</v>
      </c>
      <c r="C1443" s="21"/>
      <c r="D1443" s="21"/>
      <c r="E1443" s="21"/>
      <c r="F1443" s="42" t="s">
        <v>321</v>
      </c>
      <c r="G1443" s="97">
        <v>710</v>
      </c>
      <c r="H1443" s="21" t="s">
        <v>235</v>
      </c>
      <c r="I1443" s="15"/>
      <c r="J1443" s="15"/>
      <c r="K1443" s="15">
        <f t="shared" si="576"/>
        <v>0</v>
      </c>
      <c r="L1443" s="130"/>
      <c r="M1443" s="15">
        <f>M1448+M1444</f>
        <v>302900</v>
      </c>
      <c r="N1443" s="15">
        <f>N1448+N1444</f>
        <v>55000</v>
      </c>
      <c r="O1443" s="15">
        <f t="shared" si="577"/>
        <v>357900</v>
      </c>
      <c r="Q1443" s="15">
        <f t="shared" si="573"/>
        <v>302900</v>
      </c>
      <c r="R1443" s="15">
        <f t="shared" si="574"/>
        <v>55000</v>
      </c>
      <c r="S1443" s="15">
        <f t="shared" si="575"/>
        <v>357900</v>
      </c>
    </row>
    <row r="1444" spans="2:19" x14ac:dyDescent="0.25">
      <c r="B1444" s="73">
        <f t="shared" si="579"/>
        <v>97</v>
      </c>
      <c r="C1444" s="21"/>
      <c r="D1444" s="21"/>
      <c r="E1444" s="21"/>
      <c r="F1444" s="43" t="s">
        <v>321</v>
      </c>
      <c r="G1444" s="98">
        <v>716</v>
      </c>
      <c r="H1444" s="9" t="s">
        <v>237</v>
      </c>
      <c r="I1444" s="10"/>
      <c r="J1444" s="10"/>
      <c r="K1444" s="10">
        <f t="shared" si="576"/>
        <v>0</v>
      </c>
      <c r="L1444" s="131"/>
      <c r="M1444" s="10">
        <f>M1445+M1446+M1447</f>
        <v>10400</v>
      </c>
      <c r="N1444" s="10">
        <f>N1445+N1446+N1447</f>
        <v>0</v>
      </c>
      <c r="O1444" s="10">
        <f t="shared" si="577"/>
        <v>10400</v>
      </c>
      <c r="Q1444" s="10">
        <f t="shared" si="573"/>
        <v>10400</v>
      </c>
      <c r="R1444" s="10">
        <f t="shared" si="574"/>
        <v>0</v>
      </c>
      <c r="S1444" s="10">
        <f t="shared" si="575"/>
        <v>10400</v>
      </c>
    </row>
    <row r="1445" spans="2:19" x14ac:dyDescent="0.25">
      <c r="B1445" s="73">
        <f t="shared" si="579"/>
        <v>98</v>
      </c>
      <c r="C1445" s="21"/>
      <c r="D1445" s="21"/>
      <c r="E1445" s="21"/>
      <c r="F1445" s="12"/>
      <c r="G1445" s="99"/>
      <c r="H1445" s="67" t="s">
        <v>612</v>
      </c>
      <c r="I1445" s="13"/>
      <c r="J1445" s="13"/>
      <c r="K1445" s="13">
        <f t="shared" si="576"/>
        <v>0</v>
      </c>
      <c r="L1445" s="132"/>
      <c r="M1445" s="13">
        <v>7000</v>
      </c>
      <c r="N1445" s="13"/>
      <c r="O1445" s="13">
        <f t="shared" si="577"/>
        <v>7000</v>
      </c>
      <c r="Q1445" s="13">
        <f t="shared" si="573"/>
        <v>7000</v>
      </c>
      <c r="R1445" s="13">
        <f t="shared" si="574"/>
        <v>0</v>
      </c>
      <c r="S1445" s="13">
        <f t="shared" si="575"/>
        <v>7000</v>
      </c>
    </row>
    <row r="1446" spans="2:19" x14ac:dyDescent="0.25">
      <c r="B1446" s="73">
        <f t="shared" si="579"/>
        <v>99</v>
      </c>
      <c r="C1446" s="21"/>
      <c r="D1446" s="21"/>
      <c r="E1446" s="21"/>
      <c r="F1446" s="12"/>
      <c r="G1446" s="99"/>
      <c r="H1446" s="67" t="s">
        <v>624</v>
      </c>
      <c r="I1446" s="13"/>
      <c r="J1446" s="13"/>
      <c r="K1446" s="13">
        <f t="shared" si="576"/>
        <v>0</v>
      </c>
      <c r="L1446" s="132"/>
      <c r="M1446" s="13">
        <v>2000</v>
      </c>
      <c r="N1446" s="13"/>
      <c r="O1446" s="13">
        <f t="shared" si="577"/>
        <v>2000</v>
      </c>
      <c r="Q1446" s="13">
        <f t="shared" si="573"/>
        <v>2000</v>
      </c>
      <c r="R1446" s="13">
        <f t="shared" si="574"/>
        <v>0</v>
      </c>
      <c r="S1446" s="13">
        <f t="shared" si="575"/>
        <v>2000</v>
      </c>
    </row>
    <row r="1447" spans="2:19" x14ac:dyDescent="0.25">
      <c r="B1447" s="73">
        <f t="shared" si="579"/>
        <v>100</v>
      </c>
      <c r="C1447" s="21"/>
      <c r="D1447" s="21"/>
      <c r="E1447" s="21"/>
      <c r="F1447" s="12"/>
      <c r="G1447" s="99"/>
      <c r="H1447" s="67" t="s">
        <v>625</v>
      </c>
      <c r="I1447" s="13"/>
      <c r="J1447" s="13"/>
      <c r="K1447" s="13">
        <f t="shared" si="576"/>
        <v>0</v>
      </c>
      <c r="L1447" s="132"/>
      <c r="M1447" s="13">
        <v>1400</v>
      </c>
      <c r="N1447" s="13"/>
      <c r="O1447" s="13">
        <f t="shared" si="577"/>
        <v>1400</v>
      </c>
      <c r="Q1447" s="13">
        <f t="shared" si="573"/>
        <v>1400</v>
      </c>
      <c r="R1447" s="13">
        <f t="shared" si="574"/>
        <v>0</v>
      </c>
      <c r="S1447" s="13">
        <f t="shared" si="575"/>
        <v>1400</v>
      </c>
    </row>
    <row r="1448" spans="2:19" x14ac:dyDescent="0.25">
      <c r="B1448" s="73">
        <f t="shared" si="579"/>
        <v>101</v>
      </c>
      <c r="C1448" s="9"/>
      <c r="D1448" s="9"/>
      <c r="E1448" s="9"/>
      <c r="F1448" s="43" t="s">
        <v>321</v>
      </c>
      <c r="G1448" s="98">
        <v>717</v>
      </c>
      <c r="H1448" s="9" t="s">
        <v>240</v>
      </c>
      <c r="I1448" s="10"/>
      <c r="J1448" s="10"/>
      <c r="K1448" s="10">
        <f t="shared" si="576"/>
        <v>0</v>
      </c>
      <c r="L1448" s="131"/>
      <c r="M1448" s="10">
        <f>SUM(M1449:M1451)</f>
        <v>292500</v>
      </c>
      <c r="N1448" s="10">
        <f>SUM(N1449:N1453)</f>
        <v>55000</v>
      </c>
      <c r="O1448" s="10">
        <f t="shared" si="577"/>
        <v>347500</v>
      </c>
      <c r="Q1448" s="10">
        <f t="shared" si="573"/>
        <v>292500</v>
      </c>
      <c r="R1448" s="10">
        <f t="shared" si="574"/>
        <v>55000</v>
      </c>
      <c r="S1448" s="10">
        <f t="shared" si="575"/>
        <v>347500</v>
      </c>
    </row>
    <row r="1449" spans="2:19" x14ac:dyDescent="0.25">
      <c r="B1449" s="73">
        <f t="shared" si="579"/>
        <v>102</v>
      </c>
      <c r="C1449" s="12"/>
      <c r="D1449" s="12"/>
      <c r="E1449" s="12"/>
      <c r="F1449" s="12"/>
      <c r="G1449" s="99"/>
      <c r="H1449" s="67" t="s">
        <v>549</v>
      </c>
      <c r="I1449" s="13"/>
      <c r="J1449" s="13"/>
      <c r="K1449" s="13">
        <f t="shared" si="576"/>
        <v>0</v>
      </c>
      <c r="L1449" s="132"/>
      <c r="M1449" s="13">
        <f>40000+140000+2000+22600</f>
        <v>204600</v>
      </c>
      <c r="N1449" s="13"/>
      <c r="O1449" s="13">
        <f t="shared" si="577"/>
        <v>204600</v>
      </c>
      <c r="Q1449" s="13">
        <f t="shared" si="573"/>
        <v>204600</v>
      </c>
      <c r="R1449" s="13">
        <f t="shared" si="574"/>
        <v>0</v>
      </c>
      <c r="S1449" s="13">
        <f t="shared" si="575"/>
        <v>204600</v>
      </c>
    </row>
    <row r="1450" spans="2:19" ht="22.5" x14ac:dyDescent="0.25">
      <c r="B1450" s="73">
        <f t="shared" si="579"/>
        <v>103</v>
      </c>
      <c r="C1450" s="85"/>
      <c r="D1450" s="85"/>
      <c r="E1450" s="85"/>
      <c r="F1450" s="85"/>
      <c r="G1450" s="103"/>
      <c r="H1450" s="120" t="s">
        <v>498</v>
      </c>
      <c r="I1450" s="86"/>
      <c r="J1450" s="86"/>
      <c r="K1450" s="86">
        <f t="shared" si="576"/>
        <v>0</v>
      </c>
      <c r="L1450" s="141"/>
      <c r="M1450" s="86">
        <v>16900</v>
      </c>
      <c r="N1450" s="86"/>
      <c r="O1450" s="86">
        <f t="shared" si="577"/>
        <v>16900</v>
      </c>
      <c r="P1450" s="80"/>
      <c r="Q1450" s="86">
        <f t="shared" si="573"/>
        <v>16900</v>
      </c>
      <c r="R1450" s="86">
        <f t="shared" si="574"/>
        <v>0</v>
      </c>
      <c r="S1450" s="86">
        <f t="shared" si="575"/>
        <v>16900</v>
      </c>
    </row>
    <row r="1451" spans="2:19" x14ac:dyDescent="0.25">
      <c r="B1451" s="73">
        <f t="shared" si="579"/>
        <v>104</v>
      </c>
      <c r="C1451" s="12"/>
      <c r="D1451" s="12"/>
      <c r="E1451" s="12"/>
      <c r="F1451" s="12"/>
      <c r="G1451" s="99"/>
      <c r="H1451" s="12" t="s">
        <v>511</v>
      </c>
      <c r="I1451" s="13"/>
      <c r="J1451" s="13"/>
      <c r="K1451" s="13">
        <f t="shared" si="576"/>
        <v>0</v>
      </c>
      <c r="L1451" s="132"/>
      <c r="M1451" s="13">
        <f>80000-9000</f>
        <v>71000</v>
      </c>
      <c r="N1451" s="13"/>
      <c r="O1451" s="13">
        <f t="shared" si="577"/>
        <v>71000</v>
      </c>
      <c r="Q1451" s="13">
        <f t="shared" si="573"/>
        <v>71000</v>
      </c>
      <c r="R1451" s="13">
        <f t="shared" si="574"/>
        <v>0</v>
      </c>
      <c r="S1451" s="13">
        <f t="shared" si="575"/>
        <v>71000</v>
      </c>
    </row>
    <row r="1452" spans="2:19" x14ac:dyDescent="0.25">
      <c r="B1452" s="73">
        <f t="shared" si="579"/>
        <v>105</v>
      </c>
      <c r="C1452" s="12"/>
      <c r="D1452" s="12"/>
      <c r="E1452" s="12"/>
      <c r="F1452" s="12"/>
      <c r="G1452" s="99"/>
      <c r="H1452" s="12" t="s">
        <v>657</v>
      </c>
      <c r="I1452" s="13"/>
      <c r="J1452" s="13"/>
      <c r="K1452" s="13">
        <v>0</v>
      </c>
      <c r="L1452" s="132"/>
      <c r="M1452" s="13">
        <v>0</v>
      </c>
      <c r="N1452" s="13">
        <v>40000</v>
      </c>
      <c r="O1452" s="13">
        <f t="shared" si="577"/>
        <v>40000</v>
      </c>
      <c r="Q1452" s="13">
        <f t="shared" ref="Q1452" si="584">I1452+M1452</f>
        <v>0</v>
      </c>
      <c r="R1452" s="13">
        <f t="shared" ref="R1452" si="585">J1452+N1452</f>
        <v>40000</v>
      </c>
      <c r="S1452" s="13">
        <f t="shared" ref="S1452" si="586">K1452+O1452</f>
        <v>40000</v>
      </c>
    </row>
    <row r="1453" spans="2:19" x14ac:dyDescent="0.25">
      <c r="B1453" s="73">
        <f t="shared" si="579"/>
        <v>106</v>
      </c>
      <c r="C1453" s="12"/>
      <c r="D1453" s="12"/>
      <c r="E1453" s="12"/>
      <c r="F1453" s="12"/>
      <c r="G1453" s="99"/>
      <c r="H1453" s="12" t="s">
        <v>664</v>
      </c>
      <c r="I1453" s="13"/>
      <c r="J1453" s="13"/>
      <c r="K1453" s="13">
        <v>0</v>
      </c>
      <c r="L1453" s="132"/>
      <c r="M1453" s="13">
        <v>0</v>
      </c>
      <c r="N1453" s="13">
        <v>15000</v>
      </c>
      <c r="O1453" s="13">
        <f t="shared" ref="O1453" si="587">M1453+N1453</f>
        <v>15000</v>
      </c>
      <c r="Q1453" s="13">
        <f t="shared" ref="Q1453" si="588">I1453+M1453</f>
        <v>0</v>
      </c>
      <c r="R1453" s="13">
        <f t="shared" ref="R1453" si="589">J1453+N1453</f>
        <v>15000</v>
      </c>
      <c r="S1453" s="13">
        <f t="shared" ref="S1453" si="590">K1453+O1453</f>
        <v>15000</v>
      </c>
    </row>
    <row r="1454" spans="2:19" x14ac:dyDescent="0.25">
      <c r="B1454" s="73">
        <f t="shared" si="579"/>
        <v>107</v>
      </c>
      <c r="C1454" s="38"/>
      <c r="D1454" s="38"/>
      <c r="E1454" s="38">
        <v>2</v>
      </c>
      <c r="F1454" s="38"/>
      <c r="G1454" s="95"/>
      <c r="H1454" s="38" t="s">
        <v>48</v>
      </c>
      <c r="I1454" s="39">
        <f>I1455+I1456+I1457+I1467</f>
        <v>57019</v>
      </c>
      <c r="J1454" s="39">
        <f t="shared" ref="J1454" si="591">J1455+J1456+J1457+J1467</f>
        <v>0</v>
      </c>
      <c r="K1454" s="39">
        <f t="shared" si="576"/>
        <v>57019</v>
      </c>
      <c r="L1454" s="138"/>
      <c r="M1454" s="39">
        <f>M1468</f>
        <v>27600</v>
      </c>
      <c r="N1454" s="39">
        <f t="shared" ref="N1454" si="592">N1468</f>
        <v>0</v>
      </c>
      <c r="O1454" s="39">
        <f t="shared" si="577"/>
        <v>27600</v>
      </c>
      <c r="Q1454" s="39">
        <f t="shared" si="573"/>
        <v>84619</v>
      </c>
      <c r="R1454" s="39">
        <f t="shared" si="574"/>
        <v>0</v>
      </c>
      <c r="S1454" s="39">
        <f t="shared" si="575"/>
        <v>84619</v>
      </c>
    </row>
    <row r="1455" spans="2:19" x14ac:dyDescent="0.25">
      <c r="B1455" s="73">
        <f t="shared" si="579"/>
        <v>108</v>
      </c>
      <c r="C1455" s="21"/>
      <c r="D1455" s="21"/>
      <c r="E1455" s="21"/>
      <c r="F1455" s="42" t="s">
        <v>321</v>
      </c>
      <c r="G1455" s="97">
        <v>610</v>
      </c>
      <c r="H1455" s="21" t="s">
        <v>245</v>
      </c>
      <c r="I1455" s="15">
        <f>19350+2000</f>
        <v>21350</v>
      </c>
      <c r="J1455" s="15"/>
      <c r="K1455" s="15">
        <f t="shared" si="576"/>
        <v>21350</v>
      </c>
      <c r="L1455" s="130"/>
      <c r="M1455" s="15"/>
      <c r="N1455" s="15"/>
      <c r="O1455" s="15">
        <f t="shared" si="577"/>
        <v>0</v>
      </c>
      <c r="Q1455" s="15">
        <f t="shared" si="573"/>
        <v>21350</v>
      </c>
      <c r="R1455" s="15">
        <f t="shared" si="574"/>
        <v>0</v>
      </c>
      <c r="S1455" s="15">
        <f t="shared" si="575"/>
        <v>21350</v>
      </c>
    </row>
    <row r="1456" spans="2:19" x14ac:dyDescent="0.25">
      <c r="B1456" s="73">
        <f t="shared" si="579"/>
        <v>109</v>
      </c>
      <c r="C1456" s="21"/>
      <c r="D1456" s="21"/>
      <c r="E1456" s="21"/>
      <c r="F1456" s="42" t="s">
        <v>321</v>
      </c>
      <c r="G1456" s="97">
        <v>620</v>
      </c>
      <c r="H1456" s="21" t="s">
        <v>228</v>
      </c>
      <c r="I1456" s="15">
        <f>7215+704</f>
        <v>7919</v>
      </c>
      <c r="J1456" s="15"/>
      <c r="K1456" s="15">
        <f t="shared" si="576"/>
        <v>7919</v>
      </c>
      <c r="L1456" s="130"/>
      <c r="M1456" s="15"/>
      <c r="N1456" s="15"/>
      <c r="O1456" s="15">
        <f t="shared" si="577"/>
        <v>0</v>
      </c>
      <c r="Q1456" s="15">
        <f t="shared" si="573"/>
        <v>7919</v>
      </c>
      <c r="R1456" s="15">
        <f t="shared" si="574"/>
        <v>0</v>
      </c>
      <c r="S1456" s="15">
        <f t="shared" si="575"/>
        <v>7919</v>
      </c>
    </row>
    <row r="1457" spans="2:19" ht="15" hidden="1" customHeight="1" x14ac:dyDescent="0.25">
      <c r="B1457" s="73">
        <f t="shared" si="579"/>
        <v>110</v>
      </c>
      <c r="C1457" s="21"/>
      <c r="D1457" s="21"/>
      <c r="E1457" s="21"/>
      <c r="F1457" s="42" t="s">
        <v>321</v>
      </c>
      <c r="G1457" s="97">
        <v>630</v>
      </c>
      <c r="H1457" s="21" t="s">
        <v>218</v>
      </c>
      <c r="I1457" s="15">
        <f>SUM(I1458:I1466)</f>
        <v>27650</v>
      </c>
      <c r="J1457" s="15">
        <f t="shared" ref="J1457" si="593">SUM(J1458:J1466)</f>
        <v>0</v>
      </c>
      <c r="K1457" s="15">
        <f t="shared" si="576"/>
        <v>27650</v>
      </c>
      <c r="L1457" s="130"/>
      <c r="M1457" s="15"/>
      <c r="N1457" s="15"/>
      <c r="O1457" s="15">
        <f t="shared" si="577"/>
        <v>0</v>
      </c>
      <c r="Q1457" s="15">
        <f t="shared" si="573"/>
        <v>27650</v>
      </c>
      <c r="R1457" s="15">
        <f t="shared" si="574"/>
        <v>0</v>
      </c>
      <c r="S1457" s="15">
        <f t="shared" si="575"/>
        <v>27650</v>
      </c>
    </row>
    <row r="1458" spans="2:19" x14ac:dyDescent="0.25">
      <c r="B1458" s="73">
        <f t="shared" si="579"/>
        <v>111</v>
      </c>
      <c r="C1458" s="9"/>
      <c r="D1458" s="9"/>
      <c r="E1458" s="9"/>
      <c r="F1458" s="43" t="s">
        <v>321</v>
      </c>
      <c r="G1458" s="98">
        <v>633</v>
      </c>
      <c r="H1458" s="9" t="s">
        <v>220</v>
      </c>
      <c r="I1458" s="10">
        <v>8900</v>
      </c>
      <c r="J1458" s="10"/>
      <c r="K1458" s="10">
        <f t="shared" si="576"/>
        <v>8900</v>
      </c>
      <c r="L1458" s="131"/>
      <c r="M1458" s="10"/>
      <c r="N1458" s="10"/>
      <c r="O1458" s="10">
        <f t="shared" si="577"/>
        <v>0</v>
      </c>
      <c r="Q1458" s="10">
        <f t="shared" si="573"/>
        <v>8900</v>
      </c>
      <c r="R1458" s="10">
        <f t="shared" si="574"/>
        <v>0</v>
      </c>
      <c r="S1458" s="10">
        <f t="shared" si="575"/>
        <v>8900</v>
      </c>
    </row>
    <row r="1459" spans="2:19" x14ac:dyDescent="0.25">
      <c r="B1459" s="73">
        <f t="shared" si="579"/>
        <v>112</v>
      </c>
      <c r="C1459" s="9"/>
      <c r="D1459" s="9"/>
      <c r="E1459" s="9"/>
      <c r="F1459" s="43" t="s">
        <v>321</v>
      </c>
      <c r="G1459" s="98">
        <v>633</v>
      </c>
      <c r="H1459" s="9" t="s">
        <v>567</v>
      </c>
      <c r="I1459" s="10">
        <v>1000</v>
      </c>
      <c r="J1459" s="10"/>
      <c r="K1459" s="10">
        <f t="shared" si="576"/>
        <v>1000</v>
      </c>
      <c r="L1459" s="131"/>
      <c r="M1459" s="10"/>
      <c r="N1459" s="10"/>
      <c r="O1459" s="10">
        <f t="shared" si="577"/>
        <v>0</v>
      </c>
      <c r="Q1459" s="10">
        <f t="shared" si="573"/>
        <v>1000</v>
      </c>
      <c r="R1459" s="10">
        <f t="shared" si="574"/>
        <v>0</v>
      </c>
      <c r="S1459" s="10">
        <f t="shared" si="575"/>
        <v>1000</v>
      </c>
    </row>
    <row r="1460" spans="2:19" x14ac:dyDescent="0.25">
      <c r="B1460" s="73">
        <f t="shared" si="579"/>
        <v>113</v>
      </c>
      <c r="C1460" s="9"/>
      <c r="D1460" s="9"/>
      <c r="E1460" s="9"/>
      <c r="F1460" s="43" t="s">
        <v>321</v>
      </c>
      <c r="G1460" s="98">
        <v>634</v>
      </c>
      <c r="H1460" s="9" t="s">
        <v>221</v>
      </c>
      <c r="I1460" s="10">
        <v>1000</v>
      </c>
      <c r="J1460" s="10"/>
      <c r="K1460" s="10">
        <f t="shared" si="576"/>
        <v>1000</v>
      </c>
      <c r="L1460" s="131"/>
      <c r="M1460" s="10"/>
      <c r="N1460" s="10"/>
      <c r="O1460" s="10">
        <f t="shared" si="577"/>
        <v>0</v>
      </c>
      <c r="Q1460" s="10">
        <f t="shared" si="573"/>
        <v>1000</v>
      </c>
      <c r="R1460" s="10">
        <f t="shared" si="574"/>
        <v>0</v>
      </c>
      <c r="S1460" s="10">
        <f t="shared" si="575"/>
        <v>1000</v>
      </c>
    </row>
    <row r="1461" spans="2:19" x14ac:dyDescent="0.25">
      <c r="B1461" s="73">
        <f t="shared" si="579"/>
        <v>114</v>
      </c>
      <c r="C1461" s="9"/>
      <c r="D1461" s="9"/>
      <c r="E1461" s="9"/>
      <c r="F1461" s="43" t="s">
        <v>321</v>
      </c>
      <c r="G1461" s="98">
        <v>635</v>
      </c>
      <c r="H1461" s="9" t="s">
        <v>234</v>
      </c>
      <c r="I1461" s="10">
        <v>700</v>
      </c>
      <c r="J1461" s="10"/>
      <c r="K1461" s="10">
        <f t="shared" si="576"/>
        <v>700</v>
      </c>
      <c r="L1461" s="131"/>
      <c r="M1461" s="10"/>
      <c r="N1461" s="10"/>
      <c r="O1461" s="10">
        <f t="shared" si="577"/>
        <v>0</v>
      </c>
      <c r="Q1461" s="10">
        <f t="shared" si="573"/>
        <v>700</v>
      </c>
      <c r="R1461" s="10">
        <f t="shared" si="574"/>
        <v>0</v>
      </c>
      <c r="S1461" s="10">
        <f t="shared" si="575"/>
        <v>700</v>
      </c>
    </row>
    <row r="1462" spans="2:19" x14ac:dyDescent="0.25">
      <c r="B1462" s="73">
        <f t="shared" si="579"/>
        <v>115</v>
      </c>
      <c r="C1462" s="9"/>
      <c r="D1462" s="9"/>
      <c r="E1462" s="9"/>
      <c r="F1462" s="43" t="s">
        <v>321</v>
      </c>
      <c r="G1462" s="98">
        <v>635</v>
      </c>
      <c r="H1462" s="119" t="s">
        <v>476</v>
      </c>
      <c r="I1462" s="10">
        <v>4900</v>
      </c>
      <c r="J1462" s="10"/>
      <c r="K1462" s="10">
        <f t="shared" si="576"/>
        <v>4900</v>
      </c>
      <c r="L1462" s="131"/>
      <c r="M1462" s="10"/>
      <c r="N1462" s="10"/>
      <c r="O1462" s="10">
        <f t="shared" si="577"/>
        <v>0</v>
      </c>
      <c r="Q1462" s="10">
        <f t="shared" si="573"/>
        <v>4900</v>
      </c>
      <c r="R1462" s="10">
        <f t="shared" si="574"/>
        <v>0</v>
      </c>
      <c r="S1462" s="10">
        <f t="shared" si="575"/>
        <v>4900</v>
      </c>
    </row>
    <row r="1463" spans="2:19" x14ac:dyDescent="0.25">
      <c r="B1463" s="73">
        <f t="shared" si="579"/>
        <v>116</v>
      </c>
      <c r="C1463" s="9"/>
      <c r="D1463" s="9"/>
      <c r="E1463" s="9"/>
      <c r="F1463" s="43" t="s">
        <v>321</v>
      </c>
      <c r="G1463" s="98">
        <v>635</v>
      </c>
      <c r="H1463" s="119" t="s">
        <v>477</v>
      </c>
      <c r="I1463" s="10">
        <v>7000</v>
      </c>
      <c r="J1463" s="10"/>
      <c r="K1463" s="10">
        <f t="shared" si="576"/>
        <v>7000</v>
      </c>
      <c r="L1463" s="131"/>
      <c r="M1463" s="10"/>
      <c r="N1463" s="10"/>
      <c r="O1463" s="10">
        <f t="shared" si="577"/>
        <v>0</v>
      </c>
      <c r="Q1463" s="10">
        <f t="shared" si="573"/>
        <v>7000</v>
      </c>
      <c r="R1463" s="10">
        <f t="shared" si="574"/>
        <v>0</v>
      </c>
      <c r="S1463" s="10">
        <f t="shared" si="575"/>
        <v>7000</v>
      </c>
    </row>
    <row r="1464" spans="2:19" x14ac:dyDescent="0.25">
      <c r="B1464" s="73">
        <f t="shared" si="579"/>
        <v>117</v>
      </c>
      <c r="C1464" s="9"/>
      <c r="D1464" s="9"/>
      <c r="E1464" s="9"/>
      <c r="F1464" s="43" t="s">
        <v>321</v>
      </c>
      <c r="G1464" s="98">
        <v>636</v>
      </c>
      <c r="H1464" s="119" t="s">
        <v>222</v>
      </c>
      <c r="I1464" s="10">
        <v>300</v>
      </c>
      <c r="J1464" s="10"/>
      <c r="K1464" s="10">
        <f t="shared" si="576"/>
        <v>300</v>
      </c>
      <c r="L1464" s="131"/>
      <c r="M1464" s="10"/>
      <c r="N1464" s="10"/>
      <c r="O1464" s="10">
        <f t="shared" si="577"/>
        <v>0</v>
      </c>
      <c r="Q1464" s="10">
        <f t="shared" si="573"/>
        <v>300</v>
      </c>
      <c r="R1464" s="10">
        <f t="shared" si="574"/>
        <v>0</v>
      </c>
      <c r="S1464" s="10">
        <f t="shared" si="575"/>
        <v>300</v>
      </c>
    </row>
    <row r="1465" spans="2:19" x14ac:dyDescent="0.25">
      <c r="B1465" s="73">
        <f t="shared" si="579"/>
        <v>118</v>
      </c>
      <c r="C1465" s="9"/>
      <c r="D1465" s="9"/>
      <c r="E1465" s="9"/>
      <c r="F1465" s="43" t="s">
        <v>321</v>
      </c>
      <c r="G1465" s="98">
        <v>637</v>
      </c>
      <c r="H1465" s="119" t="s">
        <v>223</v>
      </c>
      <c r="I1465" s="10">
        <v>2350</v>
      </c>
      <c r="J1465" s="10"/>
      <c r="K1465" s="10">
        <f t="shared" si="576"/>
        <v>2350</v>
      </c>
      <c r="L1465" s="131"/>
      <c r="M1465" s="10"/>
      <c r="N1465" s="10"/>
      <c r="O1465" s="10">
        <f t="shared" si="577"/>
        <v>0</v>
      </c>
      <c r="Q1465" s="10">
        <f t="shared" si="573"/>
        <v>2350</v>
      </c>
      <c r="R1465" s="10">
        <f t="shared" si="574"/>
        <v>0</v>
      </c>
      <c r="S1465" s="10">
        <f t="shared" si="575"/>
        <v>2350</v>
      </c>
    </row>
    <row r="1466" spans="2:19" x14ac:dyDescent="0.25">
      <c r="B1466" s="73">
        <f t="shared" si="579"/>
        <v>119</v>
      </c>
      <c r="C1466" s="9"/>
      <c r="D1466" s="9"/>
      <c r="E1466" s="9"/>
      <c r="F1466" s="43" t="s">
        <v>321</v>
      </c>
      <c r="G1466" s="98">
        <v>637</v>
      </c>
      <c r="H1466" s="119" t="s">
        <v>478</v>
      </c>
      <c r="I1466" s="10">
        <v>1500</v>
      </c>
      <c r="J1466" s="10"/>
      <c r="K1466" s="10">
        <f t="shared" si="576"/>
        <v>1500</v>
      </c>
      <c r="L1466" s="131"/>
      <c r="M1466" s="10"/>
      <c r="N1466" s="10"/>
      <c r="O1466" s="10">
        <f t="shared" si="577"/>
        <v>0</v>
      </c>
      <c r="Q1466" s="10">
        <f t="shared" si="573"/>
        <v>1500</v>
      </c>
      <c r="R1466" s="10">
        <f t="shared" si="574"/>
        <v>0</v>
      </c>
      <c r="S1466" s="10">
        <f t="shared" si="575"/>
        <v>1500</v>
      </c>
    </row>
    <row r="1467" spans="2:19" x14ac:dyDescent="0.25">
      <c r="B1467" s="73">
        <f t="shared" si="579"/>
        <v>120</v>
      </c>
      <c r="C1467" s="21"/>
      <c r="D1467" s="21"/>
      <c r="E1467" s="21"/>
      <c r="F1467" s="42" t="s">
        <v>321</v>
      </c>
      <c r="G1467" s="97">
        <v>640</v>
      </c>
      <c r="H1467" s="121" t="s">
        <v>230</v>
      </c>
      <c r="I1467" s="15">
        <v>100</v>
      </c>
      <c r="J1467" s="15"/>
      <c r="K1467" s="15">
        <f t="shared" si="576"/>
        <v>100</v>
      </c>
      <c r="L1467" s="130"/>
      <c r="M1467" s="15"/>
      <c r="N1467" s="15"/>
      <c r="O1467" s="15">
        <f t="shared" si="577"/>
        <v>0</v>
      </c>
      <c r="Q1467" s="15">
        <f t="shared" si="573"/>
        <v>100</v>
      </c>
      <c r="R1467" s="15">
        <f t="shared" si="574"/>
        <v>0</v>
      </c>
      <c r="S1467" s="15">
        <f t="shared" si="575"/>
        <v>100</v>
      </c>
    </row>
    <row r="1468" spans="2:19" x14ac:dyDescent="0.25">
      <c r="B1468" s="73">
        <f t="shared" si="579"/>
        <v>121</v>
      </c>
      <c r="C1468" s="21"/>
      <c r="D1468" s="21"/>
      <c r="E1468" s="21"/>
      <c r="F1468" s="42" t="s">
        <v>321</v>
      </c>
      <c r="G1468" s="97">
        <v>710</v>
      </c>
      <c r="H1468" s="121" t="s">
        <v>235</v>
      </c>
      <c r="I1468" s="15"/>
      <c r="J1468" s="15"/>
      <c r="K1468" s="15">
        <f t="shared" si="576"/>
        <v>0</v>
      </c>
      <c r="L1468" s="130"/>
      <c r="M1468" s="15">
        <f>M1469</f>
        <v>27600</v>
      </c>
      <c r="N1468" s="15">
        <f t="shared" ref="N1468:N1469" si="594">N1469</f>
        <v>0</v>
      </c>
      <c r="O1468" s="15">
        <f t="shared" si="577"/>
        <v>27600</v>
      </c>
      <c r="Q1468" s="15">
        <f t="shared" si="573"/>
        <v>27600</v>
      </c>
      <c r="R1468" s="15">
        <f t="shared" si="574"/>
        <v>0</v>
      </c>
      <c r="S1468" s="15">
        <f t="shared" si="575"/>
        <v>27600</v>
      </c>
    </row>
    <row r="1469" spans="2:19" x14ac:dyDescent="0.25">
      <c r="B1469" s="73">
        <f t="shared" si="579"/>
        <v>122</v>
      </c>
      <c r="C1469" s="9"/>
      <c r="D1469" s="9"/>
      <c r="E1469" s="9"/>
      <c r="F1469" s="43" t="s">
        <v>321</v>
      </c>
      <c r="G1469" s="98">
        <v>717</v>
      </c>
      <c r="H1469" s="119" t="s">
        <v>240</v>
      </c>
      <c r="I1469" s="10"/>
      <c r="J1469" s="10"/>
      <c r="K1469" s="10">
        <f t="shared" si="576"/>
        <v>0</v>
      </c>
      <c r="L1469" s="131"/>
      <c r="M1469" s="10">
        <f>M1470</f>
        <v>27600</v>
      </c>
      <c r="N1469" s="10">
        <f t="shared" si="594"/>
        <v>0</v>
      </c>
      <c r="O1469" s="10">
        <f t="shared" si="577"/>
        <v>27600</v>
      </c>
      <c r="Q1469" s="10">
        <f t="shared" si="573"/>
        <v>27600</v>
      </c>
      <c r="R1469" s="10">
        <f t="shared" si="574"/>
        <v>0</v>
      </c>
      <c r="S1469" s="10">
        <f t="shared" si="575"/>
        <v>27600</v>
      </c>
    </row>
    <row r="1470" spans="2:19" x14ac:dyDescent="0.25">
      <c r="B1470" s="73">
        <f t="shared" si="579"/>
        <v>123</v>
      </c>
      <c r="C1470" s="12"/>
      <c r="D1470" s="12"/>
      <c r="E1470" s="12"/>
      <c r="F1470" s="12"/>
      <c r="G1470" s="99"/>
      <c r="H1470" s="67" t="s">
        <v>474</v>
      </c>
      <c r="I1470" s="13"/>
      <c r="J1470" s="13"/>
      <c r="K1470" s="13">
        <f t="shared" si="576"/>
        <v>0</v>
      </c>
      <c r="L1470" s="132"/>
      <c r="M1470" s="13">
        <f>29600-2000</f>
        <v>27600</v>
      </c>
      <c r="N1470" s="13"/>
      <c r="O1470" s="13">
        <f t="shared" si="577"/>
        <v>27600</v>
      </c>
      <c r="Q1470" s="13">
        <f t="shared" si="573"/>
        <v>27600</v>
      </c>
      <c r="R1470" s="13">
        <f t="shared" si="574"/>
        <v>0</v>
      </c>
      <c r="S1470" s="13">
        <f t="shared" si="575"/>
        <v>27600</v>
      </c>
    </row>
    <row r="1471" spans="2:19" x14ac:dyDescent="0.25">
      <c r="B1471"/>
      <c r="G1471"/>
      <c r="I1471"/>
      <c r="J1471"/>
      <c r="K1471"/>
      <c r="L1471"/>
      <c r="M1471"/>
    </row>
    <row r="1472" spans="2:19" x14ac:dyDescent="0.25">
      <c r="B1472"/>
      <c r="G1472"/>
      <c r="I1472"/>
      <c r="J1472"/>
      <c r="K1472"/>
      <c r="L1472"/>
      <c r="M1472"/>
    </row>
    <row r="1479" spans="2:19" ht="6.75" customHeight="1" x14ac:dyDescent="0.25"/>
    <row r="1480" spans="2:19" ht="27" x14ac:dyDescent="0.35">
      <c r="B1480" s="231" t="s">
        <v>331</v>
      </c>
      <c r="C1480" s="232"/>
      <c r="D1480" s="232"/>
      <c r="E1480" s="232"/>
      <c r="F1480" s="232"/>
      <c r="G1480" s="232"/>
      <c r="H1480" s="232"/>
      <c r="I1480" s="232"/>
      <c r="J1480" s="232"/>
      <c r="K1480" s="232"/>
      <c r="L1480" s="232"/>
      <c r="M1480" s="232"/>
    </row>
    <row r="1481" spans="2:19" ht="18" customHeight="1" x14ac:dyDescent="0.25">
      <c r="B1481" s="233" t="s">
        <v>208</v>
      </c>
      <c r="C1481" s="234"/>
      <c r="D1481" s="234"/>
      <c r="E1481" s="234"/>
      <c r="F1481" s="234"/>
      <c r="G1481" s="234"/>
      <c r="H1481" s="234"/>
      <c r="I1481" s="234"/>
      <c r="J1481" s="234"/>
      <c r="K1481" s="234"/>
      <c r="L1481" s="234"/>
      <c r="M1481" s="235"/>
      <c r="N1481" s="169"/>
      <c r="O1481" s="170"/>
      <c r="Q1481" s="236" t="s">
        <v>563</v>
      </c>
      <c r="R1481" s="221" t="s">
        <v>635</v>
      </c>
      <c r="S1481" s="221" t="s">
        <v>636</v>
      </c>
    </row>
    <row r="1482" spans="2:19" x14ac:dyDescent="0.25">
      <c r="B1482" s="237"/>
      <c r="C1482" s="240" t="s">
        <v>209</v>
      </c>
      <c r="D1482" s="240" t="s">
        <v>210</v>
      </c>
      <c r="E1482" s="240" t="s">
        <v>211</v>
      </c>
      <c r="F1482" s="240" t="s">
        <v>212</v>
      </c>
      <c r="G1482" s="243" t="s">
        <v>213</v>
      </c>
      <c r="H1482" s="245" t="s">
        <v>214</v>
      </c>
      <c r="I1482" s="248" t="s">
        <v>561</v>
      </c>
      <c r="J1482" s="222" t="s">
        <v>635</v>
      </c>
      <c r="K1482" s="222" t="s">
        <v>637</v>
      </c>
      <c r="L1482" s="129"/>
      <c r="M1482" s="250" t="s">
        <v>562</v>
      </c>
      <c r="N1482" s="222" t="s">
        <v>635</v>
      </c>
      <c r="O1482" s="222" t="s">
        <v>638</v>
      </c>
      <c r="Q1482" s="236"/>
      <c r="R1482" s="222"/>
      <c r="S1482" s="222"/>
    </row>
    <row r="1483" spans="2:19" x14ac:dyDescent="0.25">
      <c r="B1483" s="238"/>
      <c r="C1483" s="241"/>
      <c r="D1483" s="241"/>
      <c r="E1483" s="241"/>
      <c r="F1483" s="241"/>
      <c r="G1483" s="243"/>
      <c r="H1483" s="246"/>
      <c r="I1483" s="248"/>
      <c r="J1483" s="222"/>
      <c r="K1483" s="222"/>
      <c r="L1483" s="129"/>
      <c r="M1483" s="250"/>
      <c r="N1483" s="222"/>
      <c r="O1483" s="222"/>
      <c r="Q1483" s="236"/>
      <c r="R1483" s="222"/>
      <c r="S1483" s="222"/>
    </row>
    <row r="1484" spans="2:19" x14ac:dyDescent="0.25">
      <c r="B1484" s="238"/>
      <c r="C1484" s="241"/>
      <c r="D1484" s="241"/>
      <c r="E1484" s="241"/>
      <c r="F1484" s="241"/>
      <c r="G1484" s="243"/>
      <c r="H1484" s="246"/>
      <c r="I1484" s="248"/>
      <c r="J1484" s="222"/>
      <c r="K1484" s="222"/>
      <c r="L1484" s="129"/>
      <c r="M1484" s="250"/>
      <c r="N1484" s="222"/>
      <c r="O1484" s="222"/>
      <c r="Q1484" s="236"/>
      <c r="R1484" s="222"/>
      <c r="S1484" s="222"/>
    </row>
    <row r="1485" spans="2:19" ht="15.75" thickBot="1" x14ac:dyDescent="0.3">
      <c r="B1485" s="239"/>
      <c r="C1485" s="242"/>
      <c r="D1485" s="242"/>
      <c r="E1485" s="242"/>
      <c r="F1485" s="242"/>
      <c r="G1485" s="244"/>
      <c r="H1485" s="247"/>
      <c r="I1485" s="249"/>
      <c r="J1485" s="223"/>
      <c r="K1485" s="223"/>
      <c r="L1485" s="129"/>
      <c r="M1485" s="251"/>
      <c r="N1485" s="223"/>
      <c r="O1485" s="223"/>
      <c r="Q1485" s="236"/>
      <c r="R1485" s="223"/>
      <c r="S1485" s="223"/>
    </row>
    <row r="1486" spans="2:19" ht="16.5" thickTop="1" x14ac:dyDescent="0.25">
      <c r="B1486" s="74">
        <v>1</v>
      </c>
      <c r="C1486" s="224" t="s">
        <v>331</v>
      </c>
      <c r="D1486" s="225"/>
      <c r="E1486" s="225"/>
      <c r="F1486" s="225"/>
      <c r="G1486" s="225"/>
      <c r="H1486" s="226"/>
      <c r="I1486" s="33">
        <f>I1487+I1500+I1506+I1524</f>
        <v>411900</v>
      </c>
      <c r="J1486" s="33">
        <f>J1487+J1500+J1506+J1524</f>
        <v>0</v>
      </c>
      <c r="K1486" s="33">
        <f>I1486+J1486</f>
        <v>411900</v>
      </c>
      <c r="L1486" s="134"/>
      <c r="M1486" s="33">
        <f>M1487+M1500+M1506+M1524</f>
        <v>57620</v>
      </c>
      <c r="N1486" s="33">
        <f>N1487+N1500+N1506+N1524</f>
        <v>30000</v>
      </c>
      <c r="O1486" s="33">
        <f>M1486+N1486</f>
        <v>87620</v>
      </c>
      <c r="Q1486" s="33">
        <f t="shared" ref="Q1486:Q1526" si="595">I1486+M1486</f>
        <v>469520</v>
      </c>
      <c r="R1486" s="33">
        <f t="shared" ref="R1486:R1526" si="596">J1486+N1486</f>
        <v>30000</v>
      </c>
      <c r="S1486" s="33">
        <f t="shared" ref="S1486:S1526" si="597">K1486+O1486</f>
        <v>499520</v>
      </c>
    </row>
    <row r="1487" spans="2:19" ht="15.75" x14ac:dyDescent="0.25">
      <c r="B1487" s="73">
        <f t="shared" ref="B1487" si="598">B1486+1</f>
        <v>2</v>
      </c>
      <c r="C1487" s="34">
        <v>1</v>
      </c>
      <c r="D1487" s="227" t="s">
        <v>332</v>
      </c>
      <c r="E1487" s="228"/>
      <c r="F1487" s="228"/>
      <c r="G1487" s="228"/>
      <c r="H1487" s="229"/>
      <c r="I1487" s="35">
        <f>I1488</f>
        <v>111100</v>
      </c>
      <c r="J1487" s="35">
        <f t="shared" ref="J1487" si="599">J1488</f>
        <v>0</v>
      </c>
      <c r="K1487" s="35">
        <f t="shared" ref="K1487:K1526" si="600">I1487+J1487</f>
        <v>111100</v>
      </c>
      <c r="L1487" s="135"/>
      <c r="M1487" s="35">
        <v>0</v>
      </c>
      <c r="N1487" s="35">
        <v>0</v>
      </c>
      <c r="O1487" s="35">
        <f t="shared" ref="O1487:O1526" si="601">M1487+N1487</f>
        <v>0</v>
      </c>
      <c r="Q1487" s="35">
        <f t="shared" si="595"/>
        <v>111100</v>
      </c>
      <c r="R1487" s="35">
        <f t="shared" si="596"/>
        <v>0</v>
      </c>
      <c r="S1487" s="35">
        <f t="shared" si="597"/>
        <v>111100</v>
      </c>
    </row>
    <row r="1488" spans="2:19" x14ac:dyDescent="0.25">
      <c r="B1488" s="73">
        <f>B1487+1</f>
        <v>3</v>
      </c>
      <c r="C1488" s="21"/>
      <c r="D1488" s="21"/>
      <c r="E1488" s="21"/>
      <c r="F1488" s="42" t="s">
        <v>249</v>
      </c>
      <c r="G1488" s="97">
        <v>640</v>
      </c>
      <c r="H1488" s="21" t="s">
        <v>230</v>
      </c>
      <c r="I1488" s="15">
        <f>SUM(I1489:I1496)</f>
        <v>111100</v>
      </c>
      <c r="J1488" s="15">
        <f>SUM(J1489:J1499)</f>
        <v>0</v>
      </c>
      <c r="K1488" s="15">
        <f t="shared" si="600"/>
        <v>111100</v>
      </c>
      <c r="L1488" s="130"/>
      <c r="M1488" s="15"/>
      <c r="N1488" s="15"/>
      <c r="O1488" s="15">
        <f t="shared" si="601"/>
        <v>0</v>
      </c>
      <c r="Q1488" s="15">
        <f t="shared" si="595"/>
        <v>111100</v>
      </c>
      <c r="R1488" s="15">
        <f t="shared" si="596"/>
        <v>0</v>
      </c>
      <c r="S1488" s="15">
        <f t="shared" si="597"/>
        <v>111100</v>
      </c>
    </row>
    <row r="1489" spans="2:19" x14ac:dyDescent="0.25">
      <c r="B1489" s="73">
        <f t="shared" ref="B1489:B1526" si="602">B1488+1</f>
        <v>4</v>
      </c>
      <c r="C1489" s="12"/>
      <c r="D1489" s="12"/>
      <c r="E1489" s="12"/>
      <c r="F1489" s="12"/>
      <c r="G1489" s="99"/>
      <c r="H1489" s="12" t="s">
        <v>333</v>
      </c>
      <c r="I1489" s="13">
        <v>70000</v>
      </c>
      <c r="J1489" s="13">
        <v>-12500</v>
      </c>
      <c r="K1489" s="13">
        <f t="shared" si="600"/>
        <v>57500</v>
      </c>
      <c r="L1489" s="132"/>
      <c r="M1489" s="13"/>
      <c r="N1489" s="13"/>
      <c r="O1489" s="13">
        <f t="shared" si="601"/>
        <v>0</v>
      </c>
      <c r="Q1489" s="13">
        <f t="shared" si="595"/>
        <v>70000</v>
      </c>
      <c r="R1489" s="13">
        <f t="shared" si="596"/>
        <v>-12500</v>
      </c>
      <c r="S1489" s="13">
        <f t="shared" si="597"/>
        <v>57500</v>
      </c>
    </row>
    <row r="1490" spans="2:19" hidden="1" x14ac:dyDescent="0.25">
      <c r="B1490" s="73">
        <f t="shared" si="602"/>
        <v>5</v>
      </c>
      <c r="C1490" s="12"/>
      <c r="D1490" s="12"/>
      <c r="E1490" s="12"/>
      <c r="F1490" s="12"/>
      <c r="G1490" s="99"/>
      <c r="H1490" s="12" t="s">
        <v>434</v>
      </c>
      <c r="I1490" s="13">
        <v>20000</v>
      </c>
      <c r="J1490" s="13"/>
      <c r="K1490" s="13">
        <f t="shared" si="600"/>
        <v>20000</v>
      </c>
      <c r="L1490" s="132"/>
      <c r="M1490" s="13"/>
      <c r="N1490" s="13"/>
      <c r="O1490" s="13">
        <f t="shared" si="601"/>
        <v>0</v>
      </c>
      <c r="Q1490" s="13">
        <f t="shared" si="595"/>
        <v>20000</v>
      </c>
      <c r="R1490" s="13">
        <f t="shared" si="596"/>
        <v>0</v>
      </c>
      <c r="S1490" s="13">
        <f t="shared" si="597"/>
        <v>20000</v>
      </c>
    </row>
    <row r="1491" spans="2:19" x14ac:dyDescent="0.25">
      <c r="B1491" s="73">
        <f t="shared" si="602"/>
        <v>6</v>
      </c>
      <c r="C1491" s="12"/>
      <c r="D1491" s="12"/>
      <c r="E1491" s="12"/>
      <c r="F1491" s="12"/>
      <c r="G1491" s="99"/>
      <c r="H1491" s="12" t="s">
        <v>604</v>
      </c>
      <c r="I1491" s="13">
        <v>1000</v>
      </c>
      <c r="J1491" s="13"/>
      <c r="K1491" s="13">
        <f t="shared" si="600"/>
        <v>1000</v>
      </c>
      <c r="L1491" s="132"/>
      <c r="M1491" s="13"/>
      <c r="N1491" s="13"/>
      <c r="O1491" s="13">
        <f t="shared" si="601"/>
        <v>0</v>
      </c>
      <c r="Q1491" s="13">
        <f t="shared" si="595"/>
        <v>1000</v>
      </c>
      <c r="R1491" s="13">
        <f t="shared" si="596"/>
        <v>0</v>
      </c>
      <c r="S1491" s="13">
        <f t="shared" si="597"/>
        <v>1000</v>
      </c>
    </row>
    <row r="1492" spans="2:19" x14ac:dyDescent="0.25">
      <c r="B1492" s="73">
        <f t="shared" si="602"/>
        <v>7</v>
      </c>
      <c r="C1492" s="12"/>
      <c r="D1492" s="12"/>
      <c r="E1492" s="12"/>
      <c r="F1492" s="12"/>
      <c r="G1492" s="99"/>
      <c r="H1492" s="12" t="s">
        <v>611</v>
      </c>
      <c r="I1492" s="13">
        <v>6000</v>
      </c>
      <c r="J1492" s="13"/>
      <c r="K1492" s="13">
        <f t="shared" si="600"/>
        <v>6000</v>
      </c>
      <c r="L1492" s="132"/>
      <c r="M1492" s="13"/>
      <c r="N1492" s="13"/>
      <c r="O1492" s="13">
        <f t="shared" si="601"/>
        <v>0</v>
      </c>
      <c r="Q1492" s="13">
        <f t="shared" si="595"/>
        <v>6000</v>
      </c>
      <c r="R1492" s="13">
        <f t="shared" si="596"/>
        <v>0</v>
      </c>
      <c r="S1492" s="13">
        <f t="shared" si="597"/>
        <v>6000</v>
      </c>
    </row>
    <row r="1493" spans="2:19" x14ac:dyDescent="0.25">
      <c r="B1493" s="73">
        <f t="shared" si="602"/>
        <v>8</v>
      </c>
      <c r="C1493" s="12"/>
      <c r="D1493" s="12"/>
      <c r="E1493" s="12"/>
      <c r="F1493" s="12"/>
      <c r="G1493" s="99"/>
      <c r="H1493" s="12" t="s">
        <v>617</v>
      </c>
      <c r="I1493" s="13">
        <v>4500</v>
      </c>
      <c r="J1493" s="13"/>
      <c r="K1493" s="13">
        <f t="shared" si="600"/>
        <v>4500</v>
      </c>
      <c r="L1493" s="132"/>
      <c r="M1493" s="13"/>
      <c r="N1493" s="13"/>
      <c r="O1493" s="13">
        <f t="shared" si="601"/>
        <v>0</v>
      </c>
      <c r="Q1493" s="13">
        <f t="shared" si="595"/>
        <v>4500</v>
      </c>
      <c r="R1493" s="13">
        <f t="shared" si="596"/>
        <v>0</v>
      </c>
      <c r="S1493" s="13">
        <f t="shared" si="597"/>
        <v>4500</v>
      </c>
    </row>
    <row r="1494" spans="2:19" x14ac:dyDescent="0.25">
      <c r="B1494" s="73">
        <f t="shared" si="602"/>
        <v>9</v>
      </c>
      <c r="C1494" s="12"/>
      <c r="D1494" s="12"/>
      <c r="E1494" s="12"/>
      <c r="F1494" s="12"/>
      <c r="G1494" s="99"/>
      <c r="H1494" s="12" t="s">
        <v>618</v>
      </c>
      <c r="I1494" s="13">
        <v>5000</v>
      </c>
      <c r="J1494" s="13"/>
      <c r="K1494" s="13">
        <f t="shared" si="600"/>
        <v>5000</v>
      </c>
      <c r="L1494" s="132"/>
      <c r="M1494" s="13"/>
      <c r="N1494" s="13"/>
      <c r="O1494" s="13">
        <f t="shared" si="601"/>
        <v>0</v>
      </c>
      <c r="Q1494" s="13">
        <f t="shared" si="595"/>
        <v>5000</v>
      </c>
      <c r="R1494" s="13">
        <f t="shared" si="596"/>
        <v>0</v>
      </c>
      <c r="S1494" s="13">
        <f t="shared" si="597"/>
        <v>5000</v>
      </c>
    </row>
    <row r="1495" spans="2:19" x14ac:dyDescent="0.25">
      <c r="B1495" s="73">
        <f t="shared" si="602"/>
        <v>10</v>
      </c>
      <c r="C1495" s="12"/>
      <c r="D1495" s="12"/>
      <c r="E1495" s="12"/>
      <c r="F1495" s="12"/>
      <c r="G1495" s="99"/>
      <c r="H1495" s="12" t="s">
        <v>619</v>
      </c>
      <c r="I1495" s="13">
        <v>4000</v>
      </c>
      <c r="J1495" s="13"/>
      <c r="K1495" s="13">
        <f t="shared" si="600"/>
        <v>4000</v>
      </c>
      <c r="L1495" s="132"/>
      <c r="M1495" s="13"/>
      <c r="N1495" s="13"/>
      <c r="O1495" s="13">
        <f t="shared" si="601"/>
        <v>0</v>
      </c>
      <c r="Q1495" s="13">
        <f t="shared" si="595"/>
        <v>4000</v>
      </c>
      <c r="R1495" s="13">
        <f t="shared" si="596"/>
        <v>0</v>
      </c>
      <c r="S1495" s="13">
        <f t="shared" si="597"/>
        <v>4000</v>
      </c>
    </row>
    <row r="1496" spans="2:19" x14ac:dyDescent="0.25">
      <c r="B1496" s="73">
        <f t="shared" si="602"/>
        <v>11</v>
      </c>
      <c r="C1496" s="12"/>
      <c r="D1496" s="12"/>
      <c r="E1496" s="12"/>
      <c r="F1496" s="12"/>
      <c r="G1496" s="99"/>
      <c r="H1496" s="12" t="s">
        <v>630</v>
      </c>
      <c r="I1496" s="13">
        <v>600</v>
      </c>
      <c r="J1496" s="13"/>
      <c r="K1496" s="13">
        <f t="shared" si="600"/>
        <v>600</v>
      </c>
      <c r="L1496" s="132"/>
      <c r="M1496" s="13"/>
      <c r="N1496" s="13"/>
      <c r="O1496" s="13">
        <f t="shared" si="601"/>
        <v>0</v>
      </c>
      <c r="Q1496" s="13">
        <f t="shared" si="595"/>
        <v>600</v>
      </c>
      <c r="R1496" s="13">
        <f t="shared" si="596"/>
        <v>0</v>
      </c>
      <c r="S1496" s="13">
        <f t="shared" si="597"/>
        <v>600</v>
      </c>
    </row>
    <row r="1497" spans="2:19" s="80" customFormat="1" ht="22.5" x14ac:dyDescent="0.25">
      <c r="B1497" s="73">
        <f t="shared" si="602"/>
        <v>12</v>
      </c>
      <c r="C1497" s="85"/>
      <c r="D1497" s="183"/>
      <c r="E1497" s="85"/>
      <c r="F1497" s="85"/>
      <c r="G1497" s="103"/>
      <c r="H1497" s="184" t="s">
        <v>644</v>
      </c>
      <c r="I1497" s="86">
        <v>0</v>
      </c>
      <c r="J1497" s="86">
        <v>5000</v>
      </c>
      <c r="K1497" s="86">
        <f t="shared" si="600"/>
        <v>5000</v>
      </c>
      <c r="L1497" s="141"/>
      <c r="M1497" s="86"/>
      <c r="N1497" s="86"/>
      <c r="O1497" s="86">
        <f t="shared" si="601"/>
        <v>0</v>
      </c>
      <c r="Q1497" s="86">
        <f t="shared" si="595"/>
        <v>0</v>
      </c>
      <c r="R1497" s="86">
        <f t="shared" ref="R1497:R1499" si="603">J1497+N1497</f>
        <v>5000</v>
      </c>
      <c r="S1497" s="86">
        <f t="shared" ref="S1497:S1499" si="604">K1497+O1497</f>
        <v>5000</v>
      </c>
    </row>
    <row r="1498" spans="2:19" s="80" customFormat="1" ht="22.5" x14ac:dyDescent="0.25">
      <c r="B1498" s="73">
        <f t="shared" si="602"/>
        <v>13</v>
      </c>
      <c r="C1498" s="85"/>
      <c r="D1498" s="183"/>
      <c r="E1498" s="85"/>
      <c r="F1498" s="85"/>
      <c r="G1498" s="103"/>
      <c r="H1498" s="184" t="s">
        <v>645</v>
      </c>
      <c r="I1498" s="86">
        <v>0</v>
      </c>
      <c r="J1498" s="86">
        <v>4000</v>
      </c>
      <c r="K1498" s="86">
        <f t="shared" si="600"/>
        <v>4000</v>
      </c>
      <c r="L1498" s="141"/>
      <c r="M1498" s="86"/>
      <c r="N1498" s="86"/>
      <c r="O1498" s="86">
        <f t="shared" si="601"/>
        <v>0</v>
      </c>
      <c r="Q1498" s="86">
        <f t="shared" si="595"/>
        <v>0</v>
      </c>
      <c r="R1498" s="86">
        <f t="shared" si="603"/>
        <v>4000</v>
      </c>
      <c r="S1498" s="86">
        <f t="shared" si="604"/>
        <v>4000</v>
      </c>
    </row>
    <row r="1499" spans="2:19" s="80" customFormat="1" x14ac:dyDescent="0.25">
      <c r="B1499" s="73">
        <f t="shared" si="602"/>
        <v>14</v>
      </c>
      <c r="C1499" s="85"/>
      <c r="D1499" s="183"/>
      <c r="E1499" s="85"/>
      <c r="F1499" s="85"/>
      <c r="G1499" s="103"/>
      <c r="H1499" s="185" t="s">
        <v>646</v>
      </c>
      <c r="I1499" s="86">
        <v>0</v>
      </c>
      <c r="J1499" s="86">
        <v>3500</v>
      </c>
      <c r="K1499" s="86">
        <f t="shared" si="600"/>
        <v>3500</v>
      </c>
      <c r="L1499" s="141"/>
      <c r="M1499" s="86"/>
      <c r="N1499" s="86"/>
      <c r="O1499" s="86">
        <f t="shared" si="601"/>
        <v>0</v>
      </c>
      <c r="Q1499" s="86">
        <f t="shared" si="595"/>
        <v>0</v>
      </c>
      <c r="R1499" s="86">
        <f t="shared" si="603"/>
        <v>3500</v>
      </c>
      <c r="S1499" s="86">
        <f t="shared" si="604"/>
        <v>3500</v>
      </c>
    </row>
    <row r="1500" spans="2:19" ht="15.75" x14ac:dyDescent="0.25">
      <c r="B1500" s="73">
        <f t="shared" si="602"/>
        <v>15</v>
      </c>
      <c r="C1500" s="34">
        <v>2</v>
      </c>
      <c r="D1500" s="227" t="s">
        <v>334</v>
      </c>
      <c r="E1500" s="228"/>
      <c r="F1500" s="228"/>
      <c r="G1500" s="228"/>
      <c r="H1500" s="229"/>
      <c r="I1500" s="35">
        <f>I1501</f>
        <v>128100</v>
      </c>
      <c r="J1500" s="35">
        <f t="shared" ref="J1500" si="605">J1501</f>
        <v>0</v>
      </c>
      <c r="K1500" s="35">
        <f t="shared" si="600"/>
        <v>128100</v>
      </c>
      <c r="L1500" s="135"/>
      <c r="M1500" s="35">
        <v>0</v>
      </c>
      <c r="N1500" s="35">
        <v>0</v>
      </c>
      <c r="O1500" s="35">
        <f t="shared" si="601"/>
        <v>0</v>
      </c>
      <c r="Q1500" s="35">
        <f t="shared" si="595"/>
        <v>128100</v>
      </c>
      <c r="R1500" s="35">
        <f t="shared" si="596"/>
        <v>0</v>
      </c>
      <c r="S1500" s="35">
        <f t="shared" si="597"/>
        <v>128100</v>
      </c>
    </row>
    <row r="1501" spans="2:19" x14ac:dyDescent="0.25">
      <c r="B1501" s="73">
        <f t="shared" si="602"/>
        <v>16</v>
      </c>
      <c r="C1501" s="21"/>
      <c r="D1501" s="21"/>
      <c r="E1501" s="21"/>
      <c r="F1501" s="42" t="s">
        <v>249</v>
      </c>
      <c r="G1501" s="97">
        <v>630</v>
      </c>
      <c r="H1501" s="21" t="s">
        <v>218</v>
      </c>
      <c r="I1501" s="15">
        <f>SUM(I1502:I1505)</f>
        <v>128100</v>
      </c>
      <c r="J1501" s="15">
        <f t="shared" ref="J1501" si="606">SUM(J1502:J1505)</f>
        <v>0</v>
      </c>
      <c r="K1501" s="15">
        <f t="shared" si="600"/>
        <v>128100</v>
      </c>
      <c r="L1501" s="130"/>
      <c r="M1501" s="15"/>
      <c r="N1501" s="15"/>
      <c r="O1501" s="15">
        <f t="shared" si="601"/>
        <v>0</v>
      </c>
      <c r="Q1501" s="15">
        <f t="shared" si="595"/>
        <v>128100</v>
      </c>
      <c r="R1501" s="15">
        <f t="shared" si="596"/>
        <v>0</v>
      </c>
      <c r="S1501" s="15">
        <f t="shared" si="597"/>
        <v>128100</v>
      </c>
    </row>
    <row r="1502" spans="2:19" ht="14.25" customHeight="1" x14ac:dyDescent="0.25">
      <c r="B1502" s="73">
        <f t="shared" si="602"/>
        <v>17</v>
      </c>
      <c r="C1502" s="9"/>
      <c r="D1502" s="9"/>
      <c r="E1502" s="9"/>
      <c r="F1502" s="43" t="s">
        <v>249</v>
      </c>
      <c r="G1502" s="98">
        <v>633</v>
      </c>
      <c r="H1502" s="9" t="s">
        <v>220</v>
      </c>
      <c r="I1502" s="10">
        <v>3600</v>
      </c>
      <c r="J1502" s="10"/>
      <c r="K1502" s="10">
        <f t="shared" si="600"/>
        <v>3600</v>
      </c>
      <c r="L1502" s="131"/>
      <c r="M1502" s="10"/>
      <c r="N1502" s="10"/>
      <c r="O1502" s="10">
        <f t="shared" si="601"/>
        <v>0</v>
      </c>
      <c r="Q1502" s="10">
        <f t="shared" si="595"/>
        <v>3600</v>
      </c>
      <c r="R1502" s="10">
        <f t="shared" si="596"/>
        <v>0</v>
      </c>
      <c r="S1502" s="10">
        <f t="shared" si="597"/>
        <v>3600</v>
      </c>
    </row>
    <row r="1503" spans="2:19" x14ac:dyDescent="0.25">
      <c r="B1503" s="73">
        <f t="shared" si="602"/>
        <v>18</v>
      </c>
      <c r="C1503" s="9"/>
      <c r="D1503" s="9"/>
      <c r="E1503" s="9"/>
      <c r="F1503" s="43" t="s">
        <v>249</v>
      </c>
      <c r="G1503" s="98">
        <v>634</v>
      </c>
      <c r="H1503" s="9" t="s">
        <v>221</v>
      </c>
      <c r="I1503" s="10">
        <v>4000</v>
      </c>
      <c r="J1503" s="10"/>
      <c r="K1503" s="10">
        <f t="shared" si="600"/>
        <v>4000</v>
      </c>
      <c r="L1503" s="131"/>
      <c r="M1503" s="10"/>
      <c r="N1503" s="10"/>
      <c r="O1503" s="10">
        <f t="shared" si="601"/>
        <v>0</v>
      </c>
      <c r="Q1503" s="10">
        <f t="shared" si="595"/>
        <v>4000</v>
      </c>
      <c r="R1503" s="10">
        <f t="shared" si="596"/>
        <v>0</v>
      </c>
      <c r="S1503" s="10">
        <f t="shared" si="597"/>
        <v>4000</v>
      </c>
    </row>
    <row r="1504" spans="2:19" x14ac:dyDescent="0.25">
      <c r="B1504" s="73">
        <f t="shared" si="602"/>
        <v>19</v>
      </c>
      <c r="C1504" s="9"/>
      <c r="D1504" s="9"/>
      <c r="E1504" s="9"/>
      <c r="F1504" s="43" t="s">
        <v>249</v>
      </c>
      <c r="G1504" s="98">
        <v>636</v>
      </c>
      <c r="H1504" s="9" t="s">
        <v>464</v>
      </c>
      <c r="I1504" s="10">
        <v>10300</v>
      </c>
      <c r="J1504" s="10"/>
      <c r="K1504" s="10">
        <f t="shared" si="600"/>
        <v>10300</v>
      </c>
      <c r="L1504" s="131"/>
      <c r="M1504" s="10"/>
      <c r="N1504" s="10"/>
      <c r="O1504" s="10">
        <f t="shared" si="601"/>
        <v>0</v>
      </c>
      <c r="Q1504" s="10">
        <f t="shared" si="595"/>
        <v>10300</v>
      </c>
      <c r="R1504" s="10">
        <f t="shared" si="596"/>
        <v>0</v>
      </c>
      <c r="S1504" s="10">
        <f t="shared" si="597"/>
        <v>10300</v>
      </c>
    </row>
    <row r="1505" spans="2:19" x14ac:dyDescent="0.25">
      <c r="B1505" s="73">
        <f t="shared" si="602"/>
        <v>20</v>
      </c>
      <c r="C1505" s="9"/>
      <c r="D1505" s="9"/>
      <c r="E1505" s="9"/>
      <c r="F1505" s="43" t="s">
        <v>249</v>
      </c>
      <c r="G1505" s="98">
        <v>637</v>
      </c>
      <c r="H1505" s="9" t="s">
        <v>223</v>
      </c>
      <c r="I1505" s="10">
        <f>110200+14000-500-13500</f>
        <v>110200</v>
      </c>
      <c r="J1505" s="10"/>
      <c r="K1505" s="10">
        <f t="shared" si="600"/>
        <v>110200</v>
      </c>
      <c r="L1505" s="131"/>
      <c r="M1505" s="10"/>
      <c r="N1505" s="10"/>
      <c r="O1505" s="10">
        <f t="shared" si="601"/>
        <v>0</v>
      </c>
      <c r="Q1505" s="10">
        <f t="shared" si="595"/>
        <v>110200</v>
      </c>
      <c r="R1505" s="10">
        <f t="shared" si="596"/>
        <v>0</v>
      </c>
      <c r="S1505" s="10">
        <f t="shared" si="597"/>
        <v>110200</v>
      </c>
    </row>
    <row r="1506" spans="2:19" ht="15.75" x14ac:dyDescent="0.25">
      <c r="B1506" s="73">
        <f t="shared" si="602"/>
        <v>21</v>
      </c>
      <c r="C1506" s="34">
        <v>3</v>
      </c>
      <c r="D1506" s="227" t="s">
        <v>335</v>
      </c>
      <c r="E1506" s="228"/>
      <c r="F1506" s="228"/>
      <c r="G1506" s="228"/>
      <c r="H1506" s="229"/>
      <c r="I1506" s="35">
        <f>I1507+I1508+I1518</f>
        <v>172700</v>
      </c>
      <c r="J1506" s="35">
        <f>J1507+J1508+J1518</f>
        <v>0</v>
      </c>
      <c r="K1506" s="35">
        <f t="shared" si="600"/>
        <v>172700</v>
      </c>
      <c r="L1506" s="135"/>
      <c r="M1506" s="35">
        <f>M1512</f>
        <v>39300</v>
      </c>
      <c r="N1506" s="35">
        <f t="shared" ref="N1506" si="607">N1512</f>
        <v>30000</v>
      </c>
      <c r="O1506" s="35">
        <f t="shared" si="601"/>
        <v>69300</v>
      </c>
      <c r="Q1506" s="35">
        <f t="shared" si="595"/>
        <v>212000</v>
      </c>
      <c r="R1506" s="35">
        <f t="shared" si="596"/>
        <v>30000</v>
      </c>
      <c r="S1506" s="35">
        <f t="shared" si="597"/>
        <v>242000</v>
      </c>
    </row>
    <row r="1507" spans="2:19" x14ac:dyDescent="0.25">
      <c r="B1507" s="73">
        <f t="shared" si="602"/>
        <v>22</v>
      </c>
      <c r="C1507" s="21"/>
      <c r="D1507" s="21"/>
      <c r="E1507" s="21"/>
      <c r="F1507" s="42" t="s">
        <v>249</v>
      </c>
      <c r="G1507" s="97">
        <v>620</v>
      </c>
      <c r="H1507" s="21" t="s">
        <v>228</v>
      </c>
      <c r="I1507" s="15">
        <v>3600</v>
      </c>
      <c r="J1507" s="15"/>
      <c r="K1507" s="15">
        <f t="shared" si="600"/>
        <v>3600</v>
      </c>
      <c r="L1507" s="130"/>
      <c r="M1507" s="15"/>
      <c r="N1507" s="15"/>
      <c r="O1507" s="15">
        <f t="shared" si="601"/>
        <v>0</v>
      </c>
      <c r="Q1507" s="15">
        <f t="shared" si="595"/>
        <v>3600</v>
      </c>
      <c r="R1507" s="15">
        <f t="shared" si="596"/>
        <v>0</v>
      </c>
      <c r="S1507" s="15">
        <f t="shared" si="597"/>
        <v>3600</v>
      </c>
    </row>
    <row r="1508" spans="2:19" x14ac:dyDescent="0.25">
      <c r="B1508" s="73">
        <f t="shared" si="602"/>
        <v>23</v>
      </c>
      <c r="C1508" s="21"/>
      <c r="D1508" s="21"/>
      <c r="E1508" s="21"/>
      <c r="F1508" s="42" t="s">
        <v>249</v>
      </c>
      <c r="G1508" s="97">
        <v>630</v>
      </c>
      <c r="H1508" s="21" t="s">
        <v>218</v>
      </c>
      <c r="I1508" s="15">
        <f>SUM(I1509:I1511)</f>
        <v>32300</v>
      </c>
      <c r="J1508" s="15">
        <f t="shared" ref="J1508" si="608">SUM(J1509:J1511)</f>
        <v>0</v>
      </c>
      <c r="K1508" s="15">
        <f t="shared" si="600"/>
        <v>32300</v>
      </c>
      <c r="L1508" s="130"/>
      <c r="M1508" s="15"/>
      <c r="N1508" s="15"/>
      <c r="O1508" s="15">
        <f t="shared" si="601"/>
        <v>0</v>
      </c>
      <c r="Q1508" s="15">
        <f t="shared" si="595"/>
        <v>32300</v>
      </c>
      <c r="R1508" s="15">
        <f t="shared" si="596"/>
        <v>0</v>
      </c>
      <c r="S1508" s="15">
        <f t="shared" si="597"/>
        <v>32300</v>
      </c>
    </row>
    <row r="1509" spans="2:19" x14ac:dyDescent="0.25">
      <c r="B1509" s="73">
        <f t="shared" si="602"/>
        <v>24</v>
      </c>
      <c r="C1509" s="9"/>
      <c r="D1509" s="9"/>
      <c r="E1509" s="9"/>
      <c r="F1509" s="43" t="s">
        <v>249</v>
      </c>
      <c r="G1509" s="98">
        <v>632</v>
      </c>
      <c r="H1509" s="9" t="s">
        <v>229</v>
      </c>
      <c r="I1509" s="10">
        <v>11000</v>
      </c>
      <c r="J1509" s="10"/>
      <c r="K1509" s="10">
        <f t="shared" si="600"/>
        <v>11000</v>
      </c>
      <c r="L1509" s="131"/>
      <c r="M1509" s="10"/>
      <c r="N1509" s="10"/>
      <c r="O1509" s="10">
        <f t="shared" si="601"/>
        <v>0</v>
      </c>
      <c r="Q1509" s="10">
        <f t="shared" si="595"/>
        <v>11000</v>
      </c>
      <c r="R1509" s="10">
        <f t="shared" si="596"/>
        <v>0</v>
      </c>
      <c r="S1509" s="10">
        <f t="shared" si="597"/>
        <v>11000</v>
      </c>
    </row>
    <row r="1510" spans="2:19" x14ac:dyDescent="0.25">
      <c r="B1510" s="73">
        <f t="shared" si="602"/>
        <v>25</v>
      </c>
      <c r="C1510" s="9"/>
      <c r="D1510" s="9"/>
      <c r="E1510" s="9"/>
      <c r="F1510" s="43" t="s">
        <v>249</v>
      </c>
      <c r="G1510" s="98">
        <v>633</v>
      </c>
      <c r="H1510" s="9" t="s">
        <v>220</v>
      </c>
      <c r="I1510" s="10">
        <v>5000</v>
      </c>
      <c r="J1510" s="10"/>
      <c r="K1510" s="10">
        <f t="shared" si="600"/>
        <v>5000</v>
      </c>
      <c r="L1510" s="131"/>
      <c r="M1510" s="10"/>
      <c r="N1510" s="10"/>
      <c r="O1510" s="10">
        <f t="shared" si="601"/>
        <v>0</v>
      </c>
      <c r="Q1510" s="10">
        <f t="shared" si="595"/>
        <v>5000</v>
      </c>
      <c r="R1510" s="10">
        <f t="shared" si="596"/>
        <v>0</v>
      </c>
      <c r="S1510" s="10">
        <f t="shared" si="597"/>
        <v>5000</v>
      </c>
    </row>
    <row r="1511" spans="2:19" ht="14.25" customHeight="1" x14ac:dyDescent="0.25">
      <c r="B1511" s="73">
        <f t="shared" si="602"/>
        <v>26</v>
      </c>
      <c r="C1511" s="9"/>
      <c r="D1511" s="9"/>
      <c r="E1511" s="9"/>
      <c r="F1511" s="43" t="s">
        <v>249</v>
      </c>
      <c r="G1511" s="98">
        <v>637</v>
      </c>
      <c r="H1511" s="9" t="s">
        <v>223</v>
      </c>
      <c r="I1511" s="10">
        <v>16300</v>
      </c>
      <c r="J1511" s="10"/>
      <c r="K1511" s="10">
        <f t="shared" si="600"/>
        <v>16300</v>
      </c>
      <c r="L1511" s="131"/>
      <c r="M1511" s="10"/>
      <c r="N1511" s="10"/>
      <c r="O1511" s="10">
        <f t="shared" si="601"/>
        <v>0</v>
      </c>
      <c r="Q1511" s="10">
        <f t="shared" si="595"/>
        <v>16300</v>
      </c>
      <c r="R1511" s="10">
        <f t="shared" si="596"/>
        <v>0</v>
      </c>
      <c r="S1511" s="10">
        <f t="shared" si="597"/>
        <v>16300</v>
      </c>
    </row>
    <row r="1512" spans="2:19" x14ac:dyDescent="0.25">
      <c r="B1512" s="73">
        <f t="shared" si="602"/>
        <v>27</v>
      </c>
      <c r="C1512" s="21"/>
      <c r="D1512" s="21"/>
      <c r="E1512" s="21"/>
      <c r="F1512" s="42" t="s">
        <v>249</v>
      </c>
      <c r="G1512" s="97">
        <v>710</v>
      </c>
      <c r="H1512" s="21" t="s">
        <v>235</v>
      </c>
      <c r="I1512" s="15"/>
      <c r="J1512" s="15"/>
      <c r="K1512" s="15">
        <f t="shared" si="600"/>
        <v>0</v>
      </c>
      <c r="L1512" s="130"/>
      <c r="M1512" s="15">
        <f>M1513</f>
        <v>39300</v>
      </c>
      <c r="N1512" s="15">
        <f>N1513</f>
        <v>30000</v>
      </c>
      <c r="O1512" s="15">
        <f t="shared" si="601"/>
        <v>69300</v>
      </c>
      <c r="Q1512" s="15">
        <f t="shared" si="595"/>
        <v>39300</v>
      </c>
      <c r="R1512" s="15">
        <f t="shared" si="596"/>
        <v>30000</v>
      </c>
      <c r="S1512" s="15">
        <f t="shared" si="597"/>
        <v>69300</v>
      </c>
    </row>
    <row r="1513" spans="2:19" x14ac:dyDescent="0.25">
      <c r="B1513" s="73">
        <f t="shared" si="602"/>
        <v>28</v>
      </c>
      <c r="C1513" s="9"/>
      <c r="D1513" s="9"/>
      <c r="E1513" s="9"/>
      <c r="F1513" s="43" t="s">
        <v>249</v>
      </c>
      <c r="G1513" s="98">
        <v>717</v>
      </c>
      <c r="H1513" s="9" t="s">
        <v>240</v>
      </c>
      <c r="I1513" s="10"/>
      <c r="J1513" s="10"/>
      <c r="K1513" s="10">
        <f t="shared" si="600"/>
        <v>0</v>
      </c>
      <c r="L1513" s="131"/>
      <c r="M1513" s="10">
        <f>M1514+M1516+M1515</f>
        <v>39300</v>
      </c>
      <c r="N1513" s="10">
        <f>SUM(N1514:N1517)</f>
        <v>30000</v>
      </c>
      <c r="O1513" s="10">
        <f t="shared" si="601"/>
        <v>69300</v>
      </c>
      <c r="Q1513" s="10">
        <f t="shared" si="595"/>
        <v>39300</v>
      </c>
      <c r="R1513" s="10">
        <f t="shared" si="596"/>
        <v>30000</v>
      </c>
      <c r="S1513" s="10">
        <f t="shared" si="597"/>
        <v>69300</v>
      </c>
    </row>
    <row r="1514" spans="2:19" x14ac:dyDescent="0.25">
      <c r="B1514" s="73">
        <f t="shared" si="602"/>
        <v>29</v>
      </c>
      <c r="C1514" s="9"/>
      <c r="D1514" s="9"/>
      <c r="E1514" s="9"/>
      <c r="F1514" s="43"/>
      <c r="G1514" s="98"/>
      <c r="H1514" s="12" t="s">
        <v>520</v>
      </c>
      <c r="I1514" s="10"/>
      <c r="J1514" s="10"/>
      <c r="K1514" s="10">
        <f t="shared" si="600"/>
        <v>0</v>
      </c>
      <c r="L1514" s="131"/>
      <c r="M1514" s="13">
        <v>15000</v>
      </c>
      <c r="N1514" s="13"/>
      <c r="O1514" s="13">
        <f t="shared" si="601"/>
        <v>15000</v>
      </c>
      <c r="Q1514" s="10">
        <f t="shared" si="595"/>
        <v>15000</v>
      </c>
      <c r="R1514" s="10">
        <f t="shared" si="596"/>
        <v>0</v>
      </c>
      <c r="S1514" s="10">
        <f t="shared" si="597"/>
        <v>15000</v>
      </c>
    </row>
    <row r="1515" spans="2:19" x14ac:dyDescent="0.25">
      <c r="B1515" s="73">
        <f t="shared" si="602"/>
        <v>30</v>
      </c>
      <c r="C1515" s="9"/>
      <c r="D1515" s="9"/>
      <c r="E1515" s="9"/>
      <c r="F1515" s="43"/>
      <c r="G1515" s="98"/>
      <c r="H1515" s="12" t="s">
        <v>576</v>
      </c>
      <c r="I1515" s="10"/>
      <c r="J1515" s="10"/>
      <c r="K1515" s="10">
        <f t="shared" si="600"/>
        <v>0</v>
      </c>
      <c r="L1515" s="131"/>
      <c r="M1515" s="13">
        <v>5300</v>
      </c>
      <c r="N1515" s="13"/>
      <c r="O1515" s="13">
        <f t="shared" si="601"/>
        <v>5300</v>
      </c>
      <c r="Q1515" s="10">
        <f t="shared" si="595"/>
        <v>5300</v>
      </c>
      <c r="R1515" s="10">
        <f t="shared" si="596"/>
        <v>0</v>
      </c>
      <c r="S1515" s="10">
        <f t="shared" si="597"/>
        <v>5300</v>
      </c>
    </row>
    <row r="1516" spans="2:19" x14ac:dyDescent="0.25">
      <c r="B1516" s="73">
        <f t="shared" si="602"/>
        <v>31</v>
      </c>
      <c r="C1516" s="9"/>
      <c r="D1516" s="9"/>
      <c r="E1516" s="9"/>
      <c r="F1516" s="43"/>
      <c r="G1516" s="98"/>
      <c r="H1516" s="12" t="s">
        <v>522</v>
      </c>
      <c r="I1516" s="10"/>
      <c r="J1516" s="10"/>
      <c r="K1516" s="10">
        <f t="shared" si="600"/>
        <v>0</v>
      </c>
      <c r="L1516" s="131"/>
      <c r="M1516" s="13">
        <f>20000-1000</f>
        <v>19000</v>
      </c>
      <c r="N1516" s="13"/>
      <c r="O1516" s="13">
        <f t="shared" si="601"/>
        <v>19000</v>
      </c>
      <c r="Q1516" s="10">
        <f t="shared" si="595"/>
        <v>19000</v>
      </c>
      <c r="R1516" s="10">
        <f t="shared" si="596"/>
        <v>0</v>
      </c>
      <c r="S1516" s="10">
        <f t="shared" si="597"/>
        <v>19000</v>
      </c>
    </row>
    <row r="1517" spans="2:19" x14ac:dyDescent="0.25">
      <c r="B1517" s="73">
        <f t="shared" si="602"/>
        <v>32</v>
      </c>
      <c r="C1517" s="9"/>
      <c r="D1517" s="9"/>
      <c r="E1517" s="9"/>
      <c r="F1517" s="43"/>
      <c r="G1517" s="98"/>
      <c r="H1517" s="12" t="s">
        <v>652</v>
      </c>
      <c r="I1517" s="10"/>
      <c r="J1517" s="10"/>
      <c r="K1517" s="10">
        <f t="shared" si="600"/>
        <v>0</v>
      </c>
      <c r="L1517" s="131"/>
      <c r="M1517" s="13">
        <v>0</v>
      </c>
      <c r="N1517" s="13">
        <v>30000</v>
      </c>
      <c r="O1517" s="13">
        <f t="shared" si="601"/>
        <v>30000</v>
      </c>
      <c r="Q1517" s="10">
        <f t="shared" ref="Q1517" si="609">I1517+M1517</f>
        <v>0</v>
      </c>
      <c r="R1517" s="10">
        <f t="shared" ref="R1517" si="610">J1517+N1517</f>
        <v>30000</v>
      </c>
      <c r="S1517" s="10">
        <f t="shared" ref="S1517" si="611">K1517+O1517</f>
        <v>30000</v>
      </c>
    </row>
    <row r="1518" spans="2:19" x14ac:dyDescent="0.25">
      <c r="B1518" s="73">
        <f t="shared" si="602"/>
        <v>33</v>
      </c>
      <c r="C1518" s="38"/>
      <c r="D1518" s="38"/>
      <c r="E1518" s="38">
        <v>2</v>
      </c>
      <c r="F1518" s="38"/>
      <c r="G1518" s="95"/>
      <c r="H1518" s="38" t="s">
        <v>48</v>
      </c>
      <c r="I1518" s="39">
        <f>I1519</f>
        <v>136800</v>
      </c>
      <c r="J1518" s="39">
        <f t="shared" ref="J1518" si="612">J1519</f>
        <v>0</v>
      </c>
      <c r="K1518" s="39">
        <f t="shared" si="600"/>
        <v>136800</v>
      </c>
      <c r="L1518" s="138"/>
      <c r="M1518" s="39"/>
      <c r="N1518" s="39"/>
      <c r="O1518" s="39">
        <f t="shared" si="601"/>
        <v>0</v>
      </c>
      <c r="Q1518" s="39">
        <f t="shared" si="595"/>
        <v>136800</v>
      </c>
      <c r="R1518" s="39">
        <f t="shared" si="596"/>
        <v>0</v>
      </c>
      <c r="S1518" s="39">
        <f t="shared" si="597"/>
        <v>136800</v>
      </c>
    </row>
    <row r="1519" spans="2:19" hidden="1" x14ac:dyDescent="0.25">
      <c r="B1519" s="73">
        <f t="shared" si="602"/>
        <v>34</v>
      </c>
      <c r="C1519" s="21"/>
      <c r="D1519" s="21"/>
      <c r="E1519" s="21"/>
      <c r="F1519" s="42" t="s">
        <v>249</v>
      </c>
      <c r="G1519" s="97">
        <v>630</v>
      </c>
      <c r="H1519" s="21" t="s">
        <v>218</v>
      </c>
      <c r="I1519" s="15">
        <f>SUM(I1520:I1523)</f>
        <v>136800</v>
      </c>
      <c r="J1519" s="15">
        <f t="shared" ref="J1519" si="613">SUM(J1520:J1523)</f>
        <v>0</v>
      </c>
      <c r="K1519" s="15">
        <f t="shared" si="600"/>
        <v>136800</v>
      </c>
      <c r="L1519" s="130"/>
      <c r="M1519" s="15"/>
      <c r="N1519" s="15"/>
      <c r="O1519" s="15">
        <f t="shared" si="601"/>
        <v>0</v>
      </c>
      <c r="Q1519" s="15">
        <f t="shared" si="595"/>
        <v>136800</v>
      </c>
      <c r="R1519" s="15">
        <f t="shared" si="596"/>
        <v>0</v>
      </c>
      <c r="S1519" s="15">
        <f t="shared" si="597"/>
        <v>136800</v>
      </c>
    </row>
    <row r="1520" spans="2:19" x14ac:dyDescent="0.25">
      <c r="B1520" s="73">
        <f t="shared" si="602"/>
        <v>35</v>
      </c>
      <c r="C1520" s="9"/>
      <c r="D1520" s="9"/>
      <c r="E1520" s="9"/>
      <c r="F1520" s="43" t="s">
        <v>249</v>
      </c>
      <c r="G1520" s="98">
        <v>632</v>
      </c>
      <c r="H1520" s="9" t="s">
        <v>229</v>
      </c>
      <c r="I1520" s="10">
        <v>115000</v>
      </c>
      <c r="J1520" s="10"/>
      <c r="K1520" s="10">
        <f t="shared" si="600"/>
        <v>115000</v>
      </c>
      <c r="L1520" s="131"/>
      <c r="M1520" s="10"/>
      <c r="N1520" s="10"/>
      <c r="O1520" s="10">
        <f t="shared" si="601"/>
        <v>0</v>
      </c>
      <c r="Q1520" s="10">
        <f t="shared" si="595"/>
        <v>115000</v>
      </c>
      <c r="R1520" s="10">
        <f t="shared" si="596"/>
        <v>0</v>
      </c>
      <c r="S1520" s="10">
        <f t="shared" si="597"/>
        <v>115000</v>
      </c>
    </row>
    <row r="1521" spans="2:19" x14ac:dyDescent="0.25">
      <c r="B1521" s="73">
        <f t="shared" si="602"/>
        <v>36</v>
      </c>
      <c r="C1521" s="9"/>
      <c r="D1521" s="9"/>
      <c r="E1521" s="9"/>
      <c r="F1521" s="43" t="s">
        <v>249</v>
      </c>
      <c r="G1521" s="98">
        <v>633</v>
      </c>
      <c r="H1521" s="9" t="s">
        <v>220</v>
      </c>
      <c r="I1521" s="10">
        <f>2500+1000</f>
        <v>3500</v>
      </c>
      <c r="J1521" s="10"/>
      <c r="K1521" s="10">
        <f t="shared" si="600"/>
        <v>3500</v>
      </c>
      <c r="L1521" s="131"/>
      <c r="M1521" s="10"/>
      <c r="N1521" s="10"/>
      <c r="O1521" s="10">
        <f t="shared" si="601"/>
        <v>0</v>
      </c>
      <c r="Q1521" s="10">
        <f t="shared" si="595"/>
        <v>3500</v>
      </c>
      <c r="R1521" s="10">
        <f t="shared" si="596"/>
        <v>0</v>
      </c>
      <c r="S1521" s="10">
        <f t="shared" si="597"/>
        <v>3500</v>
      </c>
    </row>
    <row r="1522" spans="2:19" x14ac:dyDescent="0.25">
      <c r="B1522" s="73">
        <f t="shared" si="602"/>
        <v>37</v>
      </c>
      <c r="C1522" s="9"/>
      <c r="D1522" s="9"/>
      <c r="E1522" s="9"/>
      <c r="F1522" s="43" t="s">
        <v>249</v>
      </c>
      <c r="G1522" s="98">
        <v>635</v>
      </c>
      <c r="H1522" s="9" t="s">
        <v>234</v>
      </c>
      <c r="I1522" s="10">
        <v>10500</v>
      </c>
      <c r="J1522" s="10"/>
      <c r="K1522" s="10">
        <f t="shared" si="600"/>
        <v>10500</v>
      </c>
      <c r="L1522" s="131"/>
      <c r="M1522" s="10"/>
      <c r="N1522" s="10"/>
      <c r="O1522" s="10">
        <f t="shared" si="601"/>
        <v>0</v>
      </c>
      <c r="Q1522" s="10">
        <f t="shared" si="595"/>
        <v>10500</v>
      </c>
      <c r="R1522" s="10">
        <f t="shared" si="596"/>
        <v>0</v>
      </c>
      <c r="S1522" s="10">
        <f t="shared" si="597"/>
        <v>10500</v>
      </c>
    </row>
    <row r="1523" spans="2:19" x14ac:dyDescent="0.25">
      <c r="B1523" s="73">
        <f t="shared" si="602"/>
        <v>38</v>
      </c>
      <c r="C1523" s="9"/>
      <c r="D1523" s="9"/>
      <c r="E1523" s="9"/>
      <c r="F1523" s="43" t="s">
        <v>249</v>
      </c>
      <c r="G1523" s="98">
        <v>637</v>
      </c>
      <c r="H1523" s="9" t="s">
        <v>223</v>
      </c>
      <c r="I1523" s="10">
        <v>7800</v>
      </c>
      <c r="J1523" s="10"/>
      <c r="K1523" s="10">
        <f t="shared" si="600"/>
        <v>7800</v>
      </c>
      <c r="L1523" s="131"/>
      <c r="M1523" s="10"/>
      <c r="N1523" s="10"/>
      <c r="O1523" s="10">
        <f t="shared" si="601"/>
        <v>0</v>
      </c>
      <c r="Q1523" s="10">
        <f t="shared" si="595"/>
        <v>7800</v>
      </c>
      <c r="R1523" s="10">
        <f t="shared" si="596"/>
        <v>0</v>
      </c>
      <c r="S1523" s="10">
        <f t="shared" si="597"/>
        <v>7800</v>
      </c>
    </row>
    <row r="1524" spans="2:19" ht="15.75" x14ac:dyDescent="0.25">
      <c r="B1524" s="73">
        <f t="shared" si="602"/>
        <v>39</v>
      </c>
      <c r="C1524" s="34">
        <v>4</v>
      </c>
      <c r="D1524" s="227" t="s">
        <v>336</v>
      </c>
      <c r="E1524" s="228"/>
      <c r="F1524" s="228"/>
      <c r="G1524" s="228"/>
      <c r="H1524" s="229"/>
      <c r="I1524" s="35">
        <v>0</v>
      </c>
      <c r="J1524" s="35">
        <v>0</v>
      </c>
      <c r="K1524" s="35">
        <f t="shared" si="600"/>
        <v>0</v>
      </c>
      <c r="L1524" s="135"/>
      <c r="M1524" s="35">
        <f>M1525</f>
        <v>18320</v>
      </c>
      <c r="N1524" s="35">
        <f t="shared" ref="N1524:N1525" si="614">N1525</f>
        <v>0</v>
      </c>
      <c r="O1524" s="35">
        <f t="shared" si="601"/>
        <v>18320</v>
      </c>
      <c r="Q1524" s="35">
        <f t="shared" si="595"/>
        <v>18320</v>
      </c>
      <c r="R1524" s="35">
        <f t="shared" si="596"/>
        <v>0</v>
      </c>
      <c r="S1524" s="35">
        <f t="shared" si="597"/>
        <v>18320</v>
      </c>
    </row>
    <row r="1525" spans="2:19" x14ac:dyDescent="0.25">
      <c r="B1525" s="73">
        <f t="shared" si="602"/>
        <v>40</v>
      </c>
      <c r="C1525" s="21"/>
      <c r="D1525" s="21"/>
      <c r="E1525" s="21"/>
      <c r="F1525" s="42" t="s">
        <v>249</v>
      </c>
      <c r="G1525" s="97">
        <v>710</v>
      </c>
      <c r="H1525" s="21" t="s">
        <v>235</v>
      </c>
      <c r="I1525" s="15"/>
      <c r="J1525" s="15"/>
      <c r="K1525" s="15">
        <f t="shared" si="600"/>
        <v>0</v>
      </c>
      <c r="L1525" s="130"/>
      <c r="M1525" s="15">
        <f>M1526</f>
        <v>18320</v>
      </c>
      <c r="N1525" s="15">
        <f t="shared" si="614"/>
        <v>0</v>
      </c>
      <c r="O1525" s="15">
        <f t="shared" si="601"/>
        <v>18320</v>
      </c>
      <c r="Q1525" s="15">
        <f t="shared" si="595"/>
        <v>18320</v>
      </c>
      <c r="R1525" s="15">
        <f t="shared" si="596"/>
        <v>0</v>
      </c>
      <c r="S1525" s="15">
        <f t="shared" si="597"/>
        <v>18320</v>
      </c>
    </row>
    <row r="1526" spans="2:19" x14ac:dyDescent="0.25">
      <c r="B1526" s="73">
        <f t="shared" si="602"/>
        <v>41</v>
      </c>
      <c r="C1526" s="9"/>
      <c r="D1526" s="9"/>
      <c r="E1526" s="9"/>
      <c r="F1526" s="43" t="s">
        <v>249</v>
      </c>
      <c r="G1526" s="98">
        <v>717</v>
      </c>
      <c r="H1526" s="9" t="s">
        <v>240</v>
      </c>
      <c r="I1526" s="10"/>
      <c r="J1526" s="10"/>
      <c r="K1526" s="10">
        <f t="shared" si="600"/>
        <v>0</v>
      </c>
      <c r="L1526" s="131"/>
      <c r="M1526" s="10">
        <v>18320</v>
      </c>
      <c r="N1526" s="10"/>
      <c r="O1526" s="10">
        <f t="shared" si="601"/>
        <v>18320</v>
      </c>
      <c r="Q1526" s="10">
        <f t="shared" si="595"/>
        <v>18320</v>
      </c>
      <c r="R1526" s="10">
        <f t="shared" si="596"/>
        <v>0</v>
      </c>
      <c r="S1526" s="10">
        <f t="shared" si="597"/>
        <v>18320</v>
      </c>
    </row>
    <row r="1527" spans="2:19" x14ac:dyDescent="0.25">
      <c r="B1527"/>
      <c r="G1527"/>
      <c r="I1527"/>
      <c r="J1527"/>
      <c r="K1527"/>
      <c r="L1527"/>
      <c r="M1527"/>
    </row>
    <row r="1528" spans="2:19" hidden="1" x14ac:dyDescent="0.25"/>
    <row r="1530" spans="2:19" ht="27" x14ac:dyDescent="0.35">
      <c r="B1530" s="231" t="s">
        <v>337</v>
      </c>
      <c r="C1530" s="232"/>
      <c r="D1530" s="232"/>
      <c r="E1530" s="232"/>
      <c r="F1530" s="232"/>
      <c r="G1530" s="232"/>
      <c r="H1530" s="232"/>
      <c r="I1530" s="232"/>
      <c r="J1530" s="232"/>
      <c r="K1530" s="232"/>
      <c r="L1530" s="232"/>
      <c r="M1530" s="232"/>
    </row>
    <row r="1531" spans="2:19" x14ac:dyDescent="0.25">
      <c r="B1531" s="233" t="s">
        <v>208</v>
      </c>
      <c r="C1531" s="234"/>
      <c r="D1531" s="234"/>
      <c r="E1531" s="234"/>
      <c r="F1531" s="234"/>
      <c r="G1531" s="234"/>
      <c r="H1531" s="234"/>
      <c r="I1531" s="234"/>
      <c r="J1531" s="234"/>
      <c r="K1531" s="234"/>
      <c r="L1531" s="234"/>
      <c r="M1531" s="235"/>
      <c r="N1531" s="169"/>
      <c r="O1531" s="170"/>
      <c r="Q1531" s="236" t="s">
        <v>563</v>
      </c>
      <c r="R1531" s="221" t="s">
        <v>635</v>
      </c>
      <c r="S1531" s="221" t="s">
        <v>636</v>
      </c>
    </row>
    <row r="1532" spans="2:19" x14ac:dyDescent="0.25">
      <c r="B1532" s="237"/>
      <c r="C1532" s="240" t="s">
        <v>209</v>
      </c>
      <c r="D1532" s="240" t="s">
        <v>210</v>
      </c>
      <c r="E1532" s="240" t="s">
        <v>211</v>
      </c>
      <c r="F1532" s="240" t="s">
        <v>212</v>
      </c>
      <c r="G1532" s="243" t="s">
        <v>213</v>
      </c>
      <c r="H1532" s="245" t="s">
        <v>214</v>
      </c>
      <c r="I1532" s="248" t="s">
        <v>561</v>
      </c>
      <c r="J1532" s="222" t="s">
        <v>635</v>
      </c>
      <c r="K1532" s="222" t="s">
        <v>637</v>
      </c>
      <c r="L1532" s="129"/>
      <c r="M1532" s="250" t="s">
        <v>562</v>
      </c>
      <c r="N1532" s="222" t="s">
        <v>635</v>
      </c>
      <c r="O1532" s="222" t="s">
        <v>638</v>
      </c>
      <c r="Q1532" s="236"/>
      <c r="R1532" s="222"/>
      <c r="S1532" s="222"/>
    </row>
    <row r="1533" spans="2:19" x14ac:dyDescent="0.25">
      <c r="B1533" s="238"/>
      <c r="C1533" s="241"/>
      <c r="D1533" s="241"/>
      <c r="E1533" s="241"/>
      <c r="F1533" s="241"/>
      <c r="G1533" s="243"/>
      <c r="H1533" s="246"/>
      <c r="I1533" s="248"/>
      <c r="J1533" s="222"/>
      <c r="K1533" s="222"/>
      <c r="L1533" s="129"/>
      <c r="M1533" s="250"/>
      <c r="N1533" s="222"/>
      <c r="O1533" s="222"/>
      <c r="Q1533" s="236"/>
      <c r="R1533" s="222"/>
      <c r="S1533" s="222"/>
    </row>
    <row r="1534" spans="2:19" ht="15.75" thickBot="1" x14ac:dyDescent="0.3">
      <c r="B1534" s="238"/>
      <c r="C1534" s="241"/>
      <c r="D1534" s="241"/>
      <c r="E1534" s="241"/>
      <c r="F1534" s="241"/>
      <c r="G1534" s="243"/>
      <c r="H1534" s="246"/>
      <c r="I1534" s="248"/>
      <c r="J1534" s="222"/>
      <c r="K1534" s="222"/>
      <c r="L1534" s="129"/>
      <c r="M1534" s="250"/>
      <c r="N1534" s="222"/>
      <c r="O1534" s="222"/>
      <c r="Q1534" s="236"/>
      <c r="R1534" s="222"/>
      <c r="S1534" s="222"/>
    </row>
    <row r="1535" spans="2:19" ht="15.75" hidden="1" thickBot="1" x14ac:dyDescent="0.3">
      <c r="B1535" s="239"/>
      <c r="C1535" s="242"/>
      <c r="D1535" s="242"/>
      <c r="E1535" s="242"/>
      <c r="F1535" s="242"/>
      <c r="G1535" s="244"/>
      <c r="H1535" s="247"/>
      <c r="I1535" s="249"/>
      <c r="J1535" s="223"/>
      <c r="K1535" s="223"/>
      <c r="L1535" s="129"/>
      <c r="M1535" s="251"/>
      <c r="N1535" s="223"/>
      <c r="O1535" s="223"/>
      <c r="Q1535" s="236"/>
      <c r="R1535" s="223"/>
      <c r="S1535" s="223"/>
    </row>
    <row r="1536" spans="2:19" ht="16.5" thickTop="1" x14ac:dyDescent="0.25">
      <c r="B1536" s="74">
        <v>1</v>
      </c>
      <c r="C1536" s="224" t="s">
        <v>337</v>
      </c>
      <c r="D1536" s="225"/>
      <c r="E1536" s="225"/>
      <c r="F1536" s="225"/>
      <c r="G1536" s="225"/>
      <c r="H1536" s="226"/>
      <c r="I1536" s="33">
        <f>I1537+I1582+I1593+I1608+I1612+I1619</f>
        <v>3642890</v>
      </c>
      <c r="J1536" s="33">
        <f>J1537+J1582+J1593+J1608+J1612+J1619</f>
        <v>-323600</v>
      </c>
      <c r="K1536" s="33">
        <f>I1536+J1536</f>
        <v>3319290</v>
      </c>
      <c r="L1536" s="134"/>
      <c r="M1536" s="33">
        <f>M1537+M1582+M1593+M1608+M1612+M1619</f>
        <v>197770</v>
      </c>
      <c r="N1536" s="33">
        <f>N1537+N1582+N1593+N1608+N1612+N1619</f>
        <v>100000</v>
      </c>
      <c r="O1536" s="33">
        <f>M1536+N1536</f>
        <v>297770</v>
      </c>
      <c r="Q1536" s="33">
        <f t="shared" ref="Q1536:Q1601" si="615">I1536+M1536</f>
        <v>3840660</v>
      </c>
      <c r="R1536" s="33">
        <f t="shared" ref="R1536:R1601" si="616">J1536+N1536</f>
        <v>-223600</v>
      </c>
      <c r="S1536" s="33">
        <f t="shared" ref="S1536:S1601" si="617">K1536+O1536</f>
        <v>3617060</v>
      </c>
    </row>
    <row r="1537" spans="2:19" ht="15.75" x14ac:dyDescent="0.25">
      <c r="B1537" s="73">
        <f t="shared" ref="B1537:B1602" si="618">B1536+1</f>
        <v>2</v>
      </c>
      <c r="C1537" s="34">
        <v>1</v>
      </c>
      <c r="D1537" s="227" t="s">
        <v>338</v>
      </c>
      <c r="E1537" s="228"/>
      <c r="F1537" s="228"/>
      <c r="G1537" s="228"/>
      <c r="H1537" s="229"/>
      <c r="I1537" s="35">
        <f>I1538+I1540+I1552</f>
        <v>768990</v>
      </c>
      <c r="J1537" s="35">
        <f t="shared" ref="J1537" si="619">J1538+J1540+J1552</f>
        <v>0</v>
      </c>
      <c r="K1537" s="35">
        <f t="shared" ref="K1537:K1602" si="620">I1537+J1537</f>
        <v>768990</v>
      </c>
      <c r="L1537" s="135"/>
      <c r="M1537" s="35">
        <f>M1543+M1546+M1552</f>
        <v>129210</v>
      </c>
      <c r="N1537" s="35">
        <f t="shared" ref="N1537" si="621">N1543+N1546+N1552</f>
        <v>100000</v>
      </c>
      <c r="O1537" s="35">
        <f t="shared" ref="O1537:O1602" si="622">M1537+N1537</f>
        <v>229210</v>
      </c>
      <c r="Q1537" s="35">
        <f t="shared" si="615"/>
        <v>898200</v>
      </c>
      <c r="R1537" s="35">
        <f t="shared" si="616"/>
        <v>100000</v>
      </c>
      <c r="S1537" s="35">
        <f t="shared" si="617"/>
        <v>998200</v>
      </c>
    </row>
    <row r="1538" spans="2:19" x14ac:dyDescent="0.25">
      <c r="B1538" s="73">
        <f>B1537+1</f>
        <v>3</v>
      </c>
      <c r="C1538" s="21"/>
      <c r="D1538" s="21"/>
      <c r="E1538" s="21"/>
      <c r="F1538" s="42" t="s">
        <v>339</v>
      </c>
      <c r="G1538" s="97">
        <v>630</v>
      </c>
      <c r="H1538" s="21" t="s">
        <v>218</v>
      </c>
      <c r="I1538" s="15">
        <f>I1539</f>
        <v>6000</v>
      </c>
      <c r="J1538" s="15">
        <f t="shared" ref="J1538" si="623">J1539</f>
        <v>0</v>
      </c>
      <c r="K1538" s="15">
        <f t="shared" si="620"/>
        <v>6000</v>
      </c>
      <c r="L1538" s="130"/>
      <c r="M1538" s="15"/>
      <c r="N1538" s="15"/>
      <c r="O1538" s="15">
        <f t="shared" si="622"/>
        <v>0</v>
      </c>
      <c r="Q1538" s="15">
        <f t="shared" si="615"/>
        <v>6000</v>
      </c>
      <c r="R1538" s="15">
        <f t="shared" si="616"/>
        <v>0</v>
      </c>
      <c r="S1538" s="15">
        <f t="shared" si="617"/>
        <v>6000</v>
      </c>
    </row>
    <row r="1539" spans="2:19" x14ac:dyDescent="0.25">
      <c r="B1539" s="73">
        <f t="shared" si="618"/>
        <v>4</v>
      </c>
      <c r="C1539" s="9"/>
      <c r="D1539" s="9"/>
      <c r="E1539" s="9"/>
      <c r="F1539" s="43" t="s">
        <v>339</v>
      </c>
      <c r="G1539" s="98">
        <v>635</v>
      </c>
      <c r="H1539" s="9" t="s">
        <v>234</v>
      </c>
      <c r="I1539" s="10">
        <v>6000</v>
      </c>
      <c r="J1539" s="10"/>
      <c r="K1539" s="10">
        <f t="shared" si="620"/>
        <v>6000</v>
      </c>
      <c r="L1539" s="131"/>
      <c r="M1539" s="10"/>
      <c r="N1539" s="10"/>
      <c r="O1539" s="10">
        <f t="shared" si="622"/>
        <v>0</v>
      </c>
      <c r="Q1539" s="10">
        <f t="shared" si="615"/>
        <v>6000</v>
      </c>
      <c r="R1539" s="10">
        <f t="shared" si="616"/>
        <v>0</v>
      </c>
      <c r="S1539" s="10">
        <f t="shared" si="617"/>
        <v>6000</v>
      </c>
    </row>
    <row r="1540" spans="2:19" x14ac:dyDescent="0.25">
      <c r="B1540" s="73">
        <f t="shared" si="618"/>
        <v>5</v>
      </c>
      <c r="C1540" s="21"/>
      <c r="D1540" s="21"/>
      <c r="E1540" s="21"/>
      <c r="F1540" s="42" t="s">
        <v>279</v>
      </c>
      <c r="G1540" s="97">
        <v>630</v>
      </c>
      <c r="H1540" s="21" t="s">
        <v>218</v>
      </c>
      <c r="I1540" s="15">
        <f>SUM(I1541:I1542)</f>
        <v>391000</v>
      </c>
      <c r="J1540" s="15">
        <f t="shared" ref="J1540" si="624">SUM(J1541:J1542)</f>
        <v>0</v>
      </c>
      <c r="K1540" s="15">
        <f t="shared" si="620"/>
        <v>391000</v>
      </c>
      <c r="L1540" s="130"/>
      <c r="M1540" s="15"/>
      <c r="N1540" s="15"/>
      <c r="O1540" s="15">
        <f t="shared" si="622"/>
        <v>0</v>
      </c>
      <c r="Q1540" s="15">
        <f t="shared" si="615"/>
        <v>391000</v>
      </c>
      <c r="R1540" s="15">
        <f t="shared" si="616"/>
        <v>0</v>
      </c>
      <c r="S1540" s="15">
        <f t="shared" si="617"/>
        <v>391000</v>
      </c>
    </row>
    <row r="1541" spans="2:19" x14ac:dyDescent="0.25">
      <c r="B1541" s="73">
        <f t="shared" si="618"/>
        <v>6</v>
      </c>
      <c r="C1541" s="9"/>
      <c r="D1541" s="9"/>
      <c r="E1541" s="9"/>
      <c r="F1541" s="43" t="s">
        <v>279</v>
      </c>
      <c r="G1541" s="98">
        <v>635</v>
      </c>
      <c r="H1541" s="9" t="s">
        <v>234</v>
      </c>
      <c r="I1541" s="10">
        <v>390000</v>
      </c>
      <c r="J1541" s="10"/>
      <c r="K1541" s="10">
        <f t="shared" si="620"/>
        <v>390000</v>
      </c>
      <c r="L1541" s="131"/>
      <c r="M1541" s="10"/>
      <c r="N1541" s="10"/>
      <c r="O1541" s="10">
        <f t="shared" si="622"/>
        <v>0</v>
      </c>
      <c r="Q1541" s="10">
        <f t="shared" si="615"/>
        <v>390000</v>
      </c>
      <c r="R1541" s="10">
        <f t="shared" si="616"/>
        <v>0</v>
      </c>
      <c r="S1541" s="10">
        <f t="shared" si="617"/>
        <v>390000</v>
      </c>
    </row>
    <row r="1542" spans="2:19" x14ac:dyDescent="0.25">
      <c r="B1542" s="73">
        <f t="shared" si="618"/>
        <v>7</v>
      </c>
      <c r="C1542" s="9"/>
      <c r="D1542" s="9"/>
      <c r="E1542" s="9"/>
      <c r="F1542" s="43" t="s">
        <v>279</v>
      </c>
      <c r="G1542" s="98">
        <v>637</v>
      </c>
      <c r="H1542" s="9" t="s">
        <v>223</v>
      </c>
      <c r="I1542" s="10">
        <v>1000</v>
      </c>
      <c r="J1542" s="10"/>
      <c r="K1542" s="10">
        <f t="shared" si="620"/>
        <v>1000</v>
      </c>
      <c r="L1542" s="131"/>
      <c r="M1542" s="10"/>
      <c r="N1542" s="10"/>
      <c r="O1542" s="10">
        <f t="shared" si="622"/>
        <v>0</v>
      </c>
      <c r="Q1542" s="10">
        <f t="shared" si="615"/>
        <v>1000</v>
      </c>
      <c r="R1542" s="10">
        <f t="shared" si="616"/>
        <v>0</v>
      </c>
      <c r="S1542" s="10">
        <f t="shared" si="617"/>
        <v>1000</v>
      </c>
    </row>
    <row r="1543" spans="2:19" x14ac:dyDescent="0.25">
      <c r="B1543" s="73">
        <f t="shared" si="618"/>
        <v>8</v>
      </c>
      <c r="C1543" s="21"/>
      <c r="D1543" s="21"/>
      <c r="E1543" s="21"/>
      <c r="F1543" s="42" t="s">
        <v>339</v>
      </c>
      <c r="G1543" s="97">
        <v>710</v>
      </c>
      <c r="H1543" s="21" t="s">
        <v>235</v>
      </c>
      <c r="I1543" s="15"/>
      <c r="J1543" s="15"/>
      <c r="K1543" s="15">
        <f t="shared" si="620"/>
        <v>0</v>
      </c>
      <c r="L1543" s="130"/>
      <c r="M1543" s="15">
        <f>M1544</f>
        <v>16000</v>
      </c>
      <c r="N1543" s="15">
        <f t="shared" ref="N1543:N1544" si="625">N1544</f>
        <v>0</v>
      </c>
      <c r="O1543" s="15">
        <f t="shared" si="622"/>
        <v>16000</v>
      </c>
      <c r="Q1543" s="15">
        <f t="shared" si="615"/>
        <v>16000</v>
      </c>
      <c r="R1543" s="15">
        <f t="shared" si="616"/>
        <v>0</v>
      </c>
      <c r="S1543" s="15">
        <f t="shared" si="617"/>
        <v>16000</v>
      </c>
    </row>
    <row r="1544" spans="2:19" hidden="1" x14ac:dyDescent="0.25">
      <c r="B1544" s="73">
        <f t="shared" si="618"/>
        <v>9</v>
      </c>
      <c r="C1544" s="9"/>
      <c r="D1544" s="9"/>
      <c r="E1544" s="9"/>
      <c r="F1544" s="43" t="s">
        <v>339</v>
      </c>
      <c r="G1544" s="98">
        <v>717</v>
      </c>
      <c r="H1544" s="9" t="s">
        <v>240</v>
      </c>
      <c r="I1544" s="10"/>
      <c r="J1544" s="10"/>
      <c r="K1544" s="10">
        <f t="shared" si="620"/>
        <v>0</v>
      </c>
      <c r="L1544" s="131"/>
      <c r="M1544" s="10">
        <f>M1545</f>
        <v>16000</v>
      </c>
      <c r="N1544" s="10">
        <f t="shared" si="625"/>
        <v>0</v>
      </c>
      <c r="O1544" s="10">
        <f t="shared" si="622"/>
        <v>16000</v>
      </c>
      <c r="Q1544" s="10">
        <f t="shared" si="615"/>
        <v>16000</v>
      </c>
      <c r="R1544" s="10">
        <f t="shared" si="616"/>
        <v>0</v>
      </c>
      <c r="S1544" s="10">
        <f t="shared" si="617"/>
        <v>16000</v>
      </c>
    </row>
    <row r="1545" spans="2:19" x14ac:dyDescent="0.25">
      <c r="B1545" s="73">
        <f t="shared" si="618"/>
        <v>10</v>
      </c>
      <c r="C1545" s="12"/>
      <c r="D1545" s="12"/>
      <c r="E1545" s="12"/>
      <c r="F1545" s="12"/>
      <c r="G1545" s="99"/>
      <c r="H1545" s="12" t="s">
        <v>580</v>
      </c>
      <c r="I1545" s="13"/>
      <c r="J1545" s="13"/>
      <c r="K1545" s="13">
        <f t="shared" si="620"/>
        <v>0</v>
      </c>
      <c r="L1545" s="132"/>
      <c r="M1545" s="13">
        <v>16000</v>
      </c>
      <c r="N1545" s="13"/>
      <c r="O1545" s="13">
        <f t="shared" si="622"/>
        <v>16000</v>
      </c>
      <c r="Q1545" s="13">
        <f t="shared" si="615"/>
        <v>16000</v>
      </c>
      <c r="R1545" s="13">
        <f t="shared" si="616"/>
        <v>0</v>
      </c>
      <c r="S1545" s="13">
        <f t="shared" si="617"/>
        <v>16000</v>
      </c>
    </row>
    <row r="1546" spans="2:19" x14ac:dyDescent="0.25">
      <c r="B1546" s="73">
        <f t="shared" si="618"/>
        <v>11</v>
      </c>
      <c r="C1546" s="21"/>
      <c r="D1546" s="21"/>
      <c r="E1546" s="21"/>
      <c r="F1546" s="42" t="s">
        <v>279</v>
      </c>
      <c r="G1546" s="97">
        <v>710</v>
      </c>
      <c r="H1546" s="21" t="s">
        <v>235</v>
      </c>
      <c r="I1546" s="15"/>
      <c r="J1546" s="15"/>
      <c r="K1546" s="15">
        <f t="shared" si="620"/>
        <v>0</v>
      </c>
      <c r="L1546" s="130"/>
      <c r="M1546" s="15">
        <f>M1547</f>
        <v>19000</v>
      </c>
      <c r="N1546" s="15">
        <f t="shared" ref="N1546" si="626">N1547</f>
        <v>100000</v>
      </c>
      <c r="O1546" s="15">
        <f t="shared" si="622"/>
        <v>119000</v>
      </c>
      <c r="Q1546" s="15">
        <f t="shared" si="615"/>
        <v>19000</v>
      </c>
      <c r="R1546" s="15">
        <f t="shared" si="616"/>
        <v>100000</v>
      </c>
      <c r="S1546" s="15">
        <f t="shared" si="617"/>
        <v>119000</v>
      </c>
    </row>
    <row r="1547" spans="2:19" x14ac:dyDescent="0.25">
      <c r="B1547" s="73">
        <f t="shared" si="618"/>
        <v>12</v>
      </c>
      <c r="C1547" s="9"/>
      <c r="D1547" s="9"/>
      <c r="E1547" s="9"/>
      <c r="F1547" s="43" t="s">
        <v>279</v>
      </c>
      <c r="G1547" s="98">
        <v>717</v>
      </c>
      <c r="H1547" s="9" t="s">
        <v>240</v>
      </c>
      <c r="I1547" s="10"/>
      <c r="J1547" s="10"/>
      <c r="K1547" s="10">
        <f t="shared" si="620"/>
        <v>0</v>
      </c>
      <c r="L1547" s="131"/>
      <c r="M1547" s="10">
        <f>SUM(M1548:M1550)</f>
        <v>19000</v>
      </c>
      <c r="N1547" s="10">
        <f>SUM(N1548:N1551)</f>
        <v>100000</v>
      </c>
      <c r="O1547" s="10">
        <f t="shared" si="622"/>
        <v>119000</v>
      </c>
      <c r="Q1547" s="10">
        <f t="shared" si="615"/>
        <v>19000</v>
      </c>
      <c r="R1547" s="10">
        <f t="shared" si="616"/>
        <v>100000</v>
      </c>
      <c r="S1547" s="10">
        <f t="shared" si="617"/>
        <v>119000</v>
      </c>
    </row>
    <row r="1548" spans="2:19" x14ac:dyDescent="0.25">
      <c r="B1548" s="73">
        <f t="shared" si="618"/>
        <v>13</v>
      </c>
      <c r="C1548" s="12"/>
      <c r="D1548" s="12"/>
      <c r="E1548" s="12"/>
      <c r="F1548" s="12"/>
      <c r="G1548" s="99"/>
      <c r="H1548" s="67" t="s">
        <v>536</v>
      </c>
      <c r="I1548" s="13"/>
      <c r="J1548" s="13"/>
      <c r="K1548" s="13">
        <f t="shared" si="620"/>
        <v>0</v>
      </c>
      <c r="L1548" s="132"/>
      <c r="M1548" s="13">
        <v>7000</v>
      </c>
      <c r="N1548" s="13"/>
      <c r="O1548" s="13">
        <f t="shared" si="622"/>
        <v>7000</v>
      </c>
      <c r="Q1548" s="13">
        <f t="shared" si="615"/>
        <v>7000</v>
      </c>
      <c r="R1548" s="13">
        <f t="shared" si="616"/>
        <v>0</v>
      </c>
      <c r="S1548" s="13">
        <f t="shared" si="617"/>
        <v>7000</v>
      </c>
    </row>
    <row r="1549" spans="2:19" x14ac:dyDescent="0.25">
      <c r="B1549" s="73">
        <f t="shared" si="618"/>
        <v>14</v>
      </c>
      <c r="C1549" s="12"/>
      <c r="D1549" s="12"/>
      <c r="E1549" s="12"/>
      <c r="F1549" s="12"/>
      <c r="G1549" s="99"/>
      <c r="H1549" s="67" t="s">
        <v>537</v>
      </c>
      <c r="I1549" s="13"/>
      <c r="J1549" s="13"/>
      <c r="K1549" s="13">
        <f t="shared" si="620"/>
        <v>0</v>
      </c>
      <c r="L1549" s="132"/>
      <c r="M1549" s="13">
        <v>3000</v>
      </c>
      <c r="N1549" s="13"/>
      <c r="O1549" s="13">
        <f t="shared" si="622"/>
        <v>3000</v>
      </c>
      <c r="Q1549" s="13">
        <f t="shared" si="615"/>
        <v>3000</v>
      </c>
      <c r="R1549" s="13">
        <f t="shared" si="616"/>
        <v>0</v>
      </c>
      <c r="S1549" s="13">
        <f t="shared" si="617"/>
        <v>3000</v>
      </c>
    </row>
    <row r="1550" spans="2:19" x14ac:dyDescent="0.25">
      <c r="B1550" s="73">
        <f t="shared" si="618"/>
        <v>15</v>
      </c>
      <c r="C1550" s="12"/>
      <c r="D1550" s="12"/>
      <c r="E1550" s="12"/>
      <c r="F1550" s="12"/>
      <c r="G1550" s="99"/>
      <c r="H1550" s="67" t="s">
        <v>538</v>
      </c>
      <c r="I1550" s="13"/>
      <c r="J1550" s="13"/>
      <c r="K1550" s="13">
        <f t="shared" si="620"/>
        <v>0</v>
      </c>
      <c r="L1550" s="132"/>
      <c r="M1550" s="13">
        <v>9000</v>
      </c>
      <c r="N1550" s="13"/>
      <c r="O1550" s="13">
        <f t="shared" si="622"/>
        <v>9000</v>
      </c>
      <c r="Q1550" s="13">
        <f t="shared" si="615"/>
        <v>9000</v>
      </c>
      <c r="R1550" s="13">
        <f t="shared" si="616"/>
        <v>0</v>
      </c>
      <c r="S1550" s="13">
        <f t="shared" si="617"/>
        <v>9000</v>
      </c>
    </row>
    <row r="1551" spans="2:19" x14ac:dyDescent="0.25">
      <c r="B1551" s="73">
        <f t="shared" si="618"/>
        <v>16</v>
      </c>
      <c r="C1551" s="12"/>
      <c r="D1551" s="12"/>
      <c r="E1551" s="12"/>
      <c r="F1551" s="12"/>
      <c r="G1551" s="99"/>
      <c r="H1551" s="67" t="s">
        <v>656</v>
      </c>
      <c r="I1551" s="13"/>
      <c r="J1551" s="13"/>
      <c r="K1551" s="13">
        <v>0</v>
      </c>
      <c r="L1551" s="132"/>
      <c r="M1551" s="13">
        <v>0</v>
      </c>
      <c r="N1551" s="13">
        <v>100000</v>
      </c>
      <c r="O1551" s="13">
        <f t="shared" si="622"/>
        <v>100000</v>
      </c>
      <c r="Q1551" s="13">
        <f t="shared" ref="Q1551" si="627">I1551+M1551</f>
        <v>0</v>
      </c>
      <c r="R1551" s="13">
        <f t="shared" ref="R1551" si="628">J1551+N1551</f>
        <v>100000</v>
      </c>
      <c r="S1551" s="13">
        <f t="shared" ref="S1551" si="629">K1551+O1551</f>
        <v>100000</v>
      </c>
    </row>
    <row r="1552" spans="2:19" x14ac:dyDescent="0.25">
      <c r="B1552" s="73">
        <f t="shared" si="618"/>
        <v>17</v>
      </c>
      <c r="C1552" s="38"/>
      <c r="D1552" s="38"/>
      <c r="E1552" s="38">
        <v>2</v>
      </c>
      <c r="F1552" s="38"/>
      <c r="G1552" s="95"/>
      <c r="H1552" s="38" t="s">
        <v>48</v>
      </c>
      <c r="I1552" s="39">
        <f>I1553+I1554+I1555+I1562+I1563+I1564+I1565+I1573+I1574</f>
        <v>371990</v>
      </c>
      <c r="J1552" s="39">
        <f t="shared" ref="J1552" si="630">J1553+J1554+J1555+J1562+J1563+J1564+J1565+J1573+J1574</f>
        <v>0</v>
      </c>
      <c r="K1552" s="39">
        <f t="shared" si="620"/>
        <v>371990</v>
      </c>
      <c r="L1552" s="138"/>
      <c r="M1552" s="39">
        <f>M1575+M1577</f>
        <v>94210</v>
      </c>
      <c r="N1552" s="39">
        <f t="shared" ref="N1552" si="631">N1575+N1577</f>
        <v>0</v>
      </c>
      <c r="O1552" s="39">
        <f t="shared" si="622"/>
        <v>94210</v>
      </c>
      <c r="Q1552" s="39">
        <f t="shared" si="615"/>
        <v>466200</v>
      </c>
      <c r="R1552" s="39">
        <f t="shared" si="616"/>
        <v>0</v>
      </c>
      <c r="S1552" s="39">
        <f t="shared" si="617"/>
        <v>466200</v>
      </c>
    </row>
    <row r="1553" spans="2:19" x14ac:dyDescent="0.25">
      <c r="B1553" s="73">
        <f t="shared" si="618"/>
        <v>18</v>
      </c>
      <c r="C1553" s="21"/>
      <c r="D1553" s="21"/>
      <c r="E1553" s="21"/>
      <c r="F1553" s="42" t="s">
        <v>339</v>
      </c>
      <c r="G1553" s="97">
        <v>610</v>
      </c>
      <c r="H1553" s="21" t="s">
        <v>245</v>
      </c>
      <c r="I1553" s="15">
        <v>44150</v>
      </c>
      <c r="J1553" s="15"/>
      <c r="K1553" s="15">
        <f t="shared" si="620"/>
        <v>44150</v>
      </c>
      <c r="L1553" s="130"/>
      <c r="M1553" s="15"/>
      <c r="N1553" s="15"/>
      <c r="O1553" s="15">
        <f t="shared" si="622"/>
        <v>0</v>
      </c>
      <c r="Q1553" s="15">
        <f t="shared" si="615"/>
        <v>44150</v>
      </c>
      <c r="R1553" s="15">
        <f t="shared" si="616"/>
        <v>0</v>
      </c>
      <c r="S1553" s="15">
        <f t="shared" si="617"/>
        <v>44150</v>
      </c>
    </row>
    <row r="1554" spans="2:19" ht="15" customHeight="1" x14ac:dyDescent="0.25">
      <c r="B1554" s="73">
        <f t="shared" si="618"/>
        <v>19</v>
      </c>
      <c r="C1554" s="21"/>
      <c r="D1554" s="21"/>
      <c r="E1554" s="21"/>
      <c r="F1554" s="42" t="s">
        <v>339</v>
      </c>
      <c r="G1554" s="97">
        <v>620</v>
      </c>
      <c r="H1554" s="21" t="s">
        <v>228</v>
      </c>
      <c r="I1554" s="15">
        <v>15500</v>
      </c>
      <c r="J1554" s="15"/>
      <c r="K1554" s="15">
        <f t="shared" si="620"/>
        <v>15500</v>
      </c>
      <c r="L1554" s="130"/>
      <c r="M1554" s="15"/>
      <c r="N1554" s="15"/>
      <c r="O1554" s="15">
        <f t="shared" si="622"/>
        <v>0</v>
      </c>
      <c r="Q1554" s="15">
        <f t="shared" si="615"/>
        <v>15500</v>
      </c>
      <c r="R1554" s="15">
        <f t="shared" si="616"/>
        <v>0</v>
      </c>
      <c r="S1554" s="15">
        <f t="shared" si="617"/>
        <v>15500</v>
      </c>
    </row>
    <row r="1555" spans="2:19" x14ac:dyDescent="0.25">
      <c r="B1555" s="73">
        <f t="shared" si="618"/>
        <v>20</v>
      </c>
      <c r="C1555" s="21"/>
      <c r="D1555" s="21"/>
      <c r="E1555" s="21"/>
      <c r="F1555" s="42" t="s">
        <v>339</v>
      </c>
      <c r="G1555" s="97">
        <v>630</v>
      </c>
      <c r="H1555" s="21" t="s">
        <v>218</v>
      </c>
      <c r="I1555" s="15">
        <f>SUM(I1556:I1561)</f>
        <v>45870</v>
      </c>
      <c r="J1555" s="15">
        <f t="shared" ref="J1555" si="632">SUM(J1556:J1561)</f>
        <v>0</v>
      </c>
      <c r="K1555" s="15">
        <f t="shared" si="620"/>
        <v>45870</v>
      </c>
      <c r="L1555" s="130"/>
      <c r="M1555" s="15"/>
      <c r="N1555" s="15"/>
      <c r="O1555" s="15">
        <f t="shared" si="622"/>
        <v>0</v>
      </c>
      <c r="Q1555" s="15">
        <f t="shared" si="615"/>
        <v>45870</v>
      </c>
      <c r="R1555" s="15">
        <f t="shared" si="616"/>
        <v>0</v>
      </c>
      <c r="S1555" s="15">
        <f t="shared" si="617"/>
        <v>45870</v>
      </c>
    </row>
    <row r="1556" spans="2:19" x14ac:dyDescent="0.25">
      <c r="B1556" s="73">
        <f t="shared" si="618"/>
        <v>21</v>
      </c>
      <c r="C1556" s="9"/>
      <c r="D1556" s="9"/>
      <c r="E1556" s="9"/>
      <c r="F1556" s="43" t="s">
        <v>339</v>
      </c>
      <c r="G1556" s="98">
        <v>631</v>
      </c>
      <c r="H1556" s="9" t="s">
        <v>219</v>
      </c>
      <c r="I1556" s="10">
        <v>50</v>
      </c>
      <c r="J1556" s="10"/>
      <c r="K1556" s="10">
        <f t="shared" si="620"/>
        <v>50</v>
      </c>
      <c r="L1556" s="131"/>
      <c r="M1556" s="10"/>
      <c r="N1556" s="10"/>
      <c r="O1556" s="10">
        <f t="shared" si="622"/>
        <v>0</v>
      </c>
      <c r="Q1556" s="10">
        <f t="shared" si="615"/>
        <v>50</v>
      </c>
      <c r="R1556" s="10">
        <f t="shared" si="616"/>
        <v>0</v>
      </c>
      <c r="S1556" s="10">
        <f t="shared" si="617"/>
        <v>50</v>
      </c>
    </row>
    <row r="1557" spans="2:19" x14ac:dyDescent="0.25">
      <c r="B1557" s="73">
        <f t="shared" si="618"/>
        <v>22</v>
      </c>
      <c r="C1557" s="9"/>
      <c r="D1557" s="9"/>
      <c r="E1557" s="9"/>
      <c r="F1557" s="43" t="s">
        <v>339</v>
      </c>
      <c r="G1557" s="98">
        <v>632</v>
      </c>
      <c r="H1557" s="9" t="s">
        <v>229</v>
      </c>
      <c r="I1557" s="10">
        <v>2600</v>
      </c>
      <c r="J1557" s="10"/>
      <c r="K1557" s="10">
        <f t="shared" si="620"/>
        <v>2600</v>
      </c>
      <c r="L1557" s="131"/>
      <c r="M1557" s="10"/>
      <c r="N1557" s="10"/>
      <c r="O1557" s="10">
        <f t="shared" si="622"/>
        <v>0</v>
      </c>
      <c r="Q1557" s="10">
        <f t="shared" si="615"/>
        <v>2600</v>
      </c>
      <c r="R1557" s="10">
        <f t="shared" si="616"/>
        <v>0</v>
      </c>
      <c r="S1557" s="10">
        <f t="shared" si="617"/>
        <v>2600</v>
      </c>
    </row>
    <row r="1558" spans="2:19" x14ac:dyDescent="0.25">
      <c r="B1558" s="73">
        <f t="shared" si="618"/>
        <v>23</v>
      </c>
      <c r="C1558" s="9"/>
      <c r="D1558" s="9"/>
      <c r="E1558" s="9"/>
      <c r="F1558" s="43" t="s">
        <v>339</v>
      </c>
      <c r="G1558" s="98">
        <v>633</v>
      </c>
      <c r="H1558" s="9" t="s">
        <v>220</v>
      </c>
      <c r="I1558" s="10">
        <v>13350</v>
      </c>
      <c r="J1558" s="10"/>
      <c r="K1558" s="10">
        <f t="shared" si="620"/>
        <v>13350</v>
      </c>
      <c r="L1558" s="131"/>
      <c r="M1558" s="10"/>
      <c r="N1558" s="10"/>
      <c r="O1558" s="10">
        <f t="shared" si="622"/>
        <v>0</v>
      </c>
      <c r="Q1558" s="10">
        <f t="shared" si="615"/>
        <v>13350</v>
      </c>
      <c r="R1558" s="10">
        <f t="shared" si="616"/>
        <v>0</v>
      </c>
      <c r="S1558" s="10">
        <f t="shared" si="617"/>
        <v>13350</v>
      </c>
    </row>
    <row r="1559" spans="2:19" x14ac:dyDescent="0.25">
      <c r="B1559" s="73">
        <f t="shared" si="618"/>
        <v>24</v>
      </c>
      <c r="C1559" s="9"/>
      <c r="D1559" s="9"/>
      <c r="E1559" s="9"/>
      <c r="F1559" s="43" t="s">
        <v>339</v>
      </c>
      <c r="G1559" s="98">
        <v>634</v>
      </c>
      <c r="H1559" s="9" t="s">
        <v>221</v>
      </c>
      <c r="I1559" s="10">
        <v>2920</v>
      </c>
      <c r="J1559" s="10"/>
      <c r="K1559" s="10">
        <f t="shared" si="620"/>
        <v>2920</v>
      </c>
      <c r="L1559" s="131"/>
      <c r="M1559" s="10"/>
      <c r="N1559" s="10"/>
      <c r="O1559" s="10">
        <f t="shared" si="622"/>
        <v>0</v>
      </c>
      <c r="Q1559" s="10">
        <f t="shared" si="615"/>
        <v>2920</v>
      </c>
      <c r="R1559" s="10">
        <f t="shared" si="616"/>
        <v>0</v>
      </c>
      <c r="S1559" s="10">
        <f t="shared" si="617"/>
        <v>2920</v>
      </c>
    </row>
    <row r="1560" spans="2:19" x14ac:dyDescent="0.25">
      <c r="B1560" s="73">
        <f t="shared" si="618"/>
        <v>25</v>
      </c>
      <c r="C1560" s="9"/>
      <c r="D1560" s="9"/>
      <c r="E1560" s="9"/>
      <c r="F1560" s="43" t="s">
        <v>339</v>
      </c>
      <c r="G1560" s="98">
        <v>635</v>
      </c>
      <c r="H1560" s="9" t="s">
        <v>234</v>
      </c>
      <c r="I1560" s="10">
        <v>1400</v>
      </c>
      <c r="J1560" s="10"/>
      <c r="K1560" s="10">
        <f t="shared" si="620"/>
        <v>1400</v>
      </c>
      <c r="L1560" s="131"/>
      <c r="M1560" s="10"/>
      <c r="N1560" s="10"/>
      <c r="O1560" s="10">
        <f t="shared" si="622"/>
        <v>0</v>
      </c>
      <c r="Q1560" s="10">
        <f t="shared" si="615"/>
        <v>1400</v>
      </c>
      <c r="R1560" s="10">
        <f t="shared" si="616"/>
        <v>0</v>
      </c>
      <c r="S1560" s="10">
        <f t="shared" si="617"/>
        <v>1400</v>
      </c>
    </row>
    <row r="1561" spans="2:19" x14ac:dyDescent="0.25">
      <c r="B1561" s="73">
        <f t="shared" si="618"/>
        <v>26</v>
      </c>
      <c r="C1561" s="9"/>
      <c r="D1561" s="9"/>
      <c r="E1561" s="9"/>
      <c r="F1561" s="43" t="s">
        <v>339</v>
      </c>
      <c r="G1561" s="98">
        <v>637</v>
      </c>
      <c r="H1561" s="9" t="s">
        <v>223</v>
      </c>
      <c r="I1561" s="10">
        <f>25700-150</f>
        <v>25550</v>
      </c>
      <c r="J1561" s="10"/>
      <c r="K1561" s="10">
        <f t="shared" si="620"/>
        <v>25550</v>
      </c>
      <c r="L1561" s="131"/>
      <c r="M1561" s="10"/>
      <c r="N1561" s="10"/>
      <c r="O1561" s="10">
        <f t="shared" si="622"/>
        <v>0</v>
      </c>
      <c r="Q1561" s="10">
        <f t="shared" si="615"/>
        <v>25550</v>
      </c>
      <c r="R1561" s="10">
        <f t="shared" si="616"/>
        <v>0</v>
      </c>
      <c r="S1561" s="10">
        <f t="shared" si="617"/>
        <v>25550</v>
      </c>
    </row>
    <row r="1562" spans="2:19" x14ac:dyDescent="0.25">
      <c r="B1562" s="73">
        <f t="shared" si="618"/>
        <v>27</v>
      </c>
      <c r="C1562" s="21"/>
      <c r="D1562" s="21"/>
      <c r="E1562" s="21"/>
      <c r="F1562" s="42" t="s">
        <v>339</v>
      </c>
      <c r="G1562" s="97">
        <v>640</v>
      </c>
      <c r="H1562" s="21" t="s">
        <v>230</v>
      </c>
      <c r="I1562" s="15">
        <f>370+150</f>
        <v>520</v>
      </c>
      <c r="J1562" s="15"/>
      <c r="K1562" s="15">
        <f t="shared" si="620"/>
        <v>520</v>
      </c>
      <c r="L1562" s="130"/>
      <c r="M1562" s="15"/>
      <c r="N1562" s="15"/>
      <c r="O1562" s="15">
        <f t="shared" si="622"/>
        <v>0</v>
      </c>
      <c r="Q1562" s="15">
        <f t="shared" si="615"/>
        <v>520</v>
      </c>
      <c r="R1562" s="15">
        <f t="shared" si="616"/>
        <v>0</v>
      </c>
      <c r="S1562" s="15">
        <f t="shared" si="617"/>
        <v>520</v>
      </c>
    </row>
    <row r="1563" spans="2:19" x14ac:dyDescent="0.25">
      <c r="B1563" s="73">
        <f t="shared" si="618"/>
        <v>28</v>
      </c>
      <c r="C1563" s="21"/>
      <c r="D1563" s="21"/>
      <c r="E1563" s="21"/>
      <c r="F1563" s="42" t="s">
        <v>279</v>
      </c>
      <c r="G1563" s="97">
        <v>610</v>
      </c>
      <c r="H1563" s="21" t="s">
        <v>245</v>
      </c>
      <c r="I1563" s="15">
        <v>89400</v>
      </c>
      <c r="J1563" s="15"/>
      <c r="K1563" s="15">
        <f t="shared" si="620"/>
        <v>89400</v>
      </c>
      <c r="L1563" s="130"/>
      <c r="M1563" s="15"/>
      <c r="N1563" s="15"/>
      <c r="O1563" s="15">
        <f t="shared" si="622"/>
        <v>0</v>
      </c>
      <c r="Q1563" s="15">
        <f t="shared" si="615"/>
        <v>89400</v>
      </c>
      <c r="R1563" s="15">
        <f t="shared" si="616"/>
        <v>0</v>
      </c>
      <c r="S1563" s="15">
        <f t="shared" si="617"/>
        <v>89400</v>
      </c>
    </row>
    <row r="1564" spans="2:19" x14ac:dyDescent="0.25">
      <c r="B1564" s="73">
        <f t="shared" si="618"/>
        <v>29</v>
      </c>
      <c r="C1564" s="21"/>
      <c r="D1564" s="21"/>
      <c r="E1564" s="21"/>
      <c r="F1564" s="42" t="s">
        <v>279</v>
      </c>
      <c r="G1564" s="97">
        <v>620</v>
      </c>
      <c r="H1564" s="21" t="s">
        <v>228</v>
      </c>
      <c r="I1564" s="15">
        <v>33700</v>
      </c>
      <c r="J1564" s="15"/>
      <c r="K1564" s="15">
        <f t="shared" si="620"/>
        <v>33700</v>
      </c>
      <c r="L1564" s="130"/>
      <c r="M1564" s="15"/>
      <c r="N1564" s="15"/>
      <c r="O1564" s="15">
        <f t="shared" si="622"/>
        <v>0</v>
      </c>
      <c r="Q1564" s="15">
        <f t="shared" si="615"/>
        <v>33700</v>
      </c>
      <c r="R1564" s="15">
        <f t="shared" si="616"/>
        <v>0</v>
      </c>
      <c r="S1564" s="15">
        <f t="shared" si="617"/>
        <v>33700</v>
      </c>
    </row>
    <row r="1565" spans="2:19" x14ac:dyDescent="0.25">
      <c r="B1565" s="73">
        <f t="shared" si="618"/>
        <v>30</v>
      </c>
      <c r="C1565" s="21"/>
      <c r="D1565" s="21"/>
      <c r="E1565" s="21"/>
      <c r="F1565" s="42" t="s">
        <v>279</v>
      </c>
      <c r="G1565" s="97">
        <v>630</v>
      </c>
      <c r="H1565" s="21" t="s">
        <v>218</v>
      </c>
      <c r="I1565" s="15">
        <f>SUM(I1566:I1572)</f>
        <v>112550</v>
      </c>
      <c r="J1565" s="15">
        <f t="shared" ref="J1565" si="633">SUM(J1566:J1572)</f>
        <v>0</v>
      </c>
      <c r="K1565" s="15">
        <f t="shared" si="620"/>
        <v>112550</v>
      </c>
      <c r="L1565" s="130"/>
      <c r="M1565" s="15"/>
      <c r="N1565" s="15"/>
      <c r="O1565" s="15">
        <f t="shared" si="622"/>
        <v>0</v>
      </c>
      <c r="Q1565" s="15">
        <f t="shared" si="615"/>
        <v>112550</v>
      </c>
      <c r="R1565" s="15">
        <f t="shared" si="616"/>
        <v>0</v>
      </c>
      <c r="S1565" s="15">
        <f t="shared" si="617"/>
        <v>112550</v>
      </c>
    </row>
    <row r="1566" spans="2:19" x14ac:dyDescent="0.25">
      <c r="B1566" s="73">
        <f t="shared" si="618"/>
        <v>31</v>
      </c>
      <c r="C1566" s="9"/>
      <c r="D1566" s="9"/>
      <c r="E1566" s="9"/>
      <c r="F1566" s="43" t="s">
        <v>279</v>
      </c>
      <c r="G1566" s="98">
        <v>633</v>
      </c>
      <c r="H1566" s="9" t="s">
        <v>220</v>
      </c>
      <c r="I1566" s="10">
        <v>49500</v>
      </c>
      <c r="J1566" s="10"/>
      <c r="K1566" s="10">
        <f t="shared" si="620"/>
        <v>49500</v>
      </c>
      <c r="L1566" s="131"/>
      <c r="M1566" s="10"/>
      <c r="N1566" s="10"/>
      <c r="O1566" s="10">
        <f t="shared" si="622"/>
        <v>0</v>
      </c>
      <c r="Q1566" s="10">
        <f t="shared" si="615"/>
        <v>49500</v>
      </c>
      <c r="R1566" s="10">
        <f t="shared" si="616"/>
        <v>0</v>
      </c>
      <c r="S1566" s="10">
        <f t="shared" si="617"/>
        <v>49500</v>
      </c>
    </row>
    <row r="1567" spans="2:19" ht="14.25" customHeight="1" x14ac:dyDescent="0.25">
      <c r="B1567" s="73">
        <f t="shared" si="618"/>
        <v>32</v>
      </c>
      <c r="C1567" s="9"/>
      <c r="D1567" s="9"/>
      <c r="E1567" s="9"/>
      <c r="F1567" s="43" t="s">
        <v>279</v>
      </c>
      <c r="G1567" s="98">
        <v>634</v>
      </c>
      <c r="H1567" s="9" t="s">
        <v>221</v>
      </c>
      <c r="I1567" s="10">
        <v>18700</v>
      </c>
      <c r="J1567" s="10"/>
      <c r="K1567" s="10">
        <f t="shared" si="620"/>
        <v>18700</v>
      </c>
      <c r="L1567" s="131"/>
      <c r="M1567" s="10"/>
      <c r="N1567" s="10"/>
      <c r="O1567" s="10">
        <f t="shared" si="622"/>
        <v>0</v>
      </c>
      <c r="Q1567" s="10">
        <f t="shared" si="615"/>
        <v>18700</v>
      </c>
      <c r="R1567" s="10">
        <f t="shared" si="616"/>
        <v>0</v>
      </c>
      <c r="S1567" s="10">
        <f t="shared" si="617"/>
        <v>18700</v>
      </c>
    </row>
    <row r="1568" spans="2:19" x14ac:dyDescent="0.25">
      <c r="B1568" s="73">
        <f t="shared" si="618"/>
        <v>33</v>
      </c>
      <c r="C1568" s="9"/>
      <c r="D1568" s="9"/>
      <c r="E1568" s="9"/>
      <c r="F1568" s="43" t="s">
        <v>279</v>
      </c>
      <c r="G1568" s="98">
        <v>635</v>
      </c>
      <c r="H1568" s="9" t="s">
        <v>234</v>
      </c>
      <c r="I1568" s="10">
        <v>14000</v>
      </c>
      <c r="J1568" s="10"/>
      <c r="K1568" s="10">
        <f t="shared" si="620"/>
        <v>14000</v>
      </c>
      <c r="L1568" s="131"/>
      <c r="M1568" s="10"/>
      <c r="N1568" s="10"/>
      <c r="O1568" s="10">
        <f t="shared" si="622"/>
        <v>0</v>
      </c>
      <c r="Q1568" s="10">
        <f t="shared" si="615"/>
        <v>14000</v>
      </c>
      <c r="R1568" s="10">
        <f t="shared" si="616"/>
        <v>0</v>
      </c>
      <c r="S1568" s="10">
        <f t="shared" si="617"/>
        <v>14000</v>
      </c>
    </row>
    <row r="1569" spans="2:19" x14ac:dyDescent="0.25">
      <c r="B1569" s="73">
        <f t="shared" si="618"/>
        <v>34</v>
      </c>
      <c r="C1569" s="9"/>
      <c r="D1569" s="9"/>
      <c r="E1569" s="9"/>
      <c r="F1569" s="43" t="s">
        <v>279</v>
      </c>
      <c r="G1569" s="98">
        <v>635</v>
      </c>
      <c r="H1569" s="119" t="s">
        <v>479</v>
      </c>
      <c r="I1569" s="10">
        <v>5000</v>
      </c>
      <c r="J1569" s="10"/>
      <c r="K1569" s="10">
        <f t="shared" si="620"/>
        <v>5000</v>
      </c>
      <c r="L1569" s="131"/>
      <c r="M1569" s="10"/>
      <c r="N1569" s="10"/>
      <c r="O1569" s="10">
        <f t="shared" si="622"/>
        <v>0</v>
      </c>
      <c r="Q1569" s="10">
        <f t="shared" si="615"/>
        <v>5000</v>
      </c>
      <c r="R1569" s="10">
        <f t="shared" si="616"/>
        <v>0</v>
      </c>
      <c r="S1569" s="10">
        <f t="shared" si="617"/>
        <v>5000</v>
      </c>
    </row>
    <row r="1570" spans="2:19" x14ac:dyDescent="0.25">
      <c r="B1570" s="73">
        <f t="shared" si="618"/>
        <v>35</v>
      </c>
      <c r="C1570" s="9"/>
      <c r="D1570" s="9"/>
      <c r="E1570" s="9"/>
      <c r="F1570" s="43" t="s">
        <v>279</v>
      </c>
      <c r="G1570" s="98">
        <v>636</v>
      </c>
      <c r="H1570" s="9" t="s">
        <v>222</v>
      </c>
      <c r="I1570" s="10">
        <v>700</v>
      </c>
      <c r="J1570" s="10"/>
      <c r="K1570" s="10">
        <f t="shared" si="620"/>
        <v>700</v>
      </c>
      <c r="L1570" s="131"/>
      <c r="M1570" s="10"/>
      <c r="N1570" s="10"/>
      <c r="O1570" s="10">
        <f t="shared" si="622"/>
        <v>0</v>
      </c>
      <c r="Q1570" s="10">
        <f t="shared" si="615"/>
        <v>700</v>
      </c>
      <c r="R1570" s="10">
        <f t="shared" si="616"/>
        <v>0</v>
      </c>
      <c r="S1570" s="10">
        <f t="shared" si="617"/>
        <v>700</v>
      </c>
    </row>
    <row r="1571" spans="2:19" x14ac:dyDescent="0.25">
      <c r="B1571" s="73">
        <f t="shared" si="618"/>
        <v>36</v>
      </c>
      <c r="C1571" s="9"/>
      <c r="D1571" s="9"/>
      <c r="E1571" s="9"/>
      <c r="F1571" s="43" t="s">
        <v>279</v>
      </c>
      <c r="G1571" s="98">
        <v>637</v>
      </c>
      <c r="H1571" s="9" t="s">
        <v>223</v>
      </c>
      <c r="I1571" s="10">
        <v>16650</v>
      </c>
      <c r="J1571" s="10"/>
      <c r="K1571" s="10">
        <f t="shared" si="620"/>
        <v>16650</v>
      </c>
      <c r="L1571" s="131"/>
      <c r="M1571" s="10"/>
      <c r="N1571" s="10"/>
      <c r="O1571" s="10">
        <f t="shared" si="622"/>
        <v>0</v>
      </c>
      <c r="Q1571" s="10">
        <f t="shared" si="615"/>
        <v>16650</v>
      </c>
      <c r="R1571" s="10">
        <f t="shared" si="616"/>
        <v>0</v>
      </c>
      <c r="S1571" s="10">
        <f t="shared" si="617"/>
        <v>16650</v>
      </c>
    </row>
    <row r="1572" spans="2:19" s="80" customFormat="1" ht="24" x14ac:dyDescent="0.25">
      <c r="B1572" s="73">
        <f t="shared" si="618"/>
        <v>37</v>
      </c>
      <c r="C1572" s="76"/>
      <c r="D1572" s="76"/>
      <c r="E1572" s="76"/>
      <c r="F1572" s="77" t="s">
        <v>279</v>
      </c>
      <c r="G1572" s="101">
        <v>637</v>
      </c>
      <c r="H1572" s="195" t="s">
        <v>553</v>
      </c>
      <c r="I1572" s="79">
        <v>8000</v>
      </c>
      <c r="J1572" s="79"/>
      <c r="K1572" s="79">
        <f t="shared" si="620"/>
        <v>8000</v>
      </c>
      <c r="L1572" s="142"/>
      <c r="M1572" s="79"/>
      <c r="N1572" s="79"/>
      <c r="O1572" s="79">
        <f t="shared" si="622"/>
        <v>0</v>
      </c>
      <c r="Q1572" s="79">
        <f t="shared" si="615"/>
        <v>8000</v>
      </c>
      <c r="R1572" s="79">
        <f t="shared" si="616"/>
        <v>0</v>
      </c>
      <c r="S1572" s="79">
        <f t="shared" si="617"/>
        <v>8000</v>
      </c>
    </row>
    <row r="1573" spans="2:19" x14ac:dyDescent="0.25">
      <c r="B1573" s="73">
        <f t="shared" si="618"/>
        <v>38</v>
      </c>
      <c r="C1573" s="21"/>
      <c r="D1573" s="21"/>
      <c r="E1573" s="21"/>
      <c r="F1573" s="42" t="s">
        <v>279</v>
      </c>
      <c r="G1573" s="97">
        <v>640</v>
      </c>
      <c r="H1573" s="21" t="s">
        <v>230</v>
      </c>
      <c r="I1573" s="15">
        <v>300</v>
      </c>
      <c r="J1573" s="15"/>
      <c r="K1573" s="15">
        <f t="shared" si="620"/>
        <v>300</v>
      </c>
      <c r="L1573" s="130"/>
      <c r="M1573" s="15"/>
      <c r="N1573" s="15"/>
      <c r="O1573" s="15">
        <f t="shared" si="622"/>
        <v>0</v>
      </c>
      <c r="Q1573" s="15">
        <f t="shared" si="615"/>
        <v>300</v>
      </c>
      <c r="R1573" s="15">
        <f t="shared" si="616"/>
        <v>0</v>
      </c>
      <c r="S1573" s="15">
        <f t="shared" si="617"/>
        <v>300</v>
      </c>
    </row>
    <row r="1574" spans="2:19" x14ac:dyDescent="0.25">
      <c r="B1574" s="73">
        <f t="shared" si="618"/>
        <v>39</v>
      </c>
      <c r="C1574" s="21"/>
      <c r="D1574" s="21"/>
      <c r="E1574" s="21"/>
      <c r="F1574" s="42" t="s">
        <v>279</v>
      </c>
      <c r="G1574" s="97">
        <v>630</v>
      </c>
      <c r="H1574" s="121" t="s">
        <v>480</v>
      </c>
      <c r="I1574" s="15">
        <v>30000</v>
      </c>
      <c r="J1574" s="15"/>
      <c r="K1574" s="15">
        <f t="shared" si="620"/>
        <v>30000</v>
      </c>
      <c r="L1574" s="130"/>
      <c r="M1574" s="15"/>
      <c r="N1574" s="15"/>
      <c r="O1574" s="15">
        <f t="shared" si="622"/>
        <v>0</v>
      </c>
      <c r="Q1574" s="15">
        <f t="shared" si="615"/>
        <v>30000</v>
      </c>
      <c r="R1574" s="15">
        <f t="shared" si="616"/>
        <v>0</v>
      </c>
      <c r="S1574" s="15">
        <f t="shared" si="617"/>
        <v>30000</v>
      </c>
    </row>
    <row r="1575" spans="2:19" x14ac:dyDescent="0.25">
      <c r="B1575" s="73">
        <f t="shared" si="618"/>
        <v>40</v>
      </c>
      <c r="C1575" s="21"/>
      <c r="D1575" s="21"/>
      <c r="E1575" s="21"/>
      <c r="F1575" s="42" t="s">
        <v>339</v>
      </c>
      <c r="G1575" s="97">
        <v>710</v>
      </c>
      <c r="H1575" s="21" t="s">
        <v>235</v>
      </c>
      <c r="I1575" s="15"/>
      <c r="J1575" s="15"/>
      <c r="K1575" s="15">
        <f t="shared" si="620"/>
        <v>0</v>
      </c>
      <c r="L1575" s="130"/>
      <c r="M1575" s="15">
        <f>M1576</f>
        <v>13500</v>
      </c>
      <c r="N1575" s="15">
        <f t="shared" ref="N1575" si="634">N1576</f>
        <v>0</v>
      </c>
      <c r="O1575" s="15">
        <f t="shared" si="622"/>
        <v>13500</v>
      </c>
      <c r="Q1575" s="15">
        <f t="shared" si="615"/>
        <v>13500</v>
      </c>
      <c r="R1575" s="15">
        <f t="shared" si="616"/>
        <v>0</v>
      </c>
      <c r="S1575" s="15">
        <f t="shared" si="617"/>
        <v>13500</v>
      </c>
    </row>
    <row r="1576" spans="2:19" x14ac:dyDescent="0.25">
      <c r="B1576" s="73">
        <f t="shared" si="618"/>
        <v>41</v>
      </c>
      <c r="C1576" s="9"/>
      <c r="D1576" s="9"/>
      <c r="E1576" s="9"/>
      <c r="F1576" s="43" t="s">
        <v>339</v>
      </c>
      <c r="G1576" s="98">
        <v>714</v>
      </c>
      <c r="H1576" s="9" t="s">
        <v>406</v>
      </c>
      <c r="I1576" s="10"/>
      <c r="J1576" s="10"/>
      <c r="K1576" s="10">
        <f t="shared" si="620"/>
        <v>0</v>
      </c>
      <c r="L1576" s="131"/>
      <c r="M1576" s="10">
        <v>13500</v>
      </c>
      <c r="N1576" s="10"/>
      <c r="O1576" s="10">
        <f t="shared" si="622"/>
        <v>13500</v>
      </c>
      <c r="Q1576" s="10">
        <f t="shared" si="615"/>
        <v>13500</v>
      </c>
      <c r="R1576" s="10">
        <f t="shared" si="616"/>
        <v>0</v>
      </c>
      <c r="S1576" s="10">
        <f t="shared" si="617"/>
        <v>13500</v>
      </c>
    </row>
    <row r="1577" spans="2:19" x14ac:dyDescent="0.25">
      <c r="B1577" s="73">
        <f t="shared" si="618"/>
        <v>42</v>
      </c>
      <c r="C1577" s="21"/>
      <c r="D1577" s="21"/>
      <c r="E1577" s="21"/>
      <c r="F1577" s="42" t="s">
        <v>279</v>
      </c>
      <c r="G1577" s="97">
        <v>710</v>
      </c>
      <c r="H1577" s="21" t="s">
        <v>235</v>
      </c>
      <c r="I1577" s="15"/>
      <c r="J1577" s="15"/>
      <c r="K1577" s="15">
        <f t="shared" si="620"/>
        <v>0</v>
      </c>
      <c r="L1577" s="130"/>
      <c r="M1577" s="15">
        <f>SUM(M1578:M1581)</f>
        <v>80710</v>
      </c>
      <c r="N1577" s="15">
        <f t="shared" ref="N1577" si="635">SUM(N1578:N1580)</f>
        <v>0</v>
      </c>
      <c r="O1577" s="15">
        <f t="shared" si="622"/>
        <v>80710</v>
      </c>
      <c r="Q1577" s="15">
        <f t="shared" si="615"/>
        <v>80710</v>
      </c>
      <c r="R1577" s="15">
        <f t="shared" si="616"/>
        <v>0</v>
      </c>
      <c r="S1577" s="15">
        <f t="shared" si="617"/>
        <v>80710</v>
      </c>
    </row>
    <row r="1578" spans="2:19" x14ac:dyDescent="0.25">
      <c r="B1578" s="73">
        <f t="shared" si="618"/>
        <v>43</v>
      </c>
      <c r="C1578" s="9"/>
      <c r="D1578" s="9"/>
      <c r="E1578" s="9"/>
      <c r="F1578" s="43" t="s">
        <v>279</v>
      </c>
      <c r="G1578" s="98">
        <v>714</v>
      </c>
      <c r="H1578" s="9" t="s">
        <v>403</v>
      </c>
      <c r="I1578" s="10"/>
      <c r="J1578" s="10"/>
      <c r="K1578" s="10">
        <f t="shared" si="620"/>
        <v>0</v>
      </c>
      <c r="L1578" s="131"/>
      <c r="M1578" s="10">
        <v>13200</v>
      </c>
      <c r="N1578" s="10"/>
      <c r="O1578" s="10">
        <f t="shared" si="622"/>
        <v>13200</v>
      </c>
      <c r="Q1578" s="10">
        <f t="shared" si="615"/>
        <v>13200</v>
      </c>
      <c r="R1578" s="10">
        <f t="shared" si="616"/>
        <v>0</v>
      </c>
      <c r="S1578" s="10">
        <f t="shared" si="617"/>
        <v>13200</v>
      </c>
    </row>
    <row r="1579" spans="2:19" x14ac:dyDescent="0.25">
      <c r="B1579" s="73">
        <f t="shared" si="618"/>
        <v>44</v>
      </c>
      <c r="C1579" s="9"/>
      <c r="D1579" s="9"/>
      <c r="E1579" s="9"/>
      <c r="F1579" s="43" t="s">
        <v>279</v>
      </c>
      <c r="G1579" s="98">
        <v>714</v>
      </c>
      <c r="H1579" s="49" t="s">
        <v>404</v>
      </c>
      <c r="I1579" s="10"/>
      <c r="J1579" s="10"/>
      <c r="K1579" s="10">
        <f t="shared" si="620"/>
        <v>0</v>
      </c>
      <c r="L1579" s="131"/>
      <c r="M1579" s="10">
        <v>5510</v>
      </c>
      <c r="N1579" s="10"/>
      <c r="O1579" s="10">
        <f t="shared" si="622"/>
        <v>5510</v>
      </c>
      <c r="Q1579" s="10">
        <f t="shared" si="615"/>
        <v>5510</v>
      </c>
      <c r="R1579" s="10">
        <f t="shared" si="616"/>
        <v>0</v>
      </c>
      <c r="S1579" s="10">
        <f t="shared" si="617"/>
        <v>5510</v>
      </c>
    </row>
    <row r="1580" spans="2:19" x14ac:dyDescent="0.25">
      <c r="B1580" s="73">
        <f t="shared" si="618"/>
        <v>45</v>
      </c>
      <c r="C1580" s="9"/>
      <c r="D1580" s="9"/>
      <c r="E1580" s="9"/>
      <c r="F1580" s="43" t="s">
        <v>279</v>
      </c>
      <c r="G1580" s="98">
        <v>714</v>
      </c>
      <c r="H1580" s="49" t="s">
        <v>405</v>
      </c>
      <c r="I1580" s="10"/>
      <c r="J1580" s="10"/>
      <c r="K1580" s="10">
        <f t="shared" si="620"/>
        <v>0</v>
      </c>
      <c r="L1580" s="131"/>
      <c r="M1580" s="10">
        <v>45000</v>
      </c>
      <c r="N1580" s="10"/>
      <c r="O1580" s="10">
        <f t="shared" si="622"/>
        <v>45000</v>
      </c>
      <c r="Q1580" s="10">
        <f t="shared" si="615"/>
        <v>45000</v>
      </c>
      <c r="R1580" s="10">
        <f t="shared" si="616"/>
        <v>0</v>
      </c>
      <c r="S1580" s="10">
        <f t="shared" si="617"/>
        <v>45000</v>
      </c>
    </row>
    <row r="1581" spans="2:19" x14ac:dyDescent="0.25">
      <c r="B1581" s="73">
        <f t="shared" si="618"/>
        <v>46</v>
      </c>
      <c r="C1581" s="9"/>
      <c r="D1581" s="9"/>
      <c r="E1581" s="9"/>
      <c r="F1581" s="43" t="s">
        <v>279</v>
      </c>
      <c r="G1581" s="98">
        <v>714</v>
      </c>
      <c r="H1581" s="49" t="s">
        <v>640</v>
      </c>
      <c r="I1581" s="10"/>
      <c r="J1581" s="10"/>
      <c r="K1581" s="10">
        <f t="shared" ref="K1581" si="636">I1581+J1581</f>
        <v>0</v>
      </c>
      <c r="L1581" s="131"/>
      <c r="M1581" s="10">
        <v>17000</v>
      </c>
      <c r="N1581" s="10"/>
      <c r="O1581" s="10">
        <f t="shared" ref="O1581" si="637">M1581+N1581</f>
        <v>17000</v>
      </c>
      <c r="Q1581" s="10">
        <f t="shared" ref="Q1581" si="638">I1581+M1581</f>
        <v>17000</v>
      </c>
      <c r="R1581" s="10">
        <f t="shared" ref="R1581" si="639">J1581+N1581</f>
        <v>0</v>
      </c>
      <c r="S1581" s="10">
        <f t="shared" ref="S1581" si="640">K1581+O1581</f>
        <v>17000</v>
      </c>
    </row>
    <row r="1582" spans="2:19" ht="15.75" x14ac:dyDescent="0.25">
      <c r="B1582" s="73">
        <f t="shared" si="618"/>
        <v>47</v>
      </c>
      <c r="C1582" s="34">
        <v>2</v>
      </c>
      <c r="D1582" s="227" t="s">
        <v>340</v>
      </c>
      <c r="E1582" s="228"/>
      <c r="F1582" s="228"/>
      <c r="G1582" s="228"/>
      <c r="H1582" s="229"/>
      <c r="I1582" s="35">
        <f>I1583+I1587</f>
        <v>2554700</v>
      </c>
      <c r="J1582" s="35">
        <f t="shared" ref="J1582" si="641">J1583+J1587</f>
        <v>-330600</v>
      </c>
      <c r="K1582" s="35">
        <f t="shared" si="620"/>
        <v>2224100</v>
      </c>
      <c r="L1582" s="135"/>
      <c r="M1582" s="35">
        <f>M1583+M1587</f>
        <v>65060</v>
      </c>
      <c r="N1582" s="35">
        <f t="shared" ref="N1582" si="642">N1583+N1587</f>
        <v>0</v>
      </c>
      <c r="O1582" s="35">
        <f t="shared" si="622"/>
        <v>65060</v>
      </c>
      <c r="Q1582" s="35">
        <f t="shared" si="615"/>
        <v>2619760</v>
      </c>
      <c r="R1582" s="35">
        <f t="shared" si="616"/>
        <v>-330600</v>
      </c>
      <c r="S1582" s="35">
        <f t="shared" si="617"/>
        <v>2289160</v>
      </c>
    </row>
    <row r="1583" spans="2:19" x14ac:dyDescent="0.25">
      <c r="B1583" s="73">
        <f t="shared" si="618"/>
        <v>48</v>
      </c>
      <c r="C1583" s="171"/>
      <c r="D1583" s="171">
        <v>1</v>
      </c>
      <c r="E1583" s="230" t="s">
        <v>341</v>
      </c>
      <c r="F1583" s="228"/>
      <c r="G1583" s="228"/>
      <c r="H1583" s="229"/>
      <c r="I1583" s="37">
        <f>I1584</f>
        <v>2552400</v>
      </c>
      <c r="J1583" s="37">
        <f t="shared" ref="J1583" si="643">J1584</f>
        <v>-330600</v>
      </c>
      <c r="K1583" s="37">
        <f t="shared" si="620"/>
        <v>2221800</v>
      </c>
      <c r="L1583" s="136"/>
      <c r="M1583" s="37"/>
      <c r="N1583" s="37"/>
      <c r="O1583" s="37">
        <f t="shared" si="622"/>
        <v>0</v>
      </c>
      <c r="Q1583" s="37">
        <f t="shared" si="615"/>
        <v>2552400</v>
      </c>
      <c r="R1583" s="37">
        <f t="shared" si="616"/>
        <v>-330600</v>
      </c>
      <c r="S1583" s="37">
        <f t="shared" si="617"/>
        <v>2221800</v>
      </c>
    </row>
    <row r="1584" spans="2:19" x14ac:dyDescent="0.25">
      <c r="B1584" s="73">
        <f t="shared" si="618"/>
        <v>49</v>
      </c>
      <c r="C1584" s="21"/>
      <c r="D1584" s="21"/>
      <c r="E1584" s="21"/>
      <c r="F1584" s="42" t="s">
        <v>298</v>
      </c>
      <c r="G1584" s="97">
        <v>630</v>
      </c>
      <c r="H1584" s="21" t="s">
        <v>218</v>
      </c>
      <c r="I1584" s="15">
        <f>SUM(I1585:I1586)</f>
        <v>2552400</v>
      </c>
      <c r="J1584" s="15">
        <f t="shared" ref="J1584" si="644">SUM(J1585:J1586)</f>
        <v>-330600</v>
      </c>
      <c r="K1584" s="15">
        <f t="shared" si="620"/>
        <v>2221800</v>
      </c>
      <c r="L1584" s="130"/>
      <c r="M1584" s="15"/>
      <c r="N1584" s="15"/>
      <c r="O1584" s="15">
        <f t="shared" si="622"/>
        <v>0</v>
      </c>
      <c r="Q1584" s="15">
        <f t="shared" si="615"/>
        <v>2552400</v>
      </c>
      <c r="R1584" s="15">
        <f t="shared" si="616"/>
        <v>-330600</v>
      </c>
      <c r="S1584" s="15">
        <f t="shared" si="617"/>
        <v>2221800</v>
      </c>
    </row>
    <row r="1585" spans="2:19" x14ac:dyDescent="0.25">
      <c r="B1585" s="73">
        <f t="shared" si="618"/>
        <v>50</v>
      </c>
      <c r="C1585" s="9"/>
      <c r="D1585" s="9"/>
      <c r="E1585" s="9"/>
      <c r="F1585" s="43" t="s">
        <v>298</v>
      </c>
      <c r="G1585" s="98">
        <v>637</v>
      </c>
      <c r="H1585" s="9" t="s">
        <v>223</v>
      </c>
      <c r="I1585" s="10">
        <v>2551200</v>
      </c>
      <c r="J1585" s="10">
        <v>-330600</v>
      </c>
      <c r="K1585" s="10">
        <f t="shared" si="620"/>
        <v>2220600</v>
      </c>
      <c r="L1585" s="131"/>
      <c r="M1585" s="10"/>
      <c r="N1585" s="10"/>
      <c r="O1585" s="10">
        <f t="shared" si="622"/>
        <v>0</v>
      </c>
      <c r="Q1585" s="10">
        <f t="shared" si="615"/>
        <v>2551200</v>
      </c>
      <c r="R1585" s="10">
        <f t="shared" si="616"/>
        <v>-330600</v>
      </c>
      <c r="S1585" s="10">
        <f t="shared" si="617"/>
        <v>2220600</v>
      </c>
    </row>
    <row r="1586" spans="2:19" x14ac:dyDescent="0.25">
      <c r="B1586" s="73">
        <f t="shared" si="618"/>
        <v>51</v>
      </c>
      <c r="C1586" s="9"/>
      <c r="D1586" s="9"/>
      <c r="E1586" s="48"/>
      <c r="F1586" s="43" t="s">
        <v>342</v>
      </c>
      <c r="G1586" s="98">
        <v>637</v>
      </c>
      <c r="H1586" s="49" t="s">
        <v>343</v>
      </c>
      <c r="I1586" s="10">
        <v>1200</v>
      </c>
      <c r="J1586" s="10"/>
      <c r="K1586" s="10">
        <f t="shared" si="620"/>
        <v>1200</v>
      </c>
      <c r="L1586" s="131"/>
      <c r="M1586" s="10"/>
      <c r="N1586" s="10"/>
      <c r="O1586" s="10">
        <f t="shared" si="622"/>
        <v>0</v>
      </c>
      <c r="Q1586" s="10">
        <f t="shared" si="615"/>
        <v>1200</v>
      </c>
      <c r="R1586" s="10">
        <f t="shared" si="616"/>
        <v>0</v>
      </c>
      <c r="S1586" s="10">
        <f t="shared" si="617"/>
        <v>1200</v>
      </c>
    </row>
    <row r="1587" spans="2:19" x14ac:dyDescent="0.25">
      <c r="B1587" s="73">
        <f t="shared" si="618"/>
        <v>52</v>
      </c>
      <c r="C1587" s="171"/>
      <c r="D1587" s="171">
        <v>2</v>
      </c>
      <c r="E1587" s="230" t="s">
        <v>344</v>
      </c>
      <c r="F1587" s="228"/>
      <c r="G1587" s="228"/>
      <c r="H1587" s="229"/>
      <c r="I1587" s="37">
        <f>I1588</f>
        <v>2300</v>
      </c>
      <c r="J1587" s="37">
        <f t="shared" ref="J1587:J1588" si="645">J1588</f>
        <v>0</v>
      </c>
      <c r="K1587" s="37">
        <f t="shared" si="620"/>
        <v>2300</v>
      </c>
      <c r="L1587" s="136"/>
      <c r="M1587" s="37">
        <f>M1590</f>
        <v>65060</v>
      </c>
      <c r="N1587" s="37">
        <f t="shared" ref="N1587" si="646">N1590</f>
        <v>0</v>
      </c>
      <c r="O1587" s="37">
        <f t="shared" si="622"/>
        <v>65060</v>
      </c>
      <c r="Q1587" s="37">
        <f t="shared" si="615"/>
        <v>67360</v>
      </c>
      <c r="R1587" s="37">
        <f t="shared" si="616"/>
        <v>0</v>
      </c>
      <c r="S1587" s="37">
        <f t="shared" si="617"/>
        <v>67360</v>
      </c>
    </row>
    <row r="1588" spans="2:19" x14ac:dyDescent="0.25">
      <c r="B1588" s="73">
        <f t="shared" si="618"/>
        <v>53</v>
      </c>
      <c r="C1588" s="21"/>
      <c r="D1588" s="21"/>
      <c r="E1588" s="21"/>
      <c r="F1588" s="42" t="s">
        <v>298</v>
      </c>
      <c r="G1588" s="97">
        <v>630</v>
      </c>
      <c r="H1588" s="21" t="s">
        <v>218</v>
      </c>
      <c r="I1588" s="15">
        <f>I1589</f>
        <v>2300</v>
      </c>
      <c r="J1588" s="15">
        <f t="shared" si="645"/>
        <v>0</v>
      </c>
      <c r="K1588" s="15">
        <f t="shared" si="620"/>
        <v>2300</v>
      </c>
      <c r="L1588" s="130"/>
      <c r="M1588" s="15"/>
      <c r="N1588" s="15"/>
      <c r="O1588" s="15">
        <f t="shared" si="622"/>
        <v>0</v>
      </c>
      <c r="Q1588" s="15">
        <f t="shared" si="615"/>
        <v>2300</v>
      </c>
      <c r="R1588" s="15">
        <f t="shared" si="616"/>
        <v>0</v>
      </c>
      <c r="S1588" s="15">
        <f t="shared" si="617"/>
        <v>2300</v>
      </c>
    </row>
    <row r="1589" spans="2:19" x14ac:dyDescent="0.25">
      <c r="B1589" s="73">
        <f t="shared" si="618"/>
        <v>54</v>
      </c>
      <c r="C1589" s="9"/>
      <c r="D1589" s="9"/>
      <c r="E1589" s="9"/>
      <c r="F1589" s="43" t="s">
        <v>298</v>
      </c>
      <c r="G1589" s="98">
        <v>637</v>
      </c>
      <c r="H1589" s="9" t="s">
        <v>223</v>
      </c>
      <c r="I1589" s="10">
        <v>2300</v>
      </c>
      <c r="J1589" s="10"/>
      <c r="K1589" s="10">
        <f t="shared" si="620"/>
        <v>2300</v>
      </c>
      <c r="L1589" s="131"/>
      <c r="M1589" s="10"/>
      <c r="N1589" s="10"/>
      <c r="O1589" s="10">
        <f t="shared" si="622"/>
        <v>0</v>
      </c>
      <c r="Q1589" s="10">
        <f t="shared" si="615"/>
        <v>2300</v>
      </c>
      <c r="R1589" s="10">
        <f t="shared" si="616"/>
        <v>0</v>
      </c>
      <c r="S1589" s="10">
        <f t="shared" si="617"/>
        <v>2300</v>
      </c>
    </row>
    <row r="1590" spans="2:19" x14ac:dyDescent="0.25">
      <c r="B1590" s="73">
        <f t="shared" si="618"/>
        <v>55</v>
      </c>
      <c r="C1590" s="21"/>
      <c r="D1590" s="21"/>
      <c r="E1590" s="21"/>
      <c r="F1590" s="42" t="s">
        <v>298</v>
      </c>
      <c r="G1590" s="97">
        <v>710</v>
      </c>
      <c r="H1590" s="21" t="s">
        <v>235</v>
      </c>
      <c r="I1590" s="15"/>
      <c r="J1590" s="15"/>
      <c r="K1590" s="15">
        <f t="shared" si="620"/>
        <v>0</v>
      </c>
      <c r="L1590" s="130"/>
      <c r="M1590" s="15">
        <f>M1591</f>
        <v>65060</v>
      </c>
      <c r="N1590" s="15">
        <f t="shared" ref="N1590:N1591" si="647">N1591</f>
        <v>0</v>
      </c>
      <c r="O1590" s="15">
        <f t="shared" si="622"/>
        <v>65060</v>
      </c>
      <c r="Q1590" s="15">
        <f t="shared" si="615"/>
        <v>65060</v>
      </c>
      <c r="R1590" s="15">
        <f t="shared" si="616"/>
        <v>0</v>
      </c>
      <c r="S1590" s="15">
        <f t="shared" si="617"/>
        <v>65060</v>
      </c>
    </row>
    <row r="1591" spans="2:19" x14ac:dyDescent="0.25">
      <c r="B1591" s="73">
        <f t="shared" si="618"/>
        <v>56</v>
      </c>
      <c r="C1591" s="9"/>
      <c r="D1591" s="9"/>
      <c r="E1591" s="9"/>
      <c r="F1591" s="43" t="s">
        <v>298</v>
      </c>
      <c r="G1591" s="98">
        <v>717</v>
      </c>
      <c r="H1591" s="9" t="s">
        <v>240</v>
      </c>
      <c r="I1591" s="10"/>
      <c r="J1591" s="10"/>
      <c r="K1591" s="10">
        <f t="shared" si="620"/>
        <v>0</v>
      </c>
      <c r="L1591" s="131"/>
      <c r="M1591" s="10">
        <f>M1592</f>
        <v>65060</v>
      </c>
      <c r="N1591" s="10">
        <f t="shared" si="647"/>
        <v>0</v>
      </c>
      <c r="O1591" s="10">
        <f t="shared" si="622"/>
        <v>65060</v>
      </c>
      <c r="Q1591" s="10">
        <f t="shared" si="615"/>
        <v>65060</v>
      </c>
      <c r="R1591" s="10">
        <f t="shared" si="616"/>
        <v>0</v>
      </c>
      <c r="S1591" s="10">
        <f t="shared" si="617"/>
        <v>65060</v>
      </c>
    </row>
    <row r="1592" spans="2:19" x14ac:dyDescent="0.25">
      <c r="B1592" s="73">
        <f t="shared" si="618"/>
        <v>57</v>
      </c>
      <c r="C1592" s="12"/>
      <c r="D1592" s="12"/>
      <c r="E1592" s="12"/>
      <c r="F1592" s="12"/>
      <c r="G1592" s="99"/>
      <c r="H1592" s="12" t="s">
        <v>345</v>
      </c>
      <c r="I1592" s="13"/>
      <c r="J1592" s="13"/>
      <c r="K1592" s="13">
        <f t="shared" si="620"/>
        <v>0</v>
      </c>
      <c r="L1592" s="132"/>
      <c r="M1592" s="13">
        <v>65060</v>
      </c>
      <c r="N1592" s="13"/>
      <c r="O1592" s="13">
        <f t="shared" si="622"/>
        <v>65060</v>
      </c>
      <c r="Q1592" s="13">
        <f t="shared" si="615"/>
        <v>65060</v>
      </c>
      <c r="R1592" s="13">
        <f t="shared" si="616"/>
        <v>0</v>
      </c>
      <c r="S1592" s="13">
        <f t="shared" si="617"/>
        <v>65060</v>
      </c>
    </row>
    <row r="1593" spans="2:19" ht="15.75" x14ac:dyDescent="0.25">
      <c r="B1593" s="73">
        <f t="shared" si="618"/>
        <v>58</v>
      </c>
      <c r="C1593" s="34">
        <v>3</v>
      </c>
      <c r="D1593" s="227" t="s">
        <v>647</v>
      </c>
      <c r="E1593" s="228"/>
      <c r="F1593" s="228"/>
      <c r="G1593" s="228"/>
      <c r="H1593" s="229"/>
      <c r="I1593" s="35">
        <f>I1594+I1597+I1600</f>
        <v>19000</v>
      </c>
      <c r="J1593" s="35">
        <f>J1594+J1597+J1600+J1605</f>
        <v>7000</v>
      </c>
      <c r="K1593" s="35">
        <f t="shared" si="620"/>
        <v>26000</v>
      </c>
      <c r="L1593" s="135"/>
      <c r="M1593" s="35">
        <f>M1602</f>
        <v>3500</v>
      </c>
      <c r="N1593" s="35">
        <f t="shared" ref="N1593" si="648">N1602</f>
        <v>0</v>
      </c>
      <c r="O1593" s="35">
        <f t="shared" si="622"/>
        <v>3500</v>
      </c>
      <c r="Q1593" s="35">
        <f t="shared" si="615"/>
        <v>22500</v>
      </c>
      <c r="R1593" s="35">
        <f t="shared" si="616"/>
        <v>7000</v>
      </c>
      <c r="S1593" s="35">
        <f t="shared" si="617"/>
        <v>29500</v>
      </c>
    </row>
    <row r="1594" spans="2:19" x14ac:dyDescent="0.25">
      <c r="B1594" s="73">
        <f t="shared" si="618"/>
        <v>59</v>
      </c>
      <c r="C1594" s="21"/>
      <c r="D1594" s="21"/>
      <c r="E1594" s="21"/>
      <c r="F1594" s="42" t="s">
        <v>346</v>
      </c>
      <c r="G1594" s="97">
        <v>630</v>
      </c>
      <c r="H1594" s="21" t="s">
        <v>218</v>
      </c>
      <c r="I1594" s="15">
        <f>SUM(I1595:I1596)</f>
        <v>8000</v>
      </c>
      <c r="J1594" s="15">
        <f t="shared" ref="J1594" si="649">SUM(J1595:J1596)</f>
        <v>2000</v>
      </c>
      <c r="K1594" s="15">
        <f t="shared" si="620"/>
        <v>10000</v>
      </c>
      <c r="L1594" s="130"/>
      <c r="M1594" s="15"/>
      <c r="N1594" s="15"/>
      <c r="O1594" s="15">
        <f t="shared" si="622"/>
        <v>0</v>
      </c>
      <c r="Q1594" s="15">
        <f t="shared" si="615"/>
        <v>8000</v>
      </c>
      <c r="R1594" s="15">
        <f t="shared" si="616"/>
        <v>2000</v>
      </c>
      <c r="S1594" s="15">
        <f t="shared" si="617"/>
        <v>10000</v>
      </c>
    </row>
    <row r="1595" spans="2:19" x14ac:dyDescent="0.25">
      <c r="B1595" s="73">
        <f t="shared" si="618"/>
        <v>60</v>
      </c>
      <c r="C1595" s="9"/>
      <c r="D1595" s="9"/>
      <c r="E1595" s="9"/>
      <c r="F1595" s="43" t="s">
        <v>346</v>
      </c>
      <c r="G1595" s="98">
        <v>633</v>
      </c>
      <c r="H1595" s="9" t="s">
        <v>220</v>
      </c>
      <c r="I1595" s="10">
        <v>100</v>
      </c>
      <c r="J1595" s="10"/>
      <c r="K1595" s="10">
        <f t="shared" si="620"/>
        <v>100</v>
      </c>
      <c r="L1595" s="131"/>
      <c r="M1595" s="10"/>
      <c r="N1595" s="10"/>
      <c r="O1595" s="10">
        <f t="shared" si="622"/>
        <v>0</v>
      </c>
      <c r="Q1595" s="10">
        <f t="shared" si="615"/>
        <v>100</v>
      </c>
      <c r="R1595" s="10">
        <f t="shared" si="616"/>
        <v>0</v>
      </c>
      <c r="S1595" s="10">
        <f t="shared" si="617"/>
        <v>100</v>
      </c>
    </row>
    <row r="1596" spans="2:19" x14ac:dyDescent="0.25">
      <c r="B1596" s="73">
        <f t="shared" si="618"/>
        <v>61</v>
      </c>
      <c r="C1596" s="9"/>
      <c r="D1596" s="9"/>
      <c r="E1596" s="9"/>
      <c r="F1596" s="43" t="s">
        <v>346</v>
      </c>
      <c r="G1596" s="98">
        <v>637</v>
      </c>
      <c r="H1596" s="9" t="s">
        <v>223</v>
      </c>
      <c r="I1596" s="10">
        <v>7900</v>
      </c>
      <c r="J1596" s="10">
        <v>2000</v>
      </c>
      <c r="K1596" s="10">
        <f t="shared" si="620"/>
        <v>9900</v>
      </c>
      <c r="L1596" s="131"/>
      <c r="M1596" s="10"/>
      <c r="N1596" s="10"/>
      <c r="O1596" s="10">
        <f t="shared" si="622"/>
        <v>0</v>
      </c>
      <c r="Q1596" s="10">
        <f t="shared" si="615"/>
        <v>7900</v>
      </c>
      <c r="R1596" s="10">
        <f t="shared" si="616"/>
        <v>2000</v>
      </c>
      <c r="S1596" s="10">
        <f t="shared" si="617"/>
        <v>9900</v>
      </c>
    </row>
    <row r="1597" spans="2:19" x14ac:dyDescent="0.25">
      <c r="B1597" s="73">
        <f t="shared" si="618"/>
        <v>62</v>
      </c>
      <c r="C1597" s="21"/>
      <c r="D1597" s="21"/>
      <c r="E1597" s="21"/>
      <c r="F1597" s="42" t="s">
        <v>346</v>
      </c>
      <c r="G1597" s="97">
        <v>640</v>
      </c>
      <c r="H1597" s="21" t="s">
        <v>230</v>
      </c>
      <c r="I1597" s="15">
        <f>I1598+I1599</f>
        <v>9000</v>
      </c>
      <c r="J1597" s="15">
        <f t="shared" ref="J1597" si="650">J1598+J1599</f>
        <v>0</v>
      </c>
      <c r="K1597" s="15">
        <f t="shared" si="620"/>
        <v>9000</v>
      </c>
      <c r="L1597" s="130"/>
      <c r="M1597" s="15"/>
      <c r="N1597" s="15"/>
      <c r="O1597" s="15">
        <f t="shared" si="622"/>
        <v>0</v>
      </c>
      <c r="Q1597" s="15">
        <f t="shared" si="615"/>
        <v>9000</v>
      </c>
      <c r="R1597" s="15">
        <f t="shared" si="616"/>
        <v>0</v>
      </c>
      <c r="S1597" s="15">
        <f t="shared" si="617"/>
        <v>9000</v>
      </c>
    </row>
    <row r="1598" spans="2:19" x14ac:dyDescent="0.25">
      <c r="B1598" s="73">
        <f t="shared" si="618"/>
        <v>63</v>
      </c>
      <c r="C1598" s="9"/>
      <c r="D1598" s="9"/>
      <c r="E1598" s="9"/>
      <c r="F1598" s="43" t="s">
        <v>346</v>
      </c>
      <c r="G1598" s="98">
        <v>642</v>
      </c>
      <c r="H1598" s="9" t="s">
        <v>231</v>
      </c>
      <c r="I1598" s="10">
        <v>5000</v>
      </c>
      <c r="J1598" s="10"/>
      <c r="K1598" s="10">
        <f t="shared" si="620"/>
        <v>5000</v>
      </c>
      <c r="L1598" s="131"/>
      <c r="M1598" s="10"/>
      <c r="N1598" s="10"/>
      <c r="O1598" s="10">
        <f t="shared" si="622"/>
        <v>0</v>
      </c>
      <c r="Q1598" s="10">
        <f t="shared" si="615"/>
        <v>5000</v>
      </c>
      <c r="R1598" s="10">
        <f t="shared" si="616"/>
        <v>0</v>
      </c>
      <c r="S1598" s="10">
        <f t="shared" si="617"/>
        <v>5000</v>
      </c>
    </row>
    <row r="1599" spans="2:19" x14ac:dyDescent="0.25">
      <c r="B1599" s="73">
        <f t="shared" si="618"/>
        <v>64</v>
      </c>
      <c r="C1599" s="9"/>
      <c r="D1599" s="9"/>
      <c r="E1599" s="9"/>
      <c r="F1599" s="43" t="s">
        <v>346</v>
      </c>
      <c r="G1599" s="98">
        <v>640</v>
      </c>
      <c r="H1599" s="9" t="s">
        <v>610</v>
      </c>
      <c r="I1599" s="10">
        <v>4000</v>
      </c>
      <c r="J1599" s="10"/>
      <c r="K1599" s="10">
        <f t="shared" si="620"/>
        <v>4000</v>
      </c>
      <c r="L1599" s="131"/>
      <c r="M1599" s="10"/>
      <c r="N1599" s="10"/>
      <c r="O1599" s="10">
        <f t="shared" si="622"/>
        <v>0</v>
      </c>
      <c r="Q1599" s="10">
        <f t="shared" si="615"/>
        <v>4000</v>
      </c>
      <c r="R1599" s="10">
        <f t="shared" si="616"/>
        <v>0</v>
      </c>
      <c r="S1599" s="10">
        <f t="shared" si="617"/>
        <v>4000</v>
      </c>
    </row>
    <row r="1600" spans="2:19" x14ac:dyDescent="0.25">
      <c r="B1600" s="73">
        <f t="shared" si="618"/>
        <v>65</v>
      </c>
      <c r="C1600" s="9"/>
      <c r="D1600" s="9"/>
      <c r="E1600" s="9"/>
      <c r="F1600" s="42" t="s">
        <v>279</v>
      </c>
      <c r="G1600" s="97">
        <v>630</v>
      </c>
      <c r="H1600" s="21" t="s">
        <v>218</v>
      </c>
      <c r="I1600" s="8">
        <f>I1601</f>
        <v>2000</v>
      </c>
      <c r="J1600" s="8">
        <f t="shared" ref="J1600" si="651">J1601</f>
        <v>0</v>
      </c>
      <c r="K1600" s="8">
        <f t="shared" si="620"/>
        <v>2000</v>
      </c>
      <c r="L1600" s="130"/>
      <c r="M1600" s="10"/>
      <c r="N1600" s="10"/>
      <c r="O1600" s="10">
        <f t="shared" si="622"/>
        <v>0</v>
      </c>
      <c r="Q1600" s="10">
        <f t="shared" si="615"/>
        <v>2000</v>
      </c>
      <c r="R1600" s="10">
        <f t="shared" si="616"/>
        <v>0</v>
      </c>
      <c r="S1600" s="10">
        <f t="shared" si="617"/>
        <v>2000</v>
      </c>
    </row>
    <row r="1601" spans="2:19" x14ac:dyDescent="0.25">
      <c r="B1601" s="73">
        <f t="shared" si="618"/>
        <v>66</v>
      </c>
      <c r="C1601" s="9"/>
      <c r="D1601" s="9"/>
      <c r="E1601" s="9"/>
      <c r="F1601" s="43" t="s">
        <v>279</v>
      </c>
      <c r="G1601" s="98">
        <v>635</v>
      </c>
      <c r="H1601" s="119" t="s">
        <v>499</v>
      </c>
      <c r="I1601" s="10">
        <v>2000</v>
      </c>
      <c r="J1601" s="10"/>
      <c r="K1601" s="10">
        <f t="shared" si="620"/>
        <v>2000</v>
      </c>
      <c r="L1601" s="131"/>
      <c r="M1601" s="10"/>
      <c r="N1601" s="10"/>
      <c r="O1601" s="10">
        <f t="shared" si="622"/>
        <v>0</v>
      </c>
      <c r="Q1601" s="10">
        <f t="shared" si="615"/>
        <v>2000</v>
      </c>
      <c r="R1601" s="10">
        <f t="shared" si="616"/>
        <v>0</v>
      </c>
      <c r="S1601" s="10">
        <f t="shared" si="617"/>
        <v>2000</v>
      </c>
    </row>
    <row r="1602" spans="2:19" x14ac:dyDescent="0.25">
      <c r="B1602" s="73">
        <f t="shared" si="618"/>
        <v>67</v>
      </c>
      <c r="C1602" s="9"/>
      <c r="D1602" s="9"/>
      <c r="E1602" s="9"/>
      <c r="F1602" s="42" t="s">
        <v>279</v>
      </c>
      <c r="G1602" s="97">
        <v>710</v>
      </c>
      <c r="H1602" s="21" t="s">
        <v>235</v>
      </c>
      <c r="I1602" s="15"/>
      <c r="J1602" s="15"/>
      <c r="K1602" s="15">
        <f t="shared" si="620"/>
        <v>0</v>
      </c>
      <c r="L1602" s="130"/>
      <c r="M1602" s="15">
        <f>M1603</f>
        <v>3500</v>
      </c>
      <c r="N1602" s="15">
        <f t="shared" ref="N1602:N1603" si="652">N1603</f>
        <v>0</v>
      </c>
      <c r="O1602" s="15">
        <f t="shared" si="622"/>
        <v>3500</v>
      </c>
      <c r="Q1602" s="10">
        <f t="shared" ref="Q1602:Q1630" si="653">I1602+M1602</f>
        <v>3500</v>
      </c>
      <c r="R1602" s="10">
        <f t="shared" ref="R1602:R1630" si="654">J1602+N1602</f>
        <v>0</v>
      </c>
      <c r="S1602" s="10">
        <f t="shared" ref="S1602:S1630" si="655">K1602+O1602</f>
        <v>3500</v>
      </c>
    </row>
    <row r="1603" spans="2:19" x14ac:dyDescent="0.25">
      <c r="B1603" s="73">
        <f t="shared" ref="B1603:B1614" si="656">B1602+1</f>
        <v>68</v>
      </c>
      <c r="C1603" s="9"/>
      <c r="D1603" s="9"/>
      <c r="E1603" s="9"/>
      <c r="F1603" s="43" t="s">
        <v>279</v>
      </c>
      <c r="G1603" s="98">
        <v>716</v>
      </c>
      <c r="H1603" s="9" t="s">
        <v>237</v>
      </c>
      <c r="I1603" s="10"/>
      <c r="J1603" s="10"/>
      <c r="K1603" s="10">
        <f t="shared" ref="K1603:K1630" si="657">I1603+J1603</f>
        <v>0</v>
      </c>
      <c r="L1603" s="131"/>
      <c r="M1603" s="10">
        <f>M1604</f>
        <v>3500</v>
      </c>
      <c r="N1603" s="10">
        <f t="shared" si="652"/>
        <v>0</v>
      </c>
      <c r="O1603" s="10">
        <f t="shared" ref="O1603:O1630" si="658">M1603+N1603</f>
        <v>3500</v>
      </c>
      <c r="Q1603" s="10">
        <f t="shared" si="653"/>
        <v>3500</v>
      </c>
      <c r="R1603" s="10">
        <f t="shared" si="654"/>
        <v>0</v>
      </c>
      <c r="S1603" s="10">
        <f t="shared" si="655"/>
        <v>3500</v>
      </c>
    </row>
    <row r="1604" spans="2:19" x14ac:dyDescent="0.25">
      <c r="B1604" s="73">
        <f t="shared" si="656"/>
        <v>69</v>
      </c>
      <c r="C1604" s="9"/>
      <c r="D1604" s="9"/>
      <c r="E1604" s="9"/>
      <c r="F1604" s="43"/>
      <c r="G1604" s="98"/>
      <c r="H1604" s="67" t="s">
        <v>502</v>
      </c>
      <c r="I1604" s="10"/>
      <c r="J1604" s="10"/>
      <c r="K1604" s="10">
        <f t="shared" si="657"/>
        <v>0</v>
      </c>
      <c r="L1604" s="131"/>
      <c r="M1604" s="13">
        <v>3500</v>
      </c>
      <c r="N1604" s="13"/>
      <c r="O1604" s="13">
        <f t="shared" si="658"/>
        <v>3500</v>
      </c>
      <c r="Q1604" s="10">
        <f t="shared" si="653"/>
        <v>3500</v>
      </c>
      <c r="R1604" s="10">
        <f t="shared" si="654"/>
        <v>0</v>
      </c>
      <c r="S1604" s="10">
        <f t="shared" si="655"/>
        <v>3500</v>
      </c>
    </row>
    <row r="1605" spans="2:19" x14ac:dyDescent="0.25">
      <c r="B1605" s="73">
        <f t="shared" si="656"/>
        <v>70</v>
      </c>
      <c r="C1605" s="38"/>
      <c r="D1605" s="38"/>
      <c r="E1605" s="38">
        <v>2</v>
      </c>
      <c r="F1605" s="38"/>
      <c r="G1605" s="95"/>
      <c r="H1605" s="38" t="s">
        <v>48</v>
      </c>
      <c r="I1605" s="39">
        <f>I1606</f>
        <v>0</v>
      </c>
      <c r="J1605" s="39">
        <f t="shared" ref="J1605" si="659">J1606</f>
        <v>5000</v>
      </c>
      <c r="K1605" s="39">
        <f t="shared" ref="K1605:K1607" si="660">I1605+J1605</f>
        <v>5000</v>
      </c>
      <c r="L1605" s="138"/>
      <c r="M1605" s="39">
        <v>0</v>
      </c>
      <c r="N1605" s="39">
        <v>0</v>
      </c>
      <c r="O1605" s="39">
        <f t="shared" ref="O1605:O1607" si="661">M1605+N1605</f>
        <v>0</v>
      </c>
      <c r="Q1605" s="39">
        <f t="shared" ref="Q1605:Q1607" si="662">I1605+M1605</f>
        <v>0</v>
      </c>
      <c r="R1605" s="39">
        <f t="shared" ref="R1605:R1607" si="663">J1605+N1605</f>
        <v>5000</v>
      </c>
      <c r="S1605" s="39">
        <f t="shared" ref="S1605:S1607" si="664">K1605+O1605</f>
        <v>5000</v>
      </c>
    </row>
    <row r="1606" spans="2:19" x14ac:dyDescent="0.25">
      <c r="B1606" s="73">
        <f t="shared" si="656"/>
        <v>71</v>
      </c>
      <c r="C1606" s="21"/>
      <c r="D1606" s="21"/>
      <c r="E1606" s="21"/>
      <c r="F1606" s="42" t="s">
        <v>279</v>
      </c>
      <c r="G1606" s="97">
        <v>630</v>
      </c>
      <c r="H1606" s="21" t="s">
        <v>218</v>
      </c>
      <c r="I1606" s="15">
        <f>I1607</f>
        <v>0</v>
      </c>
      <c r="J1606" s="15">
        <f>SUM(J1607:J1609)</f>
        <v>5000</v>
      </c>
      <c r="K1606" s="15">
        <f t="shared" si="660"/>
        <v>5000</v>
      </c>
      <c r="L1606" s="130"/>
      <c r="M1606" s="15"/>
      <c r="N1606" s="15"/>
      <c r="O1606" s="15">
        <f t="shared" si="661"/>
        <v>0</v>
      </c>
      <c r="Q1606" s="15">
        <f t="shared" si="662"/>
        <v>0</v>
      </c>
      <c r="R1606" s="15">
        <f t="shared" si="663"/>
        <v>5000</v>
      </c>
      <c r="S1606" s="15">
        <f t="shared" si="664"/>
        <v>5000</v>
      </c>
    </row>
    <row r="1607" spans="2:19" x14ac:dyDescent="0.25">
      <c r="B1607" s="73">
        <f t="shared" si="656"/>
        <v>72</v>
      </c>
      <c r="C1607" s="9"/>
      <c r="D1607" s="9"/>
      <c r="E1607" s="9"/>
      <c r="F1607" s="43" t="s">
        <v>279</v>
      </c>
      <c r="G1607" s="98">
        <v>637</v>
      </c>
      <c r="H1607" s="9" t="s">
        <v>653</v>
      </c>
      <c r="I1607" s="10">
        <v>0</v>
      </c>
      <c r="J1607" s="10">
        <v>5000</v>
      </c>
      <c r="K1607" s="10">
        <f t="shared" si="660"/>
        <v>5000</v>
      </c>
      <c r="L1607" s="131"/>
      <c r="M1607" s="10"/>
      <c r="N1607" s="10"/>
      <c r="O1607" s="10">
        <f t="shared" si="661"/>
        <v>0</v>
      </c>
      <c r="Q1607" s="10">
        <f t="shared" si="662"/>
        <v>0</v>
      </c>
      <c r="R1607" s="10">
        <f t="shared" si="663"/>
        <v>5000</v>
      </c>
      <c r="S1607" s="10">
        <f t="shared" si="664"/>
        <v>5000</v>
      </c>
    </row>
    <row r="1608" spans="2:19" ht="15.75" x14ac:dyDescent="0.25">
      <c r="B1608" s="73">
        <f t="shared" si="656"/>
        <v>73</v>
      </c>
      <c r="C1608" s="34">
        <v>4</v>
      </c>
      <c r="D1608" s="227" t="s">
        <v>348</v>
      </c>
      <c r="E1608" s="228"/>
      <c r="F1608" s="228"/>
      <c r="G1608" s="228"/>
      <c r="H1608" s="229"/>
      <c r="I1608" s="35">
        <f>I1609</f>
        <v>20000</v>
      </c>
      <c r="J1608" s="35">
        <f t="shared" ref="J1608:J1610" si="665">J1609</f>
        <v>0</v>
      </c>
      <c r="K1608" s="35">
        <f t="shared" si="657"/>
        <v>20000</v>
      </c>
      <c r="L1608" s="135"/>
      <c r="M1608" s="35">
        <v>0</v>
      </c>
      <c r="N1608" s="35">
        <v>0</v>
      </c>
      <c r="O1608" s="35">
        <f t="shared" si="658"/>
        <v>0</v>
      </c>
      <c r="Q1608" s="35">
        <f t="shared" si="653"/>
        <v>20000</v>
      </c>
      <c r="R1608" s="35">
        <f t="shared" si="654"/>
        <v>0</v>
      </c>
      <c r="S1608" s="35">
        <f t="shared" si="655"/>
        <v>20000</v>
      </c>
    </row>
    <row r="1609" spans="2:19" x14ac:dyDescent="0.25">
      <c r="B1609" s="73">
        <f t="shared" si="656"/>
        <v>74</v>
      </c>
      <c r="C1609" s="21"/>
      <c r="D1609" s="21"/>
      <c r="E1609" s="21"/>
      <c r="F1609" s="42" t="s">
        <v>279</v>
      </c>
      <c r="G1609" s="97">
        <v>640</v>
      </c>
      <c r="H1609" s="21" t="s">
        <v>230</v>
      </c>
      <c r="I1609" s="15">
        <f>I1610</f>
        <v>20000</v>
      </c>
      <c r="J1609" s="15">
        <f t="shared" si="665"/>
        <v>0</v>
      </c>
      <c r="K1609" s="15">
        <f t="shared" si="657"/>
        <v>20000</v>
      </c>
      <c r="L1609" s="130"/>
      <c r="M1609" s="15"/>
      <c r="N1609" s="15"/>
      <c r="O1609" s="15">
        <f t="shared" si="658"/>
        <v>0</v>
      </c>
      <c r="Q1609" s="15">
        <f t="shared" si="653"/>
        <v>20000</v>
      </c>
      <c r="R1609" s="15">
        <f t="shared" si="654"/>
        <v>0</v>
      </c>
      <c r="S1609" s="15">
        <f t="shared" si="655"/>
        <v>20000</v>
      </c>
    </row>
    <row r="1610" spans="2:19" x14ac:dyDescent="0.25">
      <c r="B1610" s="73">
        <f t="shared" si="656"/>
        <v>75</v>
      </c>
      <c r="C1610" s="9"/>
      <c r="D1610" s="9"/>
      <c r="E1610" s="9"/>
      <c r="F1610" s="43" t="s">
        <v>279</v>
      </c>
      <c r="G1610" s="98">
        <v>642</v>
      </c>
      <c r="H1610" s="9" t="s">
        <v>231</v>
      </c>
      <c r="I1610" s="10">
        <f>I1611</f>
        <v>20000</v>
      </c>
      <c r="J1610" s="10">
        <f t="shared" si="665"/>
        <v>0</v>
      </c>
      <c r="K1610" s="10">
        <f t="shared" si="657"/>
        <v>20000</v>
      </c>
      <c r="L1610" s="131"/>
      <c r="M1610" s="10"/>
      <c r="N1610" s="10"/>
      <c r="O1610" s="10">
        <f t="shared" si="658"/>
        <v>0</v>
      </c>
      <c r="Q1610" s="10">
        <f t="shared" si="653"/>
        <v>20000</v>
      </c>
      <c r="R1610" s="10">
        <f t="shared" si="654"/>
        <v>0</v>
      </c>
      <c r="S1610" s="10">
        <f t="shared" si="655"/>
        <v>20000</v>
      </c>
    </row>
    <row r="1611" spans="2:19" x14ac:dyDescent="0.25">
      <c r="B1611" s="73">
        <f t="shared" si="656"/>
        <v>76</v>
      </c>
      <c r="C1611" s="12"/>
      <c r="D1611" s="12"/>
      <c r="E1611" s="12"/>
      <c r="F1611" s="12"/>
      <c r="G1611" s="99"/>
      <c r="H1611" s="71" t="s">
        <v>408</v>
      </c>
      <c r="I1611" s="13">
        <v>20000</v>
      </c>
      <c r="J1611" s="13"/>
      <c r="K1611" s="13">
        <f t="shared" si="657"/>
        <v>20000</v>
      </c>
      <c r="L1611" s="132"/>
      <c r="M1611" s="13"/>
      <c r="N1611" s="13"/>
      <c r="O1611" s="13">
        <f t="shared" si="658"/>
        <v>0</v>
      </c>
      <c r="Q1611" s="13">
        <f t="shared" si="653"/>
        <v>20000</v>
      </c>
      <c r="R1611" s="13">
        <f t="shared" si="654"/>
        <v>0</v>
      </c>
      <c r="S1611" s="13">
        <f t="shared" si="655"/>
        <v>20000</v>
      </c>
    </row>
    <row r="1612" spans="2:19" ht="15.75" x14ac:dyDescent="0.25">
      <c r="B1612" s="73">
        <f t="shared" si="656"/>
        <v>77</v>
      </c>
      <c r="C1612" s="34">
        <v>5</v>
      </c>
      <c r="D1612" s="227" t="s">
        <v>349</v>
      </c>
      <c r="E1612" s="228"/>
      <c r="F1612" s="228"/>
      <c r="G1612" s="228"/>
      <c r="H1612" s="229"/>
      <c r="I1612" s="35">
        <f>I1613</f>
        <v>7350</v>
      </c>
      <c r="J1612" s="35">
        <f t="shared" ref="J1612:J1613" si="666">J1613</f>
        <v>0</v>
      </c>
      <c r="K1612" s="35">
        <f t="shared" si="657"/>
        <v>7350</v>
      </c>
      <c r="L1612" s="135"/>
      <c r="M1612" s="35">
        <f>M1613</f>
        <v>0</v>
      </c>
      <c r="N1612" s="35">
        <f t="shared" ref="N1612" si="667">N1613</f>
        <v>0</v>
      </c>
      <c r="O1612" s="35">
        <f t="shared" si="658"/>
        <v>0</v>
      </c>
      <c r="Q1612" s="35">
        <f t="shared" si="653"/>
        <v>7350</v>
      </c>
      <c r="R1612" s="35">
        <f t="shared" si="654"/>
        <v>0</v>
      </c>
      <c r="S1612" s="35">
        <f t="shared" si="655"/>
        <v>7350</v>
      </c>
    </row>
    <row r="1613" spans="2:19" x14ac:dyDescent="0.25">
      <c r="B1613" s="73">
        <f t="shared" si="656"/>
        <v>78</v>
      </c>
      <c r="C1613" s="38"/>
      <c r="D1613" s="38"/>
      <c r="E1613" s="38">
        <v>2</v>
      </c>
      <c r="F1613" s="38"/>
      <c r="G1613" s="95"/>
      <c r="H1613" s="38" t="s">
        <v>48</v>
      </c>
      <c r="I1613" s="39">
        <f>I1614</f>
        <v>7350</v>
      </c>
      <c r="J1613" s="39">
        <f t="shared" si="666"/>
        <v>0</v>
      </c>
      <c r="K1613" s="39">
        <f t="shared" si="657"/>
        <v>7350</v>
      </c>
      <c r="L1613" s="138"/>
      <c r="M1613" s="39">
        <v>0</v>
      </c>
      <c r="N1613" s="39">
        <v>0</v>
      </c>
      <c r="O1613" s="39">
        <f t="shared" si="658"/>
        <v>0</v>
      </c>
      <c r="Q1613" s="39">
        <f t="shared" si="653"/>
        <v>7350</v>
      </c>
      <c r="R1613" s="39">
        <f t="shared" si="654"/>
        <v>0</v>
      </c>
      <c r="S1613" s="39">
        <f t="shared" si="655"/>
        <v>7350</v>
      </c>
    </row>
    <row r="1614" spans="2:19" x14ac:dyDescent="0.25">
      <c r="B1614" s="73">
        <f t="shared" si="656"/>
        <v>79</v>
      </c>
      <c r="C1614" s="21"/>
      <c r="D1614" s="21"/>
      <c r="E1614" s="21"/>
      <c r="F1614" s="42" t="s">
        <v>279</v>
      </c>
      <c r="G1614" s="97">
        <v>630</v>
      </c>
      <c r="H1614" s="21" t="s">
        <v>218</v>
      </c>
      <c r="I1614" s="15">
        <f>SUM(I1615:I1618)</f>
        <v>7350</v>
      </c>
      <c r="J1614" s="15">
        <f t="shared" ref="J1614" si="668">SUM(J1615:J1618)</f>
        <v>0</v>
      </c>
      <c r="K1614" s="15">
        <f t="shared" si="657"/>
        <v>7350</v>
      </c>
      <c r="L1614" s="130"/>
      <c r="M1614" s="15"/>
      <c r="N1614" s="15"/>
      <c r="O1614" s="15">
        <f t="shared" si="658"/>
        <v>0</v>
      </c>
      <c r="Q1614" s="15">
        <f t="shared" si="653"/>
        <v>7350</v>
      </c>
      <c r="R1614" s="15">
        <f t="shared" si="654"/>
        <v>0</v>
      </c>
      <c r="S1614" s="15">
        <f t="shared" si="655"/>
        <v>7350</v>
      </c>
    </row>
    <row r="1615" spans="2:19" x14ac:dyDescent="0.25">
      <c r="B1615" s="73">
        <f t="shared" ref="B1615:B1630" si="669">B1614+1</f>
        <v>80</v>
      </c>
      <c r="C1615" s="9"/>
      <c r="D1615" s="9"/>
      <c r="E1615" s="9"/>
      <c r="F1615" s="43" t="s">
        <v>279</v>
      </c>
      <c r="G1615" s="98">
        <v>632</v>
      </c>
      <c r="H1615" s="9" t="s">
        <v>229</v>
      </c>
      <c r="I1615" s="10">
        <v>5000</v>
      </c>
      <c r="J1615" s="10"/>
      <c r="K1615" s="10">
        <f t="shared" si="657"/>
        <v>5000</v>
      </c>
      <c r="L1615" s="131"/>
      <c r="M1615" s="10"/>
      <c r="N1615" s="10"/>
      <c r="O1615" s="10">
        <f t="shared" si="658"/>
        <v>0</v>
      </c>
      <c r="Q1615" s="10">
        <f t="shared" si="653"/>
        <v>5000</v>
      </c>
      <c r="R1615" s="10">
        <f t="shared" si="654"/>
        <v>0</v>
      </c>
      <c r="S1615" s="10">
        <f t="shared" si="655"/>
        <v>5000</v>
      </c>
    </row>
    <row r="1616" spans="2:19" x14ac:dyDescent="0.25">
      <c r="B1616" s="73">
        <f t="shared" si="669"/>
        <v>81</v>
      </c>
      <c r="C1616" s="9"/>
      <c r="D1616" s="9"/>
      <c r="E1616" s="9"/>
      <c r="F1616" s="43" t="s">
        <v>279</v>
      </c>
      <c r="G1616" s="98">
        <v>633</v>
      </c>
      <c r="H1616" s="9" t="s">
        <v>220</v>
      </c>
      <c r="I1616" s="10">
        <v>1500</v>
      </c>
      <c r="J1616" s="10"/>
      <c r="K1616" s="10">
        <f t="shared" si="657"/>
        <v>1500</v>
      </c>
      <c r="L1616" s="131"/>
      <c r="M1616" s="10"/>
      <c r="N1616" s="10"/>
      <c r="O1616" s="10">
        <f t="shared" si="658"/>
        <v>0</v>
      </c>
      <c r="Q1616" s="10">
        <f t="shared" si="653"/>
        <v>1500</v>
      </c>
      <c r="R1616" s="10">
        <f t="shared" si="654"/>
        <v>0</v>
      </c>
      <c r="S1616" s="10">
        <f t="shared" si="655"/>
        <v>1500</v>
      </c>
    </row>
    <row r="1617" spans="2:19" x14ac:dyDescent="0.25">
      <c r="B1617" s="73">
        <f t="shared" si="669"/>
        <v>82</v>
      </c>
      <c r="C1617" s="9"/>
      <c r="D1617" s="9"/>
      <c r="E1617" s="9"/>
      <c r="F1617" s="43" t="s">
        <v>279</v>
      </c>
      <c r="G1617" s="98">
        <v>635</v>
      </c>
      <c r="H1617" s="9" t="s">
        <v>234</v>
      </c>
      <c r="I1617" s="10">
        <v>400</v>
      </c>
      <c r="J1617" s="10"/>
      <c r="K1617" s="10">
        <f t="shared" si="657"/>
        <v>400</v>
      </c>
      <c r="L1617" s="131"/>
      <c r="M1617" s="10"/>
      <c r="N1617" s="10"/>
      <c r="O1617" s="10">
        <f t="shared" si="658"/>
        <v>0</v>
      </c>
      <c r="Q1617" s="10">
        <f t="shared" si="653"/>
        <v>400</v>
      </c>
      <c r="R1617" s="10">
        <f t="shared" si="654"/>
        <v>0</v>
      </c>
      <c r="S1617" s="10">
        <f t="shared" si="655"/>
        <v>400</v>
      </c>
    </row>
    <row r="1618" spans="2:19" x14ac:dyDescent="0.25">
      <c r="B1618" s="73">
        <f t="shared" si="669"/>
        <v>83</v>
      </c>
      <c r="C1618" s="9"/>
      <c r="D1618" s="9"/>
      <c r="E1618" s="9"/>
      <c r="F1618" s="43" t="s">
        <v>279</v>
      </c>
      <c r="G1618" s="98">
        <v>637</v>
      </c>
      <c r="H1618" s="9" t="s">
        <v>223</v>
      </c>
      <c r="I1618" s="10">
        <v>450</v>
      </c>
      <c r="J1618" s="10"/>
      <c r="K1618" s="10">
        <f t="shared" si="657"/>
        <v>450</v>
      </c>
      <c r="L1618" s="131"/>
      <c r="M1618" s="10"/>
      <c r="N1618" s="10"/>
      <c r="O1618" s="10">
        <f t="shared" si="658"/>
        <v>0</v>
      </c>
      <c r="Q1618" s="10">
        <f t="shared" si="653"/>
        <v>450</v>
      </c>
      <c r="R1618" s="10">
        <f t="shared" si="654"/>
        <v>0</v>
      </c>
      <c r="S1618" s="10">
        <f t="shared" si="655"/>
        <v>450</v>
      </c>
    </row>
    <row r="1619" spans="2:19" ht="15.75" x14ac:dyDescent="0.25">
      <c r="B1619" s="73">
        <f t="shared" si="669"/>
        <v>84</v>
      </c>
      <c r="C1619" s="34">
        <v>6</v>
      </c>
      <c r="D1619" s="227" t="s">
        <v>66</v>
      </c>
      <c r="E1619" s="228"/>
      <c r="F1619" s="228"/>
      <c r="G1619" s="228"/>
      <c r="H1619" s="229"/>
      <c r="I1619" s="35">
        <f>I1620</f>
        <v>272850</v>
      </c>
      <c r="J1619" s="35">
        <f t="shared" ref="J1619" si="670">J1620</f>
        <v>0</v>
      </c>
      <c r="K1619" s="35">
        <f t="shared" si="657"/>
        <v>272850</v>
      </c>
      <c r="L1619" s="135"/>
      <c r="M1619" s="35">
        <v>0</v>
      </c>
      <c r="N1619" s="35">
        <v>0</v>
      </c>
      <c r="O1619" s="35">
        <f t="shared" si="658"/>
        <v>0</v>
      </c>
      <c r="Q1619" s="35">
        <f t="shared" si="653"/>
        <v>272850</v>
      </c>
      <c r="R1619" s="35">
        <f t="shared" si="654"/>
        <v>0</v>
      </c>
      <c r="S1619" s="35">
        <f t="shared" si="655"/>
        <v>272850</v>
      </c>
    </row>
    <row r="1620" spans="2:19" x14ac:dyDescent="0.25">
      <c r="B1620" s="73">
        <f t="shared" si="669"/>
        <v>85</v>
      </c>
      <c r="C1620" s="38"/>
      <c r="D1620" s="38"/>
      <c r="E1620" s="38">
        <v>2</v>
      </c>
      <c r="F1620" s="38"/>
      <c r="G1620" s="95"/>
      <c r="H1620" s="38" t="s">
        <v>48</v>
      </c>
      <c r="I1620" s="39">
        <f>I1621+I1622+I1623+I1630</f>
        <v>272850</v>
      </c>
      <c r="J1620" s="39">
        <f t="shared" ref="J1620" si="671">J1621+J1622+J1623+J1630</f>
        <v>0</v>
      </c>
      <c r="K1620" s="39">
        <f t="shared" si="657"/>
        <v>272850</v>
      </c>
      <c r="L1620" s="138"/>
      <c r="M1620" s="39"/>
      <c r="N1620" s="39"/>
      <c r="O1620" s="39">
        <f t="shared" si="658"/>
        <v>0</v>
      </c>
      <c r="Q1620" s="39">
        <f t="shared" si="653"/>
        <v>272850</v>
      </c>
      <c r="R1620" s="39">
        <f t="shared" si="654"/>
        <v>0</v>
      </c>
      <c r="S1620" s="39">
        <f t="shared" si="655"/>
        <v>272850</v>
      </c>
    </row>
    <row r="1621" spans="2:19" x14ac:dyDescent="0.25">
      <c r="B1621" s="73">
        <f t="shared" si="669"/>
        <v>86</v>
      </c>
      <c r="C1621" s="21"/>
      <c r="D1621" s="21"/>
      <c r="E1621" s="21"/>
      <c r="F1621" s="42" t="s">
        <v>279</v>
      </c>
      <c r="G1621" s="97">
        <v>610</v>
      </c>
      <c r="H1621" s="21" t="s">
        <v>245</v>
      </c>
      <c r="I1621" s="15">
        <f>78200+75000</f>
        <v>153200</v>
      </c>
      <c r="J1621" s="15">
        <f>+-7000</f>
        <v>-7000</v>
      </c>
      <c r="K1621" s="15">
        <f t="shared" si="657"/>
        <v>146200</v>
      </c>
      <c r="L1621" s="130"/>
      <c r="M1621" s="15"/>
      <c r="N1621" s="15"/>
      <c r="O1621" s="15">
        <f t="shared" si="658"/>
        <v>0</v>
      </c>
      <c r="Q1621" s="15">
        <f t="shared" si="653"/>
        <v>153200</v>
      </c>
      <c r="R1621" s="15">
        <f t="shared" si="654"/>
        <v>-7000</v>
      </c>
      <c r="S1621" s="15">
        <f t="shared" si="655"/>
        <v>146200</v>
      </c>
    </row>
    <row r="1622" spans="2:19" x14ac:dyDescent="0.25">
      <c r="B1622" s="73">
        <f t="shared" si="669"/>
        <v>87</v>
      </c>
      <c r="C1622" s="21"/>
      <c r="D1622" s="21"/>
      <c r="E1622" s="21"/>
      <c r="F1622" s="42" t="s">
        <v>279</v>
      </c>
      <c r="G1622" s="97">
        <v>620</v>
      </c>
      <c r="H1622" s="21" t="s">
        <v>228</v>
      </c>
      <c r="I1622" s="15">
        <f>33700+25000</f>
        <v>58700</v>
      </c>
      <c r="J1622" s="15">
        <v>-1000</v>
      </c>
      <c r="K1622" s="15">
        <f t="shared" si="657"/>
        <v>57700</v>
      </c>
      <c r="L1622" s="130"/>
      <c r="M1622" s="15"/>
      <c r="N1622" s="15"/>
      <c r="O1622" s="15">
        <f t="shared" si="658"/>
        <v>0</v>
      </c>
      <c r="Q1622" s="15">
        <f t="shared" si="653"/>
        <v>58700</v>
      </c>
      <c r="R1622" s="15">
        <f t="shared" si="654"/>
        <v>-1000</v>
      </c>
      <c r="S1622" s="15">
        <f t="shared" si="655"/>
        <v>57700</v>
      </c>
    </row>
    <row r="1623" spans="2:19" x14ac:dyDescent="0.25">
      <c r="B1623" s="73">
        <f t="shared" si="669"/>
        <v>88</v>
      </c>
      <c r="C1623" s="21"/>
      <c r="D1623" s="21"/>
      <c r="E1623" s="21"/>
      <c r="F1623" s="42" t="s">
        <v>279</v>
      </c>
      <c r="G1623" s="97">
        <v>630</v>
      </c>
      <c r="H1623" s="21" t="s">
        <v>218</v>
      </c>
      <c r="I1623" s="15">
        <f>SUM(I1624:I1629)</f>
        <v>59450</v>
      </c>
      <c r="J1623" s="15">
        <f t="shared" ref="J1623" si="672">SUM(J1624:J1629)</f>
        <v>8000</v>
      </c>
      <c r="K1623" s="15">
        <f t="shared" si="657"/>
        <v>67450</v>
      </c>
      <c r="L1623" s="130"/>
      <c r="M1623" s="15"/>
      <c r="N1623" s="15"/>
      <c r="O1623" s="15">
        <f t="shared" si="658"/>
        <v>0</v>
      </c>
      <c r="Q1623" s="15">
        <f t="shared" si="653"/>
        <v>59450</v>
      </c>
      <c r="R1623" s="15">
        <f t="shared" si="654"/>
        <v>8000</v>
      </c>
      <c r="S1623" s="15">
        <f t="shared" si="655"/>
        <v>67450</v>
      </c>
    </row>
    <row r="1624" spans="2:19" x14ac:dyDescent="0.25">
      <c r="B1624" s="73">
        <f t="shared" si="669"/>
        <v>89</v>
      </c>
      <c r="C1624" s="9"/>
      <c r="D1624" s="9"/>
      <c r="E1624" s="9"/>
      <c r="F1624" s="43" t="s">
        <v>279</v>
      </c>
      <c r="G1624" s="98">
        <v>631</v>
      </c>
      <c r="H1624" s="9" t="s">
        <v>219</v>
      </c>
      <c r="I1624" s="10">
        <v>100</v>
      </c>
      <c r="J1624" s="10"/>
      <c r="K1624" s="10">
        <f t="shared" si="657"/>
        <v>100</v>
      </c>
      <c r="L1624" s="131"/>
      <c r="M1624" s="10"/>
      <c r="N1624" s="10"/>
      <c r="O1624" s="10">
        <f t="shared" si="658"/>
        <v>0</v>
      </c>
      <c r="Q1624" s="10">
        <f t="shared" si="653"/>
        <v>100</v>
      </c>
      <c r="R1624" s="10">
        <f t="shared" si="654"/>
        <v>0</v>
      </c>
      <c r="S1624" s="10">
        <f t="shared" si="655"/>
        <v>100</v>
      </c>
    </row>
    <row r="1625" spans="2:19" x14ac:dyDescent="0.25">
      <c r="B1625" s="73">
        <f t="shared" si="669"/>
        <v>90</v>
      </c>
      <c r="C1625" s="9"/>
      <c r="D1625" s="9"/>
      <c r="E1625" s="9"/>
      <c r="F1625" s="43" t="s">
        <v>279</v>
      </c>
      <c r="G1625" s="98">
        <v>632</v>
      </c>
      <c r="H1625" s="9" t="s">
        <v>229</v>
      </c>
      <c r="I1625" s="10">
        <v>3700</v>
      </c>
      <c r="J1625" s="10"/>
      <c r="K1625" s="10">
        <f t="shared" si="657"/>
        <v>3700</v>
      </c>
      <c r="L1625" s="131"/>
      <c r="M1625" s="10"/>
      <c r="N1625" s="10"/>
      <c r="O1625" s="10">
        <f t="shared" si="658"/>
        <v>0</v>
      </c>
      <c r="Q1625" s="10">
        <f t="shared" si="653"/>
        <v>3700</v>
      </c>
      <c r="R1625" s="10">
        <f t="shared" si="654"/>
        <v>0</v>
      </c>
      <c r="S1625" s="10">
        <f t="shared" si="655"/>
        <v>3700</v>
      </c>
    </row>
    <row r="1626" spans="2:19" x14ac:dyDescent="0.25">
      <c r="B1626" s="73">
        <f t="shared" si="669"/>
        <v>91</v>
      </c>
      <c r="C1626" s="9"/>
      <c r="D1626" s="9"/>
      <c r="E1626" s="9"/>
      <c r="F1626" s="43" t="s">
        <v>279</v>
      </c>
      <c r="G1626" s="98">
        <v>633</v>
      </c>
      <c r="H1626" s="9" t="s">
        <v>220</v>
      </c>
      <c r="I1626" s="10">
        <v>4000</v>
      </c>
      <c r="J1626" s="10"/>
      <c r="K1626" s="10">
        <f t="shared" si="657"/>
        <v>4000</v>
      </c>
      <c r="L1626" s="131"/>
      <c r="M1626" s="10"/>
      <c r="N1626" s="10"/>
      <c r="O1626" s="10">
        <f t="shared" si="658"/>
        <v>0</v>
      </c>
      <c r="Q1626" s="10">
        <f t="shared" si="653"/>
        <v>4000</v>
      </c>
      <c r="R1626" s="10">
        <f t="shared" si="654"/>
        <v>0</v>
      </c>
      <c r="S1626" s="10">
        <f t="shared" si="655"/>
        <v>4000</v>
      </c>
    </row>
    <row r="1627" spans="2:19" x14ac:dyDescent="0.25">
      <c r="B1627" s="73">
        <f t="shared" si="669"/>
        <v>92</v>
      </c>
      <c r="C1627" s="9"/>
      <c r="D1627" s="9"/>
      <c r="E1627" s="9"/>
      <c r="F1627" s="43" t="s">
        <v>279</v>
      </c>
      <c r="G1627" s="98">
        <v>634</v>
      </c>
      <c r="H1627" s="9" t="s">
        <v>221</v>
      </c>
      <c r="I1627" s="10">
        <v>11500</v>
      </c>
      <c r="J1627" s="10"/>
      <c r="K1627" s="10">
        <f t="shared" si="657"/>
        <v>11500</v>
      </c>
      <c r="L1627" s="131"/>
      <c r="M1627" s="10"/>
      <c r="N1627" s="10"/>
      <c r="O1627" s="10">
        <f t="shared" si="658"/>
        <v>0</v>
      </c>
      <c r="Q1627" s="10">
        <f t="shared" si="653"/>
        <v>11500</v>
      </c>
      <c r="R1627" s="10">
        <f t="shared" si="654"/>
        <v>0</v>
      </c>
      <c r="S1627" s="10">
        <f t="shared" si="655"/>
        <v>11500</v>
      </c>
    </row>
    <row r="1628" spans="2:19" x14ac:dyDescent="0.25">
      <c r="B1628" s="73">
        <f t="shared" si="669"/>
        <v>93</v>
      </c>
      <c r="C1628" s="9"/>
      <c r="D1628" s="9"/>
      <c r="E1628" s="9"/>
      <c r="F1628" s="43" t="s">
        <v>279</v>
      </c>
      <c r="G1628" s="98">
        <v>635</v>
      </c>
      <c r="H1628" s="9" t="s">
        <v>234</v>
      </c>
      <c r="I1628" s="10">
        <v>200</v>
      </c>
      <c r="J1628" s="10"/>
      <c r="K1628" s="10">
        <f t="shared" si="657"/>
        <v>200</v>
      </c>
      <c r="L1628" s="131"/>
      <c r="M1628" s="10"/>
      <c r="N1628" s="10"/>
      <c r="O1628" s="10">
        <f t="shared" si="658"/>
        <v>0</v>
      </c>
      <c r="Q1628" s="10">
        <f t="shared" si="653"/>
        <v>200</v>
      </c>
      <c r="R1628" s="10">
        <f t="shared" si="654"/>
        <v>0</v>
      </c>
      <c r="S1628" s="10">
        <f t="shared" si="655"/>
        <v>200</v>
      </c>
    </row>
    <row r="1629" spans="2:19" x14ac:dyDescent="0.25">
      <c r="B1629" s="73">
        <f t="shared" si="669"/>
        <v>94</v>
      </c>
      <c r="C1629" s="9"/>
      <c r="D1629" s="9"/>
      <c r="E1629" s="9"/>
      <c r="F1629" s="43" t="s">
        <v>279</v>
      </c>
      <c r="G1629" s="98">
        <v>637</v>
      </c>
      <c r="H1629" s="9" t="s">
        <v>223</v>
      </c>
      <c r="I1629" s="10">
        <v>39950</v>
      </c>
      <c r="J1629" s="10">
        <v>8000</v>
      </c>
      <c r="K1629" s="10">
        <f t="shared" si="657"/>
        <v>47950</v>
      </c>
      <c r="L1629" s="131"/>
      <c r="M1629" s="10"/>
      <c r="N1629" s="10"/>
      <c r="O1629" s="10">
        <f t="shared" si="658"/>
        <v>0</v>
      </c>
      <c r="Q1629" s="10">
        <f t="shared" si="653"/>
        <v>39950</v>
      </c>
      <c r="R1629" s="10">
        <f t="shared" si="654"/>
        <v>8000</v>
      </c>
      <c r="S1629" s="10">
        <f t="shared" si="655"/>
        <v>47950</v>
      </c>
    </row>
    <row r="1630" spans="2:19" x14ac:dyDescent="0.25">
      <c r="B1630" s="73">
        <f t="shared" si="669"/>
        <v>95</v>
      </c>
      <c r="C1630" s="21"/>
      <c r="D1630" s="21"/>
      <c r="E1630" s="21"/>
      <c r="F1630" s="42" t="s">
        <v>279</v>
      </c>
      <c r="G1630" s="97">
        <v>640</v>
      </c>
      <c r="H1630" s="21" t="s">
        <v>230</v>
      </c>
      <c r="I1630" s="15">
        <v>1500</v>
      </c>
      <c r="J1630" s="15"/>
      <c r="K1630" s="15">
        <f t="shared" si="657"/>
        <v>1500</v>
      </c>
      <c r="L1630" s="130"/>
      <c r="M1630" s="15"/>
      <c r="N1630" s="15"/>
      <c r="O1630" s="15">
        <f t="shared" si="658"/>
        <v>0</v>
      </c>
      <c r="Q1630" s="15">
        <f t="shared" si="653"/>
        <v>1500</v>
      </c>
      <c r="R1630" s="15">
        <f t="shared" si="654"/>
        <v>0</v>
      </c>
      <c r="S1630" s="15">
        <f t="shared" si="655"/>
        <v>1500</v>
      </c>
    </row>
    <row r="1672" spans="2:19" ht="27" x14ac:dyDescent="0.35">
      <c r="B1672" s="231" t="s">
        <v>350</v>
      </c>
      <c r="C1672" s="232"/>
      <c r="D1672" s="232"/>
      <c r="E1672" s="232"/>
      <c r="F1672" s="232"/>
      <c r="G1672" s="232"/>
      <c r="H1672" s="232"/>
      <c r="I1672" s="232"/>
      <c r="J1672" s="232"/>
      <c r="K1672" s="232"/>
      <c r="L1672" s="232"/>
      <c r="M1672" s="232"/>
    </row>
    <row r="1673" spans="2:19" x14ac:dyDescent="0.25">
      <c r="B1673" s="233" t="s">
        <v>208</v>
      </c>
      <c r="C1673" s="234"/>
      <c r="D1673" s="234"/>
      <c r="E1673" s="234"/>
      <c r="F1673" s="234"/>
      <c r="G1673" s="234"/>
      <c r="H1673" s="234"/>
      <c r="I1673" s="234"/>
      <c r="J1673" s="234"/>
      <c r="K1673" s="234"/>
      <c r="L1673" s="234"/>
      <c r="M1673" s="235"/>
      <c r="N1673" s="169"/>
      <c r="O1673" s="170"/>
      <c r="Q1673" s="236" t="s">
        <v>563</v>
      </c>
      <c r="R1673" s="221" t="s">
        <v>635</v>
      </c>
      <c r="S1673" s="221" t="s">
        <v>636</v>
      </c>
    </row>
    <row r="1674" spans="2:19" x14ac:dyDescent="0.25">
      <c r="B1674" s="237"/>
      <c r="C1674" s="240" t="s">
        <v>209</v>
      </c>
      <c r="D1674" s="240" t="s">
        <v>210</v>
      </c>
      <c r="E1674" s="240" t="s">
        <v>211</v>
      </c>
      <c r="F1674" s="240" t="s">
        <v>212</v>
      </c>
      <c r="G1674" s="243" t="s">
        <v>213</v>
      </c>
      <c r="H1674" s="245" t="s">
        <v>214</v>
      </c>
      <c r="I1674" s="248" t="s">
        <v>561</v>
      </c>
      <c r="J1674" s="222" t="s">
        <v>635</v>
      </c>
      <c r="K1674" s="222" t="s">
        <v>637</v>
      </c>
      <c r="L1674" s="129"/>
      <c r="M1674" s="250" t="s">
        <v>562</v>
      </c>
      <c r="N1674" s="222" t="s">
        <v>635</v>
      </c>
      <c r="O1674" s="222" t="s">
        <v>638</v>
      </c>
      <c r="Q1674" s="236"/>
      <c r="R1674" s="222"/>
      <c r="S1674" s="222"/>
    </row>
    <row r="1675" spans="2:19" x14ac:dyDescent="0.25">
      <c r="B1675" s="238"/>
      <c r="C1675" s="241"/>
      <c r="D1675" s="241"/>
      <c r="E1675" s="241"/>
      <c r="F1675" s="241"/>
      <c r="G1675" s="243"/>
      <c r="H1675" s="246"/>
      <c r="I1675" s="248"/>
      <c r="J1675" s="222"/>
      <c r="K1675" s="222"/>
      <c r="L1675" s="129"/>
      <c r="M1675" s="250"/>
      <c r="N1675" s="222"/>
      <c r="O1675" s="222"/>
      <c r="Q1675" s="236"/>
      <c r="R1675" s="222"/>
      <c r="S1675" s="222"/>
    </row>
    <row r="1676" spans="2:19" x14ac:dyDescent="0.25">
      <c r="B1676" s="238"/>
      <c r="C1676" s="241"/>
      <c r="D1676" s="241"/>
      <c r="E1676" s="241"/>
      <c r="F1676" s="241"/>
      <c r="G1676" s="243"/>
      <c r="H1676" s="246"/>
      <c r="I1676" s="248"/>
      <c r="J1676" s="222"/>
      <c r="K1676" s="222"/>
      <c r="L1676" s="129"/>
      <c r="M1676" s="250"/>
      <c r="N1676" s="222"/>
      <c r="O1676" s="222"/>
      <c r="Q1676" s="236"/>
      <c r="R1676" s="222"/>
      <c r="S1676" s="222"/>
    </row>
    <row r="1677" spans="2:19" ht="15.75" thickBot="1" x14ac:dyDescent="0.3">
      <c r="B1677" s="239"/>
      <c r="C1677" s="242"/>
      <c r="D1677" s="242"/>
      <c r="E1677" s="242"/>
      <c r="F1677" s="242"/>
      <c r="G1677" s="244"/>
      <c r="H1677" s="247"/>
      <c r="I1677" s="249"/>
      <c r="J1677" s="223"/>
      <c r="K1677" s="223"/>
      <c r="L1677" s="129"/>
      <c r="M1677" s="251"/>
      <c r="N1677" s="223"/>
      <c r="O1677" s="223"/>
      <c r="Q1677" s="236"/>
      <c r="R1677" s="223"/>
      <c r="S1677" s="223"/>
    </row>
    <row r="1678" spans="2:19" ht="16.5" thickTop="1" x14ac:dyDescent="0.25">
      <c r="B1678" s="74">
        <v>1</v>
      </c>
      <c r="C1678" s="224" t="s">
        <v>350</v>
      </c>
      <c r="D1678" s="225"/>
      <c r="E1678" s="225"/>
      <c r="F1678" s="225"/>
      <c r="G1678" s="225"/>
      <c r="H1678" s="226"/>
      <c r="I1678" s="33">
        <f>I1679+I1692+I1695+I1712+I1721+I1755+I1772+I1782+I1785+I1790+I1800</f>
        <v>2684962</v>
      </c>
      <c r="J1678" s="33">
        <f t="shared" ref="J1678" si="673">J1679+J1692+J1695+J1712+J1721+J1755+J1772+J1782+J1785+J1790+J1800</f>
        <v>94</v>
      </c>
      <c r="K1678" s="33">
        <f>I1678+J1678</f>
        <v>2685056</v>
      </c>
      <c r="L1678" s="134"/>
      <c r="M1678" s="33">
        <f>M1800+M1790+M1785+M1782+M1772+M1755+M1721+M1712+M1695+M1692+M1679</f>
        <v>10000</v>
      </c>
      <c r="N1678" s="33">
        <f t="shared" ref="N1678" si="674">N1800+N1790+N1785+N1782+N1772+N1755+N1721+N1712+N1695+N1692+N1679</f>
        <v>0</v>
      </c>
      <c r="O1678" s="33">
        <f>M1678+N1678</f>
        <v>10000</v>
      </c>
      <c r="Q1678" s="33">
        <f t="shared" ref="Q1678:Q1742" si="675">I1678+M1678</f>
        <v>2694962</v>
      </c>
      <c r="R1678" s="33">
        <f t="shared" ref="R1678:R1742" si="676">J1678+N1678</f>
        <v>94</v>
      </c>
      <c r="S1678" s="33">
        <f t="shared" ref="S1678:S1742" si="677">K1678+O1678</f>
        <v>2695056</v>
      </c>
    </row>
    <row r="1679" spans="2:19" ht="15.75" x14ac:dyDescent="0.25">
      <c r="B1679" s="73">
        <f t="shared" ref="B1679:B1743" si="678">B1678+1</f>
        <v>2</v>
      </c>
      <c r="C1679" s="34">
        <v>1</v>
      </c>
      <c r="D1679" s="227" t="s">
        <v>351</v>
      </c>
      <c r="E1679" s="228"/>
      <c r="F1679" s="228"/>
      <c r="G1679" s="228"/>
      <c r="H1679" s="229"/>
      <c r="I1679" s="35">
        <f>I1680</f>
        <v>197900</v>
      </c>
      <c r="J1679" s="35">
        <f t="shared" ref="J1679" si="679">J1680</f>
        <v>0</v>
      </c>
      <c r="K1679" s="35">
        <f t="shared" ref="K1679:K1743" si="680">I1679+J1679</f>
        <v>197900</v>
      </c>
      <c r="L1679" s="135"/>
      <c r="M1679" s="35">
        <f>M1680</f>
        <v>10000</v>
      </c>
      <c r="N1679" s="35">
        <f t="shared" ref="N1679" si="681">N1680</f>
        <v>0</v>
      </c>
      <c r="O1679" s="35">
        <f t="shared" ref="O1679:O1743" si="682">M1679+N1679</f>
        <v>10000</v>
      </c>
      <c r="Q1679" s="35">
        <f t="shared" si="675"/>
        <v>207900</v>
      </c>
      <c r="R1679" s="35">
        <f t="shared" si="676"/>
        <v>0</v>
      </c>
      <c r="S1679" s="35">
        <f t="shared" si="677"/>
        <v>207900</v>
      </c>
    </row>
    <row r="1680" spans="2:19" x14ac:dyDescent="0.25">
      <c r="B1680" s="73">
        <f>B1679+1</f>
        <v>3</v>
      </c>
      <c r="C1680" s="38"/>
      <c r="D1680" s="38"/>
      <c r="E1680" s="38">
        <v>5</v>
      </c>
      <c r="F1680" s="38"/>
      <c r="G1680" s="95"/>
      <c r="H1680" s="38" t="s">
        <v>121</v>
      </c>
      <c r="I1680" s="39">
        <f>I1681+I1682+I1683+I1688</f>
        <v>197900</v>
      </c>
      <c r="J1680" s="39">
        <f t="shared" ref="J1680" si="683">J1681+J1682+J1683+J1688</f>
        <v>0</v>
      </c>
      <c r="K1680" s="39">
        <f t="shared" si="680"/>
        <v>197900</v>
      </c>
      <c r="L1680" s="138"/>
      <c r="M1680" s="39">
        <f>M1689</f>
        <v>10000</v>
      </c>
      <c r="N1680" s="39">
        <f t="shared" ref="N1680" si="684">N1689</f>
        <v>0</v>
      </c>
      <c r="O1680" s="39">
        <f t="shared" si="682"/>
        <v>10000</v>
      </c>
      <c r="Q1680" s="39">
        <f t="shared" si="675"/>
        <v>207900</v>
      </c>
      <c r="R1680" s="39">
        <f t="shared" si="676"/>
        <v>0</v>
      </c>
      <c r="S1680" s="39">
        <f t="shared" si="677"/>
        <v>207900</v>
      </c>
    </row>
    <row r="1681" spans="2:19" x14ac:dyDescent="0.25">
      <c r="B1681" s="73">
        <f>B1680+1</f>
        <v>4</v>
      </c>
      <c r="C1681" s="21"/>
      <c r="D1681" s="21"/>
      <c r="E1681" s="21"/>
      <c r="F1681" s="42" t="s">
        <v>308</v>
      </c>
      <c r="G1681" s="97">
        <v>610</v>
      </c>
      <c r="H1681" s="21" t="s">
        <v>245</v>
      </c>
      <c r="I1681" s="15">
        <v>106161</v>
      </c>
      <c r="J1681" s="15"/>
      <c r="K1681" s="15">
        <f t="shared" si="680"/>
        <v>106161</v>
      </c>
      <c r="L1681" s="130"/>
      <c r="M1681" s="15"/>
      <c r="N1681" s="15"/>
      <c r="O1681" s="15">
        <f t="shared" si="682"/>
        <v>0</v>
      </c>
      <c r="Q1681" s="15">
        <f t="shared" si="675"/>
        <v>106161</v>
      </c>
      <c r="R1681" s="15">
        <f t="shared" si="676"/>
        <v>0</v>
      </c>
      <c r="S1681" s="15">
        <f t="shared" si="677"/>
        <v>106161</v>
      </c>
    </row>
    <row r="1682" spans="2:19" x14ac:dyDescent="0.25">
      <c r="B1682" s="73">
        <f t="shared" si="678"/>
        <v>5</v>
      </c>
      <c r="C1682" s="21"/>
      <c r="D1682" s="21"/>
      <c r="E1682" s="21"/>
      <c r="F1682" s="42" t="s">
        <v>308</v>
      </c>
      <c r="G1682" s="97">
        <v>620</v>
      </c>
      <c r="H1682" s="21" t="s">
        <v>228</v>
      </c>
      <c r="I1682" s="15">
        <f>37246-30</f>
        <v>37216</v>
      </c>
      <c r="J1682" s="15"/>
      <c r="K1682" s="15">
        <f t="shared" si="680"/>
        <v>37216</v>
      </c>
      <c r="L1682" s="130"/>
      <c r="M1682" s="15"/>
      <c r="N1682" s="15"/>
      <c r="O1682" s="15">
        <f t="shared" si="682"/>
        <v>0</v>
      </c>
      <c r="Q1682" s="15">
        <f t="shared" si="675"/>
        <v>37216</v>
      </c>
      <c r="R1682" s="15">
        <f t="shared" si="676"/>
        <v>0</v>
      </c>
      <c r="S1682" s="15">
        <f t="shared" si="677"/>
        <v>37216</v>
      </c>
    </row>
    <row r="1683" spans="2:19" x14ac:dyDescent="0.25">
      <c r="B1683" s="73">
        <f t="shared" si="678"/>
        <v>6</v>
      </c>
      <c r="C1683" s="21"/>
      <c r="D1683" s="21"/>
      <c r="E1683" s="21"/>
      <c r="F1683" s="42" t="s">
        <v>308</v>
      </c>
      <c r="G1683" s="97">
        <v>630</v>
      </c>
      <c r="H1683" s="21" t="s">
        <v>218</v>
      </c>
      <c r="I1683" s="15">
        <f>SUM(I1684:I1687)</f>
        <v>54223</v>
      </c>
      <c r="J1683" s="15">
        <f t="shared" ref="J1683" si="685">SUM(J1684:J1687)</f>
        <v>0</v>
      </c>
      <c r="K1683" s="15">
        <f t="shared" si="680"/>
        <v>54223</v>
      </c>
      <c r="L1683" s="130"/>
      <c r="M1683" s="15"/>
      <c r="N1683" s="15"/>
      <c r="O1683" s="15">
        <f t="shared" si="682"/>
        <v>0</v>
      </c>
      <c r="Q1683" s="15">
        <f t="shared" si="675"/>
        <v>54223</v>
      </c>
      <c r="R1683" s="15">
        <f t="shared" si="676"/>
        <v>0</v>
      </c>
      <c r="S1683" s="15">
        <f t="shared" si="677"/>
        <v>54223</v>
      </c>
    </row>
    <row r="1684" spans="2:19" x14ac:dyDescent="0.25">
      <c r="B1684" s="73">
        <f t="shared" si="678"/>
        <v>7</v>
      </c>
      <c r="C1684" s="9"/>
      <c r="D1684" s="9"/>
      <c r="E1684" s="9"/>
      <c r="F1684" s="43" t="s">
        <v>308</v>
      </c>
      <c r="G1684" s="98">
        <v>632</v>
      </c>
      <c r="H1684" s="9" t="s">
        <v>229</v>
      </c>
      <c r="I1684" s="10">
        <v>15650</v>
      </c>
      <c r="J1684" s="10"/>
      <c r="K1684" s="10">
        <f t="shared" si="680"/>
        <v>15650</v>
      </c>
      <c r="L1684" s="131"/>
      <c r="M1684" s="10"/>
      <c r="N1684" s="10"/>
      <c r="O1684" s="10">
        <f t="shared" si="682"/>
        <v>0</v>
      </c>
      <c r="Q1684" s="10">
        <f t="shared" si="675"/>
        <v>15650</v>
      </c>
      <c r="R1684" s="10">
        <f t="shared" si="676"/>
        <v>0</v>
      </c>
      <c r="S1684" s="10">
        <f t="shared" si="677"/>
        <v>15650</v>
      </c>
    </row>
    <row r="1685" spans="2:19" x14ac:dyDescent="0.25">
      <c r="B1685" s="73">
        <f t="shared" si="678"/>
        <v>8</v>
      </c>
      <c r="C1685" s="9"/>
      <c r="D1685" s="9"/>
      <c r="E1685" s="9"/>
      <c r="F1685" s="43" t="s">
        <v>308</v>
      </c>
      <c r="G1685" s="98">
        <v>633</v>
      </c>
      <c r="H1685" s="9" t="s">
        <v>220</v>
      </c>
      <c r="I1685" s="10">
        <v>27650</v>
      </c>
      <c r="J1685" s="10"/>
      <c r="K1685" s="10">
        <f t="shared" si="680"/>
        <v>27650</v>
      </c>
      <c r="L1685" s="131"/>
      <c r="M1685" s="10"/>
      <c r="N1685" s="10"/>
      <c r="O1685" s="10">
        <f t="shared" si="682"/>
        <v>0</v>
      </c>
      <c r="Q1685" s="10">
        <f t="shared" si="675"/>
        <v>27650</v>
      </c>
      <c r="R1685" s="10">
        <f t="shared" si="676"/>
        <v>0</v>
      </c>
      <c r="S1685" s="10">
        <f t="shared" si="677"/>
        <v>27650</v>
      </c>
    </row>
    <row r="1686" spans="2:19" x14ac:dyDescent="0.25">
      <c r="B1686" s="73">
        <f t="shared" si="678"/>
        <v>9</v>
      </c>
      <c r="C1686" s="9"/>
      <c r="D1686" s="9"/>
      <c r="E1686" s="9"/>
      <c r="F1686" s="43" t="s">
        <v>308</v>
      </c>
      <c r="G1686" s="98">
        <v>635</v>
      </c>
      <c r="H1686" s="9" t="s">
        <v>234</v>
      </c>
      <c r="I1686" s="10">
        <v>6310</v>
      </c>
      <c r="J1686" s="10"/>
      <c r="K1686" s="10">
        <f t="shared" si="680"/>
        <v>6310</v>
      </c>
      <c r="L1686" s="131"/>
      <c r="M1686" s="10"/>
      <c r="N1686" s="10"/>
      <c r="O1686" s="10">
        <f t="shared" si="682"/>
        <v>0</v>
      </c>
      <c r="Q1686" s="10">
        <f t="shared" si="675"/>
        <v>6310</v>
      </c>
      <c r="R1686" s="10">
        <f t="shared" si="676"/>
        <v>0</v>
      </c>
      <c r="S1686" s="10">
        <f t="shared" si="677"/>
        <v>6310</v>
      </c>
    </row>
    <row r="1687" spans="2:19" x14ac:dyDescent="0.25">
      <c r="B1687" s="73">
        <f t="shared" si="678"/>
        <v>10</v>
      </c>
      <c r="C1687" s="9"/>
      <c r="D1687" s="9"/>
      <c r="E1687" s="9"/>
      <c r="F1687" s="43" t="s">
        <v>308</v>
      </c>
      <c r="G1687" s="98">
        <v>637</v>
      </c>
      <c r="H1687" s="9" t="s">
        <v>223</v>
      </c>
      <c r="I1687" s="10">
        <v>4613</v>
      </c>
      <c r="J1687" s="10"/>
      <c r="K1687" s="10">
        <f t="shared" si="680"/>
        <v>4613</v>
      </c>
      <c r="L1687" s="131"/>
      <c r="M1687" s="10"/>
      <c r="N1687" s="10"/>
      <c r="O1687" s="10">
        <f t="shared" si="682"/>
        <v>0</v>
      </c>
      <c r="Q1687" s="10">
        <f t="shared" si="675"/>
        <v>4613</v>
      </c>
      <c r="R1687" s="10">
        <f t="shared" si="676"/>
        <v>0</v>
      </c>
      <c r="S1687" s="10">
        <f t="shared" si="677"/>
        <v>4613</v>
      </c>
    </row>
    <row r="1688" spans="2:19" x14ac:dyDescent="0.25">
      <c r="B1688" s="73">
        <f t="shared" si="678"/>
        <v>11</v>
      </c>
      <c r="C1688" s="21"/>
      <c r="D1688" s="21"/>
      <c r="E1688" s="21"/>
      <c r="F1688" s="42" t="s">
        <v>308</v>
      </c>
      <c r="G1688" s="97">
        <v>640</v>
      </c>
      <c r="H1688" s="21" t="s">
        <v>230</v>
      </c>
      <c r="I1688" s="15">
        <v>300</v>
      </c>
      <c r="J1688" s="15"/>
      <c r="K1688" s="15">
        <f t="shared" si="680"/>
        <v>300</v>
      </c>
      <c r="L1688" s="130"/>
      <c r="M1688" s="15"/>
      <c r="N1688" s="15"/>
      <c r="O1688" s="15">
        <f t="shared" si="682"/>
        <v>0</v>
      </c>
      <c r="Q1688" s="15">
        <f t="shared" si="675"/>
        <v>300</v>
      </c>
      <c r="R1688" s="15">
        <f t="shared" si="676"/>
        <v>0</v>
      </c>
      <c r="S1688" s="15">
        <f t="shared" si="677"/>
        <v>300</v>
      </c>
    </row>
    <row r="1689" spans="2:19" x14ac:dyDescent="0.25">
      <c r="B1689" s="73">
        <f t="shared" si="678"/>
        <v>12</v>
      </c>
      <c r="C1689" s="21"/>
      <c r="D1689" s="21"/>
      <c r="E1689" s="21"/>
      <c r="F1689" s="42" t="s">
        <v>308</v>
      </c>
      <c r="G1689" s="97">
        <v>710</v>
      </c>
      <c r="H1689" s="21" t="s">
        <v>237</v>
      </c>
      <c r="I1689" s="15"/>
      <c r="J1689" s="15"/>
      <c r="K1689" s="15">
        <f t="shared" si="680"/>
        <v>0</v>
      </c>
      <c r="L1689" s="130"/>
      <c r="M1689" s="15">
        <f>M1690</f>
        <v>10000</v>
      </c>
      <c r="N1689" s="15">
        <f t="shared" ref="N1689:N1690" si="686">N1690</f>
        <v>0</v>
      </c>
      <c r="O1689" s="15">
        <f t="shared" si="682"/>
        <v>10000</v>
      </c>
      <c r="Q1689" s="15">
        <f t="shared" si="675"/>
        <v>10000</v>
      </c>
      <c r="R1689" s="15">
        <f t="shared" si="676"/>
        <v>0</v>
      </c>
      <c r="S1689" s="15">
        <f t="shared" si="677"/>
        <v>10000</v>
      </c>
    </row>
    <row r="1690" spans="2:19" x14ac:dyDescent="0.25">
      <c r="B1690" s="73">
        <f t="shared" si="678"/>
        <v>13</v>
      </c>
      <c r="C1690" s="21"/>
      <c r="D1690" s="47"/>
      <c r="E1690" s="21"/>
      <c r="F1690" s="44"/>
      <c r="G1690" s="100">
        <v>716</v>
      </c>
      <c r="H1690" s="45" t="s">
        <v>237</v>
      </c>
      <c r="I1690" s="15"/>
      <c r="J1690" s="15"/>
      <c r="K1690" s="15">
        <f t="shared" si="680"/>
        <v>0</v>
      </c>
      <c r="L1690" s="130"/>
      <c r="M1690" s="16">
        <f>M1691</f>
        <v>10000</v>
      </c>
      <c r="N1690" s="16">
        <f t="shared" si="686"/>
        <v>0</v>
      </c>
      <c r="O1690" s="16">
        <f t="shared" si="682"/>
        <v>10000</v>
      </c>
      <c r="Q1690" s="15">
        <f t="shared" si="675"/>
        <v>10000</v>
      </c>
      <c r="R1690" s="15">
        <f t="shared" si="676"/>
        <v>0</v>
      </c>
      <c r="S1690" s="15">
        <f t="shared" si="677"/>
        <v>10000</v>
      </c>
    </row>
    <row r="1691" spans="2:19" x14ac:dyDescent="0.25">
      <c r="B1691" s="73">
        <f t="shared" si="678"/>
        <v>14</v>
      </c>
      <c r="C1691" s="21"/>
      <c r="D1691" s="47"/>
      <c r="E1691" s="21"/>
      <c r="F1691" s="44"/>
      <c r="G1691" s="100"/>
      <c r="H1691" s="67" t="s">
        <v>504</v>
      </c>
      <c r="I1691" s="15"/>
      <c r="J1691" s="15"/>
      <c r="K1691" s="15">
        <f t="shared" si="680"/>
        <v>0</v>
      </c>
      <c r="L1691" s="130"/>
      <c r="M1691" s="14">
        <v>10000</v>
      </c>
      <c r="N1691" s="14"/>
      <c r="O1691" s="14">
        <f t="shared" si="682"/>
        <v>10000</v>
      </c>
      <c r="Q1691" s="14">
        <f t="shared" si="675"/>
        <v>10000</v>
      </c>
      <c r="R1691" s="14">
        <f t="shared" si="676"/>
        <v>0</v>
      </c>
      <c r="S1691" s="14">
        <f t="shared" si="677"/>
        <v>10000</v>
      </c>
    </row>
    <row r="1692" spans="2:19" ht="15.75" x14ac:dyDescent="0.25">
      <c r="B1692" s="73">
        <f t="shared" si="678"/>
        <v>15</v>
      </c>
      <c r="C1692" s="34">
        <v>2</v>
      </c>
      <c r="D1692" s="227" t="s">
        <v>352</v>
      </c>
      <c r="E1692" s="228"/>
      <c r="F1692" s="228"/>
      <c r="G1692" s="228"/>
      <c r="H1692" s="229"/>
      <c r="I1692" s="35">
        <f>I1693</f>
        <v>2000</v>
      </c>
      <c r="J1692" s="35">
        <f t="shared" ref="J1692:J1693" si="687">J1693</f>
        <v>0</v>
      </c>
      <c r="K1692" s="35">
        <f t="shared" si="680"/>
        <v>2000</v>
      </c>
      <c r="L1692" s="135"/>
      <c r="M1692" s="35"/>
      <c r="N1692" s="35"/>
      <c r="O1692" s="35">
        <f t="shared" si="682"/>
        <v>0</v>
      </c>
      <c r="Q1692" s="35">
        <f t="shared" si="675"/>
        <v>2000</v>
      </c>
      <c r="R1692" s="35">
        <f t="shared" si="676"/>
        <v>0</v>
      </c>
      <c r="S1692" s="35">
        <f t="shared" si="677"/>
        <v>2000</v>
      </c>
    </row>
    <row r="1693" spans="2:19" x14ac:dyDescent="0.25">
      <c r="B1693" s="73">
        <f t="shared" si="678"/>
        <v>16</v>
      </c>
      <c r="C1693" s="21"/>
      <c r="D1693" s="21"/>
      <c r="E1693" s="21"/>
      <c r="F1693" s="42" t="s">
        <v>303</v>
      </c>
      <c r="G1693" s="97">
        <v>640</v>
      </c>
      <c r="H1693" s="21" t="s">
        <v>230</v>
      </c>
      <c r="I1693" s="15">
        <f>I1694</f>
        <v>2000</v>
      </c>
      <c r="J1693" s="15">
        <f t="shared" si="687"/>
        <v>0</v>
      </c>
      <c r="K1693" s="15">
        <f t="shared" si="680"/>
        <v>2000</v>
      </c>
      <c r="L1693" s="130"/>
      <c r="M1693" s="15"/>
      <c r="N1693" s="15"/>
      <c r="O1693" s="15">
        <f t="shared" si="682"/>
        <v>0</v>
      </c>
      <c r="Q1693" s="15">
        <f t="shared" si="675"/>
        <v>2000</v>
      </c>
      <c r="R1693" s="15">
        <f t="shared" si="676"/>
        <v>0</v>
      </c>
      <c r="S1693" s="15">
        <f t="shared" si="677"/>
        <v>2000</v>
      </c>
    </row>
    <row r="1694" spans="2:19" x14ac:dyDescent="0.25">
      <c r="B1694" s="73">
        <f t="shared" si="678"/>
        <v>17</v>
      </c>
      <c r="C1694" s="9"/>
      <c r="D1694" s="9"/>
      <c r="E1694" s="9"/>
      <c r="F1694" s="43" t="s">
        <v>303</v>
      </c>
      <c r="G1694" s="98">
        <v>642</v>
      </c>
      <c r="H1694" s="9" t="s">
        <v>231</v>
      </c>
      <c r="I1694" s="10">
        <v>2000</v>
      </c>
      <c r="J1694" s="10"/>
      <c r="K1694" s="10">
        <f t="shared" si="680"/>
        <v>2000</v>
      </c>
      <c r="L1694" s="131"/>
      <c r="M1694" s="10"/>
      <c r="N1694" s="10"/>
      <c r="O1694" s="10">
        <f t="shared" si="682"/>
        <v>0</v>
      </c>
      <c r="Q1694" s="10">
        <f t="shared" si="675"/>
        <v>2000</v>
      </c>
      <c r="R1694" s="10">
        <f t="shared" si="676"/>
        <v>0</v>
      </c>
      <c r="S1694" s="10">
        <f t="shared" si="677"/>
        <v>2000</v>
      </c>
    </row>
    <row r="1695" spans="2:19" ht="15.75" x14ac:dyDescent="0.25">
      <c r="B1695" s="73">
        <f t="shared" si="678"/>
        <v>18</v>
      </c>
      <c r="C1695" s="34">
        <v>3</v>
      </c>
      <c r="D1695" s="227" t="s">
        <v>353</v>
      </c>
      <c r="E1695" s="228"/>
      <c r="F1695" s="228"/>
      <c r="G1695" s="228"/>
      <c r="H1695" s="229"/>
      <c r="I1695" s="35">
        <f>I1696</f>
        <v>50819</v>
      </c>
      <c r="J1695" s="35">
        <f t="shared" ref="J1695" si="688">J1696</f>
        <v>0</v>
      </c>
      <c r="K1695" s="35">
        <f t="shared" si="680"/>
        <v>50819</v>
      </c>
      <c r="L1695" s="135"/>
      <c r="M1695" s="35"/>
      <c r="N1695" s="35"/>
      <c r="O1695" s="35">
        <f t="shared" si="682"/>
        <v>0</v>
      </c>
      <c r="Q1695" s="35">
        <f t="shared" si="675"/>
        <v>50819</v>
      </c>
      <c r="R1695" s="35">
        <f t="shared" si="676"/>
        <v>0</v>
      </c>
      <c r="S1695" s="35">
        <f t="shared" si="677"/>
        <v>50819</v>
      </c>
    </row>
    <row r="1696" spans="2:19" x14ac:dyDescent="0.25">
      <c r="B1696" s="73">
        <f t="shared" si="678"/>
        <v>19</v>
      </c>
      <c r="C1696" s="21"/>
      <c r="D1696" s="21"/>
      <c r="E1696" s="21"/>
      <c r="F1696" s="42" t="s">
        <v>354</v>
      </c>
      <c r="G1696" s="97">
        <v>640</v>
      </c>
      <c r="H1696" s="21" t="s">
        <v>230</v>
      </c>
      <c r="I1696" s="15">
        <f>I1697</f>
        <v>50819</v>
      </c>
      <c r="J1696" s="15">
        <f>J1697</f>
        <v>0</v>
      </c>
      <c r="K1696" s="15">
        <f t="shared" si="680"/>
        <v>50819</v>
      </c>
      <c r="L1696" s="130"/>
      <c r="M1696" s="15"/>
      <c r="N1696" s="15"/>
      <c r="O1696" s="15">
        <f t="shared" si="682"/>
        <v>0</v>
      </c>
      <c r="Q1696" s="15">
        <f t="shared" si="675"/>
        <v>50819</v>
      </c>
      <c r="R1696" s="15">
        <f t="shared" si="676"/>
        <v>0</v>
      </c>
      <c r="S1696" s="15">
        <f t="shared" si="677"/>
        <v>50819</v>
      </c>
    </row>
    <row r="1697" spans="2:19" x14ac:dyDescent="0.25">
      <c r="B1697" s="73">
        <f t="shared" si="678"/>
        <v>20</v>
      </c>
      <c r="C1697" s="9"/>
      <c r="D1697" s="9"/>
      <c r="E1697" s="9"/>
      <c r="F1697" s="43" t="s">
        <v>354</v>
      </c>
      <c r="G1697" s="98">
        <v>642</v>
      </c>
      <c r="H1697" s="9" t="s">
        <v>231</v>
      </c>
      <c r="I1697" s="10">
        <f>I1698+I1699+I1700+I1701+I1709+I1711</f>
        <v>50819</v>
      </c>
      <c r="J1697" s="10">
        <f>J1709+J1710</f>
        <v>0</v>
      </c>
      <c r="K1697" s="10">
        <f t="shared" si="680"/>
        <v>50819</v>
      </c>
      <c r="L1697" s="131"/>
      <c r="M1697" s="10"/>
      <c r="N1697" s="10"/>
      <c r="O1697" s="10">
        <f t="shared" si="682"/>
        <v>0</v>
      </c>
      <c r="Q1697" s="10">
        <f t="shared" si="675"/>
        <v>50819</v>
      </c>
      <c r="R1697" s="10">
        <f t="shared" si="676"/>
        <v>0</v>
      </c>
      <c r="S1697" s="10">
        <f t="shared" si="677"/>
        <v>50819</v>
      </c>
    </row>
    <row r="1698" spans="2:19" x14ac:dyDescent="0.25">
      <c r="B1698" s="73">
        <f t="shared" si="678"/>
        <v>21</v>
      </c>
      <c r="C1698" s="12"/>
      <c r="D1698" s="12"/>
      <c r="E1698" s="12"/>
      <c r="F1698" s="12"/>
      <c r="G1698" s="99"/>
      <c r="H1698" s="49" t="s">
        <v>333</v>
      </c>
      <c r="I1698" s="10">
        <v>5500</v>
      </c>
      <c r="J1698" s="10"/>
      <c r="K1698" s="10">
        <f t="shared" si="680"/>
        <v>5500</v>
      </c>
      <c r="L1698" s="131"/>
      <c r="M1698" s="13"/>
      <c r="N1698" s="13"/>
      <c r="O1698" s="13">
        <f t="shared" si="682"/>
        <v>0</v>
      </c>
      <c r="Q1698" s="165">
        <f t="shared" si="675"/>
        <v>5500</v>
      </c>
      <c r="R1698" s="165">
        <f t="shared" si="676"/>
        <v>0</v>
      </c>
      <c r="S1698" s="165">
        <f t="shared" si="677"/>
        <v>5500</v>
      </c>
    </row>
    <row r="1699" spans="2:19" x14ac:dyDescent="0.25">
      <c r="B1699" s="73">
        <f t="shared" si="678"/>
        <v>22</v>
      </c>
      <c r="C1699" s="12"/>
      <c r="D1699" s="12"/>
      <c r="E1699" s="12"/>
      <c r="F1699" s="12"/>
      <c r="G1699" s="99"/>
      <c r="H1699" s="49" t="s">
        <v>423</v>
      </c>
      <c r="I1699" s="10">
        <v>817</v>
      </c>
      <c r="J1699" s="10"/>
      <c r="K1699" s="10">
        <f t="shared" si="680"/>
        <v>817</v>
      </c>
      <c r="L1699" s="131"/>
      <c r="M1699" s="13"/>
      <c r="N1699" s="13"/>
      <c r="O1699" s="13">
        <f t="shared" si="682"/>
        <v>0</v>
      </c>
      <c r="Q1699" s="165">
        <f t="shared" si="675"/>
        <v>817</v>
      </c>
      <c r="R1699" s="165">
        <f t="shared" si="676"/>
        <v>0</v>
      </c>
      <c r="S1699" s="165">
        <f t="shared" si="677"/>
        <v>817</v>
      </c>
    </row>
    <row r="1700" spans="2:19" x14ac:dyDescent="0.25">
      <c r="B1700" s="73">
        <f t="shared" si="678"/>
        <v>23</v>
      </c>
      <c r="C1700" s="12"/>
      <c r="D1700" s="12"/>
      <c r="E1700" s="12"/>
      <c r="F1700" s="12"/>
      <c r="G1700" s="99"/>
      <c r="H1700" s="49" t="s">
        <v>424</v>
      </c>
      <c r="I1700" s="10">
        <v>2025</v>
      </c>
      <c r="J1700" s="10"/>
      <c r="K1700" s="10">
        <f t="shared" si="680"/>
        <v>2025</v>
      </c>
      <c r="L1700" s="131"/>
      <c r="M1700" s="13"/>
      <c r="N1700" s="13"/>
      <c r="O1700" s="13">
        <f t="shared" si="682"/>
        <v>0</v>
      </c>
      <c r="Q1700" s="165">
        <f t="shared" si="675"/>
        <v>2025</v>
      </c>
      <c r="R1700" s="165">
        <f t="shared" si="676"/>
        <v>0</v>
      </c>
      <c r="S1700" s="165">
        <f t="shared" si="677"/>
        <v>2025</v>
      </c>
    </row>
    <row r="1701" spans="2:19" ht="24" x14ac:dyDescent="0.25">
      <c r="B1701" s="73">
        <f t="shared" si="678"/>
        <v>24</v>
      </c>
      <c r="C1701" s="12"/>
      <c r="D1701" s="12"/>
      <c r="E1701" s="12"/>
      <c r="F1701" s="12"/>
      <c r="G1701" s="99"/>
      <c r="H1701" s="82" t="s">
        <v>425</v>
      </c>
      <c r="I1701" s="10">
        <f>SUM(I1702:I1708)</f>
        <v>8477</v>
      </c>
      <c r="J1701" s="10">
        <f t="shared" ref="J1701" si="689">SUM(J1702:J1708)</f>
        <v>0</v>
      </c>
      <c r="K1701" s="10">
        <f t="shared" si="680"/>
        <v>8477</v>
      </c>
      <c r="L1701" s="131"/>
      <c r="M1701" s="13"/>
      <c r="N1701" s="13"/>
      <c r="O1701" s="13">
        <f t="shared" si="682"/>
        <v>0</v>
      </c>
      <c r="Q1701" s="165">
        <f t="shared" si="675"/>
        <v>8477</v>
      </c>
      <c r="R1701" s="165">
        <f t="shared" si="676"/>
        <v>0</v>
      </c>
      <c r="S1701" s="165">
        <f t="shared" si="677"/>
        <v>8477</v>
      </c>
    </row>
    <row r="1702" spans="2:19" x14ac:dyDescent="0.25">
      <c r="B1702" s="73">
        <f t="shared" si="678"/>
        <v>25</v>
      </c>
      <c r="C1702" s="12"/>
      <c r="D1702" s="12"/>
      <c r="E1702" s="12"/>
      <c r="F1702" s="12"/>
      <c r="G1702" s="99"/>
      <c r="H1702" s="82" t="s">
        <v>426</v>
      </c>
      <c r="I1702" s="10">
        <v>1088</v>
      </c>
      <c r="J1702" s="10"/>
      <c r="K1702" s="10">
        <f t="shared" si="680"/>
        <v>1088</v>
      </c>
      <c r="L1702" s="131"/>
      <c r="M1702" s="13"/>
      <c r="N1702" s="13"/>
      <c r="O1702" s="13">
        <f t="shared" si="682"/>
        <v>0</v>
      </c>
      <c r="Q1702" s="165">
        <f t="shared" si="675"/>
        <v>1088</v>
      </c>
      <c r="R1702" s="165">
        <f t="shared" si="676"/>
        <v>0</v>
      </c>
      <c r="S1702" s="165">
        <f t="shared" si="677"/>
        <v>1088</v>
      </c>
    </row>
    <row r="1703" spans="2:19" x14ac:dyDescent="0.25">
      <c r="B1703" s="73">
        <f t="shared" si="678"/>
        <v>26</v>
      </c>
      <c r="C1703" s="12"/>
      <c r="D1703" s="12"/>
      <c r="E1703" s="12"/>
      <c r="F1703" s="12"/>
      <c r="G1703" s="99"/>
      <c r="H1703" s="82" t="s">
        <v>427</v>
      </c>
      <c r="I1703" s="10">
        <v>1988</v>
      </c>
      <c r="J1703" s="10"/>
      <c r="K1703" s="10">
        <f t="shared" si="680"/>
        <v>1988</v>
      </c>
      <c r="L1703" s="131"/>
      <c r="M1703" s="13"/>
      <c r="N1703" s="13"/>
      <c r="O1703" s="13">
        <f t="shared" si="682"/>
        <v>0</v>
      </c>
      <c r="Q1703" s="165">
        <f t="shared" si="675"/>
        <v>1988</v>
      </c>
      <c r="R1703" s="165">
        <f t="shared" si="676"/>
        <v>0</v>
      </c>
      <c r="S1703" s="165">
        <f t="shared" si="677"/>
        <v>1988</v>
      </c>
    </row>
    <row r="1704" spans="2:19" x14ac:dyDescent="0.25">
      <c r="B1704" s="73">
        <f t="shared" si="678"/>
        <v>27</v>
      </c>
      <c r="C1704" s="12"/>
      <c r="D1704" s="12"/>
      <c r="E1704" s="12"/>
      <c r="F1704" s="12"/>
      <c r="G1704" s="99"/>
      <c r="H1704" s="82" t="s">
        <v>428</v>
      </c>
      <c r="I1704" s="10">
        <v>353</v>
      </c>
      <c r="J1704" s="10"/>
      <c r="K1704" s="10">
        <f t="shared" si="680"/>
        <v>353</v>
      </c>
      <c r="L1704" s="131"/>
      <c r="M1704" s="13"/>
      <c r="N1704" s="13"/>
      <c r="O1704" s="13">
        <f t="shared" si="682"/>
        <v>0</v>
      </c>
      <c r="Q1704" s="165">
        <f t="shared" si="675"/>
        <v>353</v>
      </c>
      <c r="R1704" s="165">
        <f t="shared" si="676"/>
        <v>0</v>
      </c>
      <c r="S1704" s="165">
        <f t="shared" si="677"/>
        <v>353</v>
      </c>
    </row>
    <row r="1705" spans="2:19" x14ac:dyDescent="0.25">
      <c r="B1705" s="73">
        <f t="shared" si="678"/>
        <v>28</v>
      </c>
      <c r="C1705" s="12"/>
      <c r="D1705" s="12"/>
      <c r="E1705" s="12"/>
      <c r="F1705" s="12"/>
      <c r="G1705" s="99"/>
      <c r="H1705" s="82" t="s">
        <v>429</v>
      </c>
      <c r="I1705" s="10">
        <v>2430</v>
      </c>
      <c r="J1705" s="10"/>
      <c r="K1705" s="10">
        <f t="shared" si="680"/>
        <v>2430</v>
      </c>
      <c r="L1705" s="131"/>
      <c r="M1705" s="13"/>
      <c r="N1705" s="13"/>
      <c r="O1705" s="13">
        <f t="shared" si="682"/>
        <v>0</v>
      </c>
      <c r="Q1705" s="165">
        <f t="shared" si="675"/>
        <v>2430</v>
      </c>
      <c r="R1705" s="165">
        <f t="shared" si="676"/>
        <v>0</v>
      </c>
      <c r="S1705" s="165">
        <f t="shared" si="677"/>
        <v>2430</v>
      </c>
    </row>
    <row r="1706" spans="2:19" x14ac:dyDescent="0.25">
      <c r="B1706" s="73">
        <f t="shared" si="678"/>
        <v>29</v>
      </c>
      <c r="C1706" s="12"/>
      <c r="D1706" s="12"/>
      <c r="E1706" s="12"/>
      <c r="F1706" s="12"/>
      <c r="G1706" s="99"/>
      <c r="H1706" s="82" t="s">
        <v>430</v>
      </c>
      <c r="I1706" s="10">
        <v>465</v>
      </c>
      <c r="J1706" s="10"/>
      <c r="K1706" s="10">
        <f t="shared" si="680"/>
        <v>465</v>
      </c>
      <c r="L1706" s="131"/>
      <c r="M1706" s="13"/>
      <c r="N1706" s="13"/>
      <c r="O1706" s="13">
        <f t="shared" si="682"/>
        <v>0</v>
      </c>
      <c r="Q1706" s="165">
        <f t="shared" si="675"/>
        <v>465</v>
      </c>
      <c r="R1706" s="165">
        <f t="shared" si="676"/>
        <v>0</v>
      </c>
      <c r="S1706" s="165">
        <f t="shared" si="677"/>
        <v>465</v>
      </c>
    </row>
    <row r="1707" spans="2:19" x14ac:dyDescent="0.25">
      <c r="B1707" s="73">
        <f t="shared" si="678"/>
        <v>30</v>
      </c>
      <c r="C1707" s="12"/>
      <c r="D1707" s="12"/>
      <c r="E1707" s="12"/>
      <c r="F1707" s="12"/>
      <c r="G1707" s="99"/>
      <c r="H1707" s="82" t="s">
        <v>431</v>
      </c>
      <c r="I1707" s="10">
        <v>1463</v>
      </c>
      <c r="J1707" s="10"/>
      <c r="K1707" s="10">
        <f t="shared" si="680"/>
        <v>1463</v>
      </c>
      <c r="L1707" s="131"/>
      <c r="M1707" s="13"/>
      <c r="N1707" s="13"/>
      <c r="O1707" s="13">
        <f t="shared" si="682"/>
        <v>0</v>
      </c>
      <c r="Q1707" s="165">
        <f t="shared" si="675"/>
        <v>1463</v>
      </c>
      <c r="R1707" s="165">
        <f t="shared" si="676"/>
        <v>0</v>
      </c>
      <c r="S1707" s="165">
        <f t="shared" si="677"/>
        <v>1463</v>
      </c>
    </row>
    <row r="1708" spans="2:19" x14ac:dyDescent="0.25">
      <c r="B1708" s="73">
        <f t="shared" si="678"/>
        <v>31</v>
      </c>
      <c r="C1708" s="12"/>
      <c r="D1708" s="12"/>
      <c r="E1708" s="12"/>
      <c r="F1708" s="12"/>
      <c r="G1708" s="99"/>
      <c r="H1708" s="82" t="s">
        <v>432</v>
      </c>
      <c r="I1708" s="10">
        <v>690</v>
      </c>
      <c r="J1708" s="10"/>
      <c r="K1708" s="10">
        <f t="shared" si="680"/>
        <v>690</v>
      </c>
      <c r="L1708" s="131"/>
      <c r="M1708" s="13"/>
      <c r="N1708" s="13"/>
      <c r="O1708" s="13">
        <f t="shared" si="682"/>
        <v>0</v>
      </c>
      <c r="Q1708" s="165">
        <f t="shared" si="675"/>
        <v>690</v>
      </c>
      <c r="R1708" s="165">
        <f t="shared" si="676"/>
        <v>0</v>
      </c>
      <c r="S1708" s="165">
        <f t="shared" si="677"/>
        <v>690</v>
      </c>
    </row>
    <row r="1709" spans="2:19" ht="24" x14ac:dyDescent="0.25">
      <c r="B1709" s="73">
        <f t="shared" si="678"/>
        <v>32</v>
      </c>
      <c r="C1709" s="85"/>
      <c r="D1709" s="85"/>
      <c r="E1709" s="85"/>
      <c r="F1709" s="85"/>
      <c r="G1709" s="103"/>
      <c r="H1709" s="82" t="s">
        <v>433</v>
      </c>
      <c r="I1709" s="79">
        <f>7000+15000</f>
        <v>22000</v>
      </c>
      <c r="J1709" s="79">
        <v>-22000</v>
      </c>
      <c r="K1709" s="79">
        <f t="shared" si="680"/>
        <v>0</v>
      </c>
      <c r="L1709" s="142"/>
      <c r="M1709" s="86"/>
      <c r="N1709" s="86"/>
      <c r="O1709" s="86">
        <f t="shared" si="682"/>
        <v>0</v>
      </c>
      <c r="P1709" s="80"/>
      <c r="Q1709" s="164">
        <f t="shared" si="675"/>
        <v>22000</v>
      </c>
      <c r="R1709" s="164">
        <f t="shared" si="676"/>
        <v>-22000</v>
      </c>
      <c r="S1709" s="164">
        <f t="shared" si="677"/>
        <v>0</v>
      </c>
    </row>
    <row r="1710" spans="2:19" x14ac:dyDescent="0.25">
      <c r="B1710" s="73">
        <f t="shared" si="678"/>
        <v>33</v>
      </c>
      <c r="C1710" s="85"/>
      <c r="D1710" s="85"/>
      <c r="E1710" s="85"/>
      <c r="F1710" s="85"/>
      <c r="G1710" s="103"/>
      <c r="H1710" s="82" t="s">
        <v>663</v>
      </c>
      <c r="I1710" s="79">
        <v>0</v>
      </c>
      <c r="J1710" s="79">
        <v>22000</v>
      </c>
      <c r="K1710" s="79">
        <f t="shared" si="680"/>
        <v>22000</v>
      </c>
      <c r="L1710" s="142"/>
      <c r="M1710" s="86"/>
      <c r="N1710" s="86"/>
      <c r="O1710" s="86"/>
      <c r="P1710" s="80"/>
      <c r="Q1710" s="164">
        <f t="shared" ref="Q1710" si="690">I1710+M1710</f>
        <v>0</v>
      </c>
      <c r="R1710" s="164">
        <f t="shared" ref="R1710" si="691">J1710+N1710</f>
        <v>22000</v>
      </c>
      <c r="S1710" s="164">
        <f t="shared" ref="S1710" si="692">K1710+O1710</f>
        <v>22000</v>
      </c>
    </row>
    <row r="1711" spans="2:19" x14ac:dyDescent="0.25">
      <c r="B1711" s="73">
        <f t="shared" si="678"/>
        <v>34</v>
      </c>
      <c r="C1711" s="12"/>
      <c r="D1711" s="12"/>
      <c r="E1711" s="12"/>
      <c r="F1711" s="12"/>
      <c r="G1711" s="99"/>
      <c r="H1711" s="83" t="s">
        <v>445</v>
      </c>
      <c r="I1711" s="10">
        <v>12000</v>
      </c>
      <c r="J1711" s="10"/>
      <c r="K1711" s="10">
        <f t="shared" si="680"/>
        <v>12000</v>
      </c>
      <c r="L1711" s="131"/>
      <c r="M1711" s="13"/>
      <c r="N1711" s="13"/>
      <c r="O1711" s="13">
        <f t="shared" si="682"/>
        <v>0</v>
      </c>
      <c r="Q1711" s="165">
        <f t="shared" si="675"/>
        <v>12000</v>
      </c>
      <c r="R1711" s="165">
        <f t="shared" si="676"/>
        <v>0</v>
      </c>
      <c r="S1711" s="165">
        <f t="shared" si="677"/>
        <v>12000</v>
      </c>
    </row>
    <row r="1712" spans="2:19" ht="15.75" x14ac:dyDescent="0.25">
      <c r="B1712" s="73">
        <f t="shared" si="678"/>
        <v>35</v>
      </c>
      <c r="C1712" s="34">
        <v>4</v>
      </c>
      <c r="D1712" s="227" t="s">
        <v>355</v>
      </c>
      <c r="E1712" s="228"/>
      <c r="F1712" s="228"/>
      <c r="G1712" s="228"/>
      <c r="H1712" s="229"/>
      <c r="I1712" s="35">
        <f>I1713</f>
        <v>71900</v>
      </c>
      <c r="J1712" s="35">
        <f t="shared" ref="J1712" si="693">J1713</f>
        <v>0</v>
      </c>
      <c r="K1712" s="35">
        <f t="shared" si="680"/>
        <v>71900</v>
      </c>
      <c r="L1712" s="135"/>
      <c r="M1712" s="35"/>
      <c r="N1712" s="35"/>
      <c r="O1712" s="35">
        <f t="shared" si="682"/>
        <v>0</v>
      </c>
      <c r="Q1712" s="35">
        <f t="shared" si="675"/>
        <v>71900</v>
      </c>
      <c r="R1712" s="35">
        <f t="shared" si="676"/>
        <v>0</v>
      </c>
      <c r="S1712" s="35">
        <f t="shared" si="677"/>
        <v>71900</v>
      </c>
    </row>
    <row r="1713" spans="2:19" x14ac:dyDescent="0.25">
      <c r="B1713" s="73">
        <f t="shared" si="678"/>
        <v>36</v>
      </c>
      <c r="C1713" s="38"/>
      <c r="D1713" s="38"/>
      <c r="E1713" s="38">
        <v>5</v>
      </c>
      <c r="F1713" s="38"/>
      <c r="G1713" s="95"/>
      <c r="H1713" s="38" t="s">
        <v>121</v>
      </c>
      <c r="I1713" s="39">
        <f>I1714+I1715+I1716</f>
        <v>71900</v>
      </c>
      <c r="J1713" s="39">
        <f t="shared" ref="J1713" si="694">J1714+J1715+J1716</f>
        <v>0</v>
      </c>
      <c r="K1713" s="39">
        <f t="shared" si="680"/>
        <v>71900</v>
      </c>
      <c r="L1713" s="138"/>
      <c r="M1713" s="39"/>
      <c r="N1713" s="39"/>
      <c r="O1713" s="39">
        <f t="shared" si="682"/>
        <v>0</v>
      </c>
      <c r="Q1713" s="39">
        <f t="shared" si="675"/>
        <v>71900</v>
      </c>
      <c r="R1713" s="39">
        <f t="shared" si="676"/>
        <v>0</v>
      </c>
      <c r="S1713" s="39">
        <f t="shared" si="677"/>
        <v>71900</v>
      </c>
    </row>
    <row r="1714" spans="2:19" x14ac:dyDescent="0.25">
      <c r="B1714" s="73">
        <f t="shared" si="678"/>
        <v>37</v>
      </c>
      <c r="C1714" s="21"/>
      <c r="D1714" s="21"/>
      <c r="E1714" s="21"/>
      <c r="F1714" s="42" t="s">
        <v>303</v>
      </c>
      <c r="G1714" s="97">
        <v>610</v>
      </c>
      <c r="H1714" s="21" t="s">
        <v>245</v>
      </c>
      <c r="I1714" s="15">
        <v>36960</v>
      </c>
      <c r="J1714" s="15"/>
      <c r="K1714" s="15">
        <f t="shared" si="680"/>
        <v>36960</v>
      </c>
      <c r="L1714" s="130"/>
      <c r="M1714" s="15"/>
      <c r="N1714" s="15"/>
      <c r="O1714" s="15">
        <f t="shared" si="682"/>
        <v>0</v>
      </c>
      <c r="Q1714" s="15">
        <f t="shared" si="675"/>
        <v>36960</v>
      </c>
      <c r="R1714" s="15">
        <f t="shared" si="676"/>
        <v>0</v>
      </c>
      <c r="S1714" s="15">
        <f t="shared" si="677"/>
        <v>36960</v>
      </c>
    </row>
    <row r="1715" spans="2:19" x14ac:dyDescent="0.25">
      <c r="B1715" s="73">
        <f t="shared" si="678"/>
        <v>38</v>
      </c>
      <c r="C1715" s="21"/>
      <c r="D1715" s="21"/>
      <c r="E1715" s="21"/>
      <c r="F1715" s="42" t="s">
        <v>303</v>
      </c>
      <c r="G1715" s="97">
        <v>620</v>
      </c>
      <c r="H1715" s="21" t="s">
        <v>228</v>
      </c>
      <c r="I1715" s="15">
        <v>12950</v>
      </c>
      <c r="J1715" s="15"/>
      <c r="K1715" s="15">
        <f t="shared" si="680"/>
        <v>12950</v>
      </c>
      <c r="L1715" s="130"/>
      <c r="M1715" s="15"/>
      <c r="N1715" s="15"/>
      <c r="O1715" s="15">
        <f t="shared" si="682"/>
        <v>0</v>
      </c>
      <c r="Q1715" s="15">
        <f t="shared" si="675"/>
        <v>12950</v>
      </c>
      <c r="R1715" s="15">
        <f t="shared" si="676"/>
        <v>0</v>
      </c>
      <c r="S1715" s="15">
        <f t="shared" si="677"/>
        <v>12950</v>
      </c>
    </row>
    <row r="1716" spans="2:19" x14ac:dyDescent="0.25">
      <c r="B1716" s="73">
        <f t="shared" si="678"/>
        <v>39</v>
      </c>
      <c r="C1716" s="21"/>
      <c r="D1716" s="21"/>
      <c r="E1716" s="21"/>
      <c r="F1716" s="42" t="s">
        <v>303</v>
      </c>
      <c r="G1716" s="97">
        <v>630</v>
      </c>
      <c r="H1716" s="21" t="s">
        <v>218</v>
      </c>
      <c r="I1716" s="15">
        <f>SUM(I1717:I1720)</f>
        <v>21990</v>
      </c>
      <c r="J1716" s="15">
        <f t="shared" ref="J1716" si="695">SUM(J1717:J1720)</f>
        <v>0</v>
      </c>
      <c r="K1716" s="15">
        <f t="shared" si="680"/>
        <v>21990</v>
      </c>
      <c r="L1716" s="130"/>
      <c r="M1716" s="15"/>
      <c r="N1716" s="15"/>
      <c r="O1716" s="15">
        <f t="shared" si="682"/>
        <v>0</v>
      </c>
      <c r="Q1716" s="15">
        <f t="shared" si="675"/>
        <v>21990</v>
      </c>
      <c r="R1716" s="15">
        <f t="shared" si="676"/>
        <v>0</v>
      </c>
      <c r="S1716" s="15">
        <f t="shared" si="677"/>
        <v>21990</v>
      </c>
    </row>
    <row r="1717" spans="2:19" x14ac:dyDescent="0.25">
      <c r="B1717" s="73">
        <f t="shared" si="678"/>
        <v>40</v>
      </c>
      <c r="C1717" s="9"/>
      <c r="D1717" s="9"/>
      <c r="E1717" s="9"/>
      <c r="F1717" s="43" t="s">
        <v>303</v>
      </c>
      <c r="G1717" s="98">
        <v>632</v>
      </c>
      <c r="H1717" s="9" t="s">
        <v>229</v>
      </c>
      <c r="I1717" s="10">
        <v>10050</v>
      </c>
      <c r="J1717" s="10"/>
      <c r="K1717" s="10">
        <f t="shared" si="680"/>
        <v>10050</v>
      </c>
      <c r="L1717" s="131"/>
      <c r="M1717" s="10"/>
      <c r="N1717" s="10"/>
      <c r="O1717" s="10">
        <f t="shared" si="682"/>
        <v>0</v>
      </c>
      <c r="Q1717" s="10">
        <f t="shared" si="675"/>
        <v>10050</v>
      </c>
      <c r="R1717" s="10">
        <f t="shared" si="676"/>
        <v>0</v>
      </c>
      <c r="S1717" s="10">
        <f t="shared" si="677"/>
        <v>10050</v>
      </c>
    </row>
    <row r="1718" spans="2:19" x14ac:dyDescent="0.25">
      <c r="B1718" s="73">
        <f t="shared" si="678"/>
        <v>41</v>
      </c>
      <c r="C1718" s="9"/>
      <c r="D1718" s="9"/>
      <c r="E1718" s="9"/>
      <c r="F1718" s="43" t="s">
        <v>303</v>
      </c>
      <c r="G1718" s="98">
        <v>633</v>
      </c>
      <c r="H1718" s="9" t="s">
        <v>220</v>
      </c>
      <c r="I1718" s="10">
        <v>1100</v>
      </c>
      <c r="J1718" s="10"/>
      <c r="K1718" s="10">
        <f t="shared" si="680"/>
        <v>1100</v>
      </c>
      <c r="L1718" s="131"/>
      <c r="M1718" s="10"/>
      <c r="N1718" s="10"/>
      <c r="O1718" s="10">
        <f t="shared" si="682"/>
        <v>0</v>
      </c>
      <c r="Q1718" s="10">
        <f t="shared" si="675"/>
        <v>1100</v>
      </c>
      <c r="R1718" s="10">
        <f t="shared" si="676"/>
        <v>0</v>
      </c>
      <c r="S1718" s="10">
        <f t="shared" si="677"/>
        <v>1100</v>
      </c>
    </row>
    <row r="1719" spans="2:19" x14ac:dyDescent="0.25">
      <c r="B1719" s="73">
        <f t="shared" si="678"/>
        <v>42</v>
      </c>
      <c r="C1719" s="9"/>
      <c r="D1719" s="9"/>
      <c r="E1719" s="9"/>
      <c r="F1719" s="43" t="s">
        <v>303</v>
      </c>
      <c r="G1719" s="98">
        <v>635</v>
      </c>
      <c r="H1719" s="9" t="s">
        <v>234</v>
      </c>
      <c r="I1719" s="10">
        <v>5000</v>
      </c>
      <c r="J1719" s="10"/>
      <c r="K1719" s="10">
        <f t="shared" si="680"/>
        <v>5000</v>
      </c>
      <c r="L1719" s="131"/>
      <c r="M1719" s="10"/>
      <c r="N1719" s="10"/>
      <c r="O1719" s="10">
        <f t="shared" si="682"/>
        <v>0</v>
      </c>
      <c r="Q1719" s="10">
        <f t="shared" si="675"/>
        <v>5000</v>
      </c>
      <c r="R1719" s="10">
        <f t="shared" si="676"/>
        <v>0</v>
      </c>
      <c r="S1719" s="10">
        <f t="shared" si="677"/>
        <v>5000</v>
      </c>
    </row>
    <row r="1720" spans="2:19" x14ac:dyDescent="0.25">
      <c r="B1720" s="73">
        <f t="shared" si="678"/>
        <v>43</v>
      </c>
      <c r="C1720" s="9"/>
      <c r="D1720" s="9"/>
      <c r="E1720" s="9"/>
      <c r="F1720" s="43" t="s">
        <v>303</v>
      </c>
      <c r="G1720" s="98">
        <v>637</v>
      </c>
      <c r="H1720" s="9" t="s">
        <v>223</v>
      </c>
      <c r="I1720" s="10">
        <v>5840</v>
      </c>
      <c r="J1720" s="10"/>
      <c r="K1720" s="10">
        <f t="shared" si="680"/>
        <v>5840</v>
      </c>
      <c r="L1720" s="131"/>
      <c r="M1720" s="10"/>
      <c r="N1720" s="10"/>
      <c r="O1720" s="10">
        <f t="shared" si="682"/>
        <v>0</v>
      </c>
      <c r="Q1720" s="10">
        <f t="shared" si="675"/>
        <v>5840</v>
      </c>
      <c r="R1720" s="10">
        <f t="shared" si="676"/>
        <v>0</v>
      </c>
      <c r="S1720" s="10">
        <f t="shared" si="677"/>
        <v>5840</v>
      </c>
    </row>
    <row r="1721" spans="2:19" ht="15.75" x14ac:dyDescent="0.25">
      <c r="B1721" s="73">
        <f t="shared" si="678"/>
        <v>44</v>
      </c>
      <c r="C1721" s="34">
        <v>5</v>
      </c>
      <c r="D1721" s="227" t="s">
        <v>356</v>
      </c>
      <c r="E1721" s="228"/>
      <c r="F1721" s="228"/>
      <c r="G1721" s="228"/>
      <c r="H1721" s="229"/>
      <c r="I1721" s="35">
        <f>I1722+I1732+I1744</f>
        <v>554663</v>
      </c>
      <c r="J1721" s="35">
        <f t="shared" ref="J1721" si="696">J1722+J1732+J1744</f>
        <v>130</v>
      </c>
      <c r="K1721" s="35">
        <f t="shared" si="680"/>
        <v>554793</v>
      </c>
      <c r="L1721" s="135"/>
      <c r="M1721" s="35"/>
      <c r="N1721" s="35"/>
      <c r="O1721" s="35">
        <f t="shared" si="682"/>
        <v>0</v>
      </c>
      <c r="Q1721" s="35">
        <f t="shared" si="675"/>
        <v>554663</v>
      </c>
      <c r="R1721" s="35">
        <f t="shared" si="676"/>
        <v>130</v>
      </c>
      <c r="S1721" s="35">
        <f t="shared" si="677"/>
        <v>554793</v>
      </c>
    </row>
    <row r="1722" spans="2:19" x14ac:dyDescent="0.25">
      <c r="B1722" s="73">
        <f t="shared" si="678"/>
        <v>45</v>
      </c>
      <c r="C1722" s="171"/>
      <c r="D1722" s="171">
        <v>1</v>
      </c>
      <c r="E1722" s="230" t="s">
        <v>357</v>
      </c>
      <c r="F1722" s="228"/>
      <c r="G1722" s="228"/>
      <c r="H1722" s="229"/>
      <c r="I1722" s="37">
        <f>I1723+I1727</f>
        <v>8231</v>
      </c>
      <c r="J1722" s="37">
        <f t="shared" ref="J1722" si="697">J1723+J1727</f>
        <v>130</v>
      </c>
      <c r="K1722" s="37">
        <f t="shared" si="680"/>
        <v>8361</v>
      </c>
      <c r="L1722" s="136"/>
      <c r="M1722" s="37"/>
      <c r="N1722" s="37"/>
      <c r="O1722" s="37">
        <f t="shared" si="682"/>
        <v>0</v>
      </c>
      <c r="Q1722" s="37">
        <f t="shared" si="675"/>
        <v>8231</v>
      </c>
      <c r="R1722" s="37">
        <f t="shared" si="676"/>
        <v>130</v>
      </c>
      <c r="S1722" s="37">
        <f t="shared" si="677"/>
        <v>8361</v>
      </c>
    </row>
    <row r="1723" spans="2:19" x14ac:dyDescent="0.25">
      <c r="B1723" s="73">
        <f t="shared" si="678"/>
        <v>46</v>
      </c>
      <c r="C1723" s="21"/>
      <c r="D1723" s="21"/>
      <c r="E1723" s="21"/>
      <c r="F1723" s="42" t="s">
        <v>358</v>
      </c>
      <c r="G1723" s="97">
        <v>630</v>
      </c>
      <c r="H1723" s="21" t="s">
        <v>218</v>
      </c>
      <c r="I1723" s="15">
        <f>SUM(I1724:I1726)</f>
        <v>6131</v>
      </c>
      <c r="J1723" s="15">
        <f t="shared" ref="J1723" si="698">SUM(J1724:J1726)</f>
        <v>0</v>
      </c>
      <c r="K1723" s="15">
        <f t="shared" si="680"/>
        <v>6131</v>
      </c>
      <c r="L1723" s="130"/>
      <c r="M1723" s="15"/>
      <c r="N1723" s="15"/>
      <c r="O1723" s="15">
        <f t="shared" si="682"/>
        <v>0</v>
      </c>
      <c r="Q1723" s="15">
        <f t="shared" si="675"/>
        <v>6131</v>
      </c>
      <c r="R1723" s="15">
        <f t="shared" si="676"/>
        <v>0</v>
      </c>
      <c r="S1723" s="15">
        <f t="shared" si="677"/>
        <v>6131</v>
      </c>
    </row>
    <row r="1724" spans="2:19" x14ac:dyDescent="0.25">
      <c r="B1724" s="73">
        <f t="shared" si="678"/>
        <v>47</v>
      </c>
      <c r="C1724" s="9"/>
      <c r="D1724" s="9"/>
      <c r="E1724" s="9"/>
      <c r="F1724" s="43" t="s">
        <v>358</v>
      </c>
      <c r="G1724" s="98">
        <v>633</v>
      </c>
      <c r="H1724" s="9" t="s">
        <v>220</v>
      </c>
      <c r="I1724" s="10">
        <f>5700-19-3000</f>
        <v>2681</v>
      </c>
      <c r="J1724" s="10"/>
      <c r="K1724" s="10">
        <f t="shared" si="680"/>
        <v>2681</v>
      </c>
      <c r="L1724" s="131"/>
      <c r="M1724" s="10"/>
      <c r="N1724" s="10"/>
      <c r="O1724" s="10">
        <f t="shared" si="682"/>
        <v>0</v>
      </c>
      <c r="Q1724" s="10">
        <f t="shared" si="675"/>
        <v>2681</v>
      </c>
      <c r="R1724" s="10">
        <f t="shared" si="676"/>
        <v>0</v>
      </c>
      <c r="S1724" s="10">
        <f t="shared" si="677"/>
        <v>2681</v>
      </c>
    </row>
    <row r="1725" spans="2:19" x14ac:dyDescent="0.25">
      <c r="B1725" s="73">
        <f t="shared" si="678"/>
        <v>48</v>
      </c>
      <c r="C1725" s="9"/>
      <c r="D1725" s="9"/>
      <c r="E1725" s="9"/>
      <c r="F1725" s="43" t="s">
        <v>358</v>
      </c>
      <c r="G1725" s="98">
        <v>634</v>
      </c>
      <c r="H1725" s="9" t="s">
        <v>221</v>
      </c>
      <c r="I1725" s="10">
        <v>350</v>
      </c>
      <c r="J1725" s="10"/>
      <c r="K1725" s="10">
        <f t="shared" si="680"/>
        <v>350</v>
      </c>
      <c r="L1725" s="131"/>
      <c r="M1725" s="10"/>
      <c r="N1725" s="10"/>
      <c r="O1725" s="10">
        <f t="shared" si="682"/>
        <v>0</v>
      </c>
      <c r="Q1725" s="10">
        <f t="shared" si="675"/>
        <v>350</v>
      </c>
      <c r="R1725" s="10">
        <f t="shared" si="676"/>
        <v>0</v>
      </c>
      <c r="S1725" s="10">
        <f t="shared" si="677"/>
        <v>350</v>
      </c>
    </row>
    <row r="1726" spans="2:19" x14ac:dyDescent="0.25">
      <c r="B1726" s="73">
        <f t="shared" si="678"/>
        <v>49</v>
      </c>
      <c r="C1726" s="9"/>
      <c r="D1726" s="9"/>
      <c r="E1726" s="9"/>
      <c r="F1726" s="43" t="s">
        <v>358</v>
      </c>
      <c r="G1726" s="98">
        <v>637</v>
      </c>
      <c r="H1726" s="9" t="s">
        <v>223</v>
      </c>
      <c r="I1726" s="10">
        <f>100+3000</f>
        <v>3100</v>
      </c>
      <c r="J1726" s="10"/>
      <c r="K1726" s="10">
        <f t="shared" si="680"/>
        <v>3100</v>
      </c>
      <c r="L1726" s="131"/>
      <c r="M1726" s="10"/>
      <c r="N1726" s="10"/>
      <c r="O1726" s="10">
        <f t="shared" si="682"/>
        <v>0</v>
      </c>
      <c r="Q1726" s="10">
        <f t="shared" si="675"/>
        <v>3100</v>
      </c>
      <c r="R1726" s="10">
        <f t="shared" si="676"/>
        <v>0</v>
      </c>
      <c r="S1726" s="10">
        <f t="shared" si="677"/>
        <v>3100</v>
      </c>
    </row>
    <row r="1727" spans="2:19" x14ac:dyDescent="0.25">
      <c r="B1727" s="73">
        <f t="shared" si="678"/>
        <v>50</v>
      </c>
      <c r="C1727" s="21"/>
      <c r="D1727" s="21"/>
      <c r="E1727" s="21"/>
      <c r="F1727" s="42" t="s">
        <v>249</v>
      </c>
      <c r="G1727" s="97">
        <v>640</v>
      </c>
      <c r="H1727" s="21" t="s">
        <v>230</v>
      </c>
      <c r="I1727" s="15">
        <f>I1728</f>
        <v>2100</v>
      </c>
      <c r="J1727" s="15">
        <f t="shared" ref="J1727" si="699">J1728</f>
        <v>130</v>
      </c>
      <c r="K1727" s="15">
        <f t="shared" si="680"/>
        <v>2230</v>
      </c>
      <c r="L1727" s="130"/>
      <c r="M1727" s="15"/>
      <c r="N1727" s="15"/>
      <c r="O1727" s="15">
        <f t="shared" si="682"/>
        <v>0</v>
      </c>
      <c r="Q1727" s="15">
        <f t="shared" si="675"/>
        <v>2100</v>
      </c>
      <c r="R1727" s="15">
        <f t="shared" si="676"/>
        <v>130</v>
      </c>
      <c r="S1727" s="15">
        <f t="shared" si="677"/>
        <v>2230</v>
      </c>
    </row>
    <row r="1728" spans="2:19" x14ac:dyDescent="0.25">
      <c r="B1728" s="73">
        <f t="shared" si="678"/>
        <v>51</v>
      </c>
      <c r="C1728" s="9"/>
      <c r="D1728" s="9"/>
      <c r="E1728" s="9"/>
      <c r="F1728" s="43" t="s">
        <v>249</v>
      </c>
      <c r="G1728" s="98">
        <v>642</v>
      </c>
      <c r="H1728" s="9" t="s">
        <v>231</v>
      </c>
      <c r="I1728" s="10">
        <f>SUM(I1729:I1731)</f>
        <v>2100</v>
      </c>
      <c r="J1728" s="10">
        <f t="shared" ref="J1728" si="700">SUM(J1729:J1731)</f>
        <v>130</v>
      </c>
      <c r="K1728" s="10">
        <f t="shared" si="680"/>
        <v>2230</v>
      </c>
      <c r="L1728" s="131"/>
      <c r="M1728" s="10"/>
      <c r="N1728" s="10"/>
      <c r="O1728" s="10">
        <f t="shared" si="682"/>
        <v>0</v>
      </c>
      <c r="Q1728" s="10">
        <f t="shared" si="675"/>
        <v>2100</v>
      </c>
      <c r="R1728" s="10">
        <f t="shared" si="676"/>
        <v>130</v>
      </c>
      <c r="S1728" s="10">
        <f t="shared" si="677"/>
        <v>2230</v>
      </c>
    </row>
    <row r="1729" spans="2:19" x14ac:dyDescent="0.25">
      <c r="B1729" s="73">
        <f t="shared" si="678"/>
        <v>52</v>
      </c>
      <c r="C1729" s="12"/>
      <c r="D1729" s="12"/>
      <c r="E1729" s="12"/>
      <c r="F1729" s="12"/>
      <c r="G1729" s="99"/>
      <c r="H1729" s="12" t="s">
        <v>554</v>
      </c>
      <c r="I1729" s="13">
        <v>370</v>
      </c>
      <c r="J1729" s="13">
        <v>130</v>
      </c>
      <c r="K1729" s="13">
        <f t="shared" si="680"/>
        <v>500</v>
      </c>
      <c r="L1729" s="132"/>
      <c r="M1729" s="13"/>
      <c r="N1729" s="13"/>
      <c r="O1729" s="13">
        <f t="shared" si="682"/>
        <v>0</v>
      </c>
      <c r="Q1729" s="13">
        <f t="shared" si="675"/>
        <v>370</v>
      </c>
      <c r="R1729" s="13">
        <f t="shared" si="676"/>
        <v>130</v>
      </c>
      <c r="S1729" s="13">
        <f t="shared" si="677"/>
        <v>500</v>
      </c>
    </row>
    <row r="1730" spans="2:19" x14ac:dyDescent="0.25">
      <c r="B1730" s="73">
        <f t="shared" si="678"/>
        <v>53</v>
      </c>
      <c r="C1730" s="12"/>
      <c r="D1730" s="12"/>
      <c r="E1730" s="12"/>
      <c r="F1730" s="12"/>
      <c r="G1730" s="99"/>
      <c r="H1730" s="12" t="s">
        <v>555</v>
      </c>
      <c r="I1730" s="13">
        <v>1500</v>
      </c>
      <c r="J1730" s="13"/>
      <c r="K1730" s="13">
        <f t="shared" si="680"/>
        <v>1500</v>
      </c>
      <c r="L1730" s="132"/>
      <c r="M1730" s="13"/>
      <c r="N1730" s="13"/>
      <c r="O1730" s="13">
        <f t="shared" si="682"/>
        <v>0</v>
      </c>
      <c r="Q1730" s="13">
        <f t="shared" si="675"/>
        <v>1500</v>
      </c>
      <c r="R1730" s="13">
        <f t="shared" si="676"/>
        <v>0</v>
      </c>
      <c r="S1730" s="13">
        <f t="shared" si="677"/>
        <v>1500</v>
      </c>
    </row>
    <row r="1731" spans="2:19" x14ac:dyDescent="0.25">
      <c r="B1731" s="73">
        <f t="shared" si="678"/>
        <v>54</v>
      </c>
      <c r="C1731" s="12"/>
      <c r="D1731" s="12"/>
      <c r="E1731" s="12"/>
      <c r="F1731" s="12"/>
      <c r="G1731" s="99"/>
      <c r="H1731" s="12" t="s">
        <v>556</v>
      </c>
      <c r="I1731" s="13">
        <v>230</v>
      </c>
      <c r="J1731" s="13"/>
      <c r="K1731" s="13">
        <f t="shared" si="680"/>
        <v>230</v>
      </c>
      <c r="L1731" s="132"/>
      <c r="M1731" s="13"/>
      <c r="N1731" s="13"/>
      <c r="O1731" s="13">
        <f t="shared" si="682"/>
        <v>0</v>
      </c>
      <c r="Q1731" s="13">
        <f t="shared" si="675"/>
        <v>230</v>
      </c>
      <c r="R1731" s="13">
        <f t="shared" si="676"/>
        <v>0</v>
      </c>
      <c r="S1731" s="13">
        <f t="shared" si="677"/>
        <v>230</v>
      </c>
    </row>
    <row r="1732" spans="2:19" x14ac:dyDescent="0.25">
      <c r="B1732" s="73">
        <f t="shared" si="678"/>
        <v>55</v>
      </c>
      <c r="C1732" s="171"/>
      <c r="D1732" s="171">
        <v>2</v>
      </c>
      <c r="E1732" s="230" t="s">
        <v>359</v>
      </c>
      <c r="F1732" s="228"/>
      <c r="G1732" s="228"/>
      <c r="H1732" s="229"/>
      <c r="I1732" s="37">
        <f>I1733</f>
        <v>524432</v>
      </c>
      <c r="J1732" s="37">
        <f t="shared" ref="J1732" si="701">J1733</f>
        <v>0</v>
      </c>
      <c r="K1732" s="37">
        <f t="shared" si="680"/>
        <v>524432</v>
      </c>
      <c r="L1732" s="136"/>
      <c r="M1732" s="37"/>
      <c r="N1732" s="37"/>
      <c r="O1732" s="37">
        <f t="shared" si="682"/>
        <v>0</v>
      </c>
      <c r="Q1732" s="37">
        <f t="shared" si="675"/>
        <v>524432</v>
      </c>
      <c r="R1732" s="37">
        <f t="shared" si="676"/>
        <v>0</v>
      </c>
      <c r="S1732" s="37">
        <f t="shared" si="677"/>
        <v>524432</v>
      </c>
    </row>
    <row r="1733" spans="2:19" x14ac:dyDescent="0.25">
      <c r="B1733" s="73">
        <f t="shared" si="678"/>
        <v>56</v>
      </c>
      <c r="C1733" s="38"/>
      <c r="D1733" s="38"/>
      <c r="E1733" s="38">
        <v>5</v>
      </c>
      <c r="F1733" s="38"/>
      <c r="G1733" s="95"/>
      <c r="H1733" s="38" t="s">
        <v>121</v>
      </c>
      <c r="I1733" s="39">
        <f>I1734+I1735+I1736+I1743</f>
        <v>524432</v>
      </c>
      <c r="J1733" s="39">
        <f t="shared" ref="J1733" si="702">J1734+J1735+J1736+J1743</f>
        <v>0</v>
      </c>
      <c r="K1733" s="39">
        <f t="shared" si="680"/>
        <v>524432</v>
      </c>
      <c r="L1733" s="138"/>
      <c r="M1733" s="39"/>
      <c r="N1733" s="39"/>
      <c r="O1733" s="39">
        <f t="shared" si="682"/>
        <v>0</v>
      </c>
      <c r="Q1733" s="39">
        <f t="shared" si="675"/>
        <v>524432</v>
      </c>
      <c r="R1733" s="39">
        <f t="shared" si="676"/>
        <v>0</v>
      </c>
      <c r="S1733" s="39">
        <f t="shared" si="677"/>
        <v>524432</v>
      </c>
    </row>
    <row r="1734" spans="2:19" x14ac:dyDescent="0.25">
      <c r="B1734" s="73">
        <f t="shared" si="678"/>
        <v>57</v>
      </c>
      <c r="C1734" s="21"/>
      <c r="D1734" s="21"/>
      <c r="E1734" s="21"/>
      <c r="F1734" s="42" t="s">
        <v>358</v>
      </c>
      <c r="G1734" s="97">
        <v>610</v>
      </c>
      <c r="H1734" s="21" t="s">
        <v>245</v>
      </c>
      <c r="I1734" s="15">
        <f>236353+13000</f>
        <v>249353</v>
      </c>
      <c r="J1734" s="15"/>
      <c r="K1734" s="15">
        <f t="shared" si="680"/>
        <v>249353</v>
      </c>
      <c r="L1734" s="130"/>
      <c r="M1734" s="15"/>
      <c r="N1734" s="15"/>
      <c r="O1734" s="15">
        <f t="shared" si="682"/>
        <v>0</v>
      </c>
      <c r="Q1734" s="15">
        <f t="shared" si="675"/>
        <v>249353</v>
      </c>
      <c r="R1734" s="15">
        <f t="shared" si="676"/>
        <v>0</v>
      </c>
      <c r="S1734" s="15">
        <f t="shared" si="677"/>
        <v>249353</v>
      </c>
    </row>
    <row r="1735" spans="2:19" x14ac:dyDescent="0.25">
      <c r="B1735" s="73">
        <f t="shared" si="678"/>
        <v>58</v>
      </c>
      <c r="C1735" s="21"/>
      <c r="D1735" s="21"/>
      <c r="E1735" s="21"/>
      <c r="F1735" s="42" t="s">
        <v>358</v>
      </c>
      <c r="G1735" s="97">
        <v>620</v>
      </c>
      <c r="H1735" s="21" t="s">
        <v>228</v>
      </c>
      <c r="I1735" s="15">
        <f>82940+4550</f>
        <v>87490</v>
      </c>
      <c r="J1735" s="15"/>
      <c r="K1735" s="15">
        <f t="shared" si="680"/>
        <v>87490</v>
      </c>
      <c r="L1735" s="130"/>
      <c r="M1735" s="15"/>
      <c r="N1735" s="15"/>
      <c r="O1735" s="15">
        <f t="shared" si="682"/>
        <v>0</v>
      </c>
      <c r="Q1735" s="15">
        <f t="shared" si="675"/>
        <v>87490</v>
      </c>
      <c r="R1735" s="15">
        <f t="shared" si="676"/>
        <v>0</v>
      </c>
      <c r="S1735" s="15">
        <f t="shared" si="677"/>
        <v>87490</v>
      </c>
    </row>
    <row r="1736" spans="2:19" x14ac:dyDescent="0.25">
      <c r="B1736" s="73">
        <f t="shared" si="678"/>
        <v>59</v>
      </c>
      <c r="C1736" s="21"/>
      <c r="D1736" s="21"/>
      <c r="E1736" s="21"/>
      <c r="F1736" s="42" t="s">
        <v>358</v>
      </c>
      <c r="G1736" s="97">
        <v>630</v>
      </c>
      <c r="H1736" s="21" t="s">
        <v>218</v>
      </c>
      <c r="I1736" s="15">
        <f>SUM(I1737:I1742)</f>
        <v>187039</v>
      </c>
      <c r="J1736" s="15">
        <f t="shared" ref="J1736" si="703">SUM(J1737:J1742)</f>
        <v>0</v>
      </c>
      <c r="K1736" s="15">
        <f t="shared" si="680"/>
        <v>187039</v>
      </c>
      <c r="L1736" s="130"/>
      <c r="M1736" s="15"/>
      <c r="N1736" s="15"/>
      <c r="O1736" s="15">
        <f t="shared" si="682"/>
        <v>0</v>
      </c>
      <c r="Q1736" s="15">
        <f t="shared" si="675"/>
        <v>187039</v>
      </c>
      <c r="R1736" s="15">
        <f t="shared" si="676"/>
        <v>0</v>
      </c>
      <c r="S1736" s="15">
        <f t="shared" si="677"/>
        <v>187039</v>
      </c>
    </row>
    <row r="1737" spans="2:19" x14ac:dyDescent="0.25">
      <c r="B1737" s="73">
        <f t="shared" si="678"/>
        <v>60</v>
      </c>
      <c r="C1737" s="9"/>
      <c r="D1737" s="9"/>
      <c r="E1737" s="9"/>
      <c r="F1737" s="43" t="s">
        <v>358</v>
      </c>
      <c r="G1737" s="98">
        <v>631</v>
      </c>
      <c r="H1737" s="9" t="s">
        <v>219</v>
      </c>
      <c r="I1737" s="10">
        <v>200</v>
      </c>
      <c r="J1737" s="10"/>
      <c r="K1737" s="10">
        <f t="shared" si="680"/>
        <v>200</v>
      </c>
      <c r="L1737" s="131"/>
      <c r="M1737" s="10"/>
      <c r="N1737" s="10"/>
      <c r="O1737" s="10">
        <f t="shared" si="682"/>
        <v>0</v>
      </c>
      <c r="Q1737" s="10">
        <f t="shared" si="675"/>
        <v>200</v>
      </c>
      <c r="R1737" s="10">
        <f t="shared" si="676"/>
        <v>0</v>
      </c>
      <c r="S1737" s="10">
        <f t="shared" si="677"/>
        <v>200</v>
      </c>
    </row>
    <row r="1738" spans="2:19" x14ac:dyDescent="0.25">
      <c r="B1738" s="73">
        <f t="shared" si="678"/>
        <v>61</v>
      </c>
      <c r="C1738" s="9"/>
      <c r="D1738" s="9"/>
      <c r="E1738" s="9"/>
      <c r="F1738" s="43" t="s">
        <v>358</v>
      </c>
      <c r="G1738" s="98">
        <v>632</v>
      </c>
      <c r="H1738" s="9" t="s">
        <v>229</v>
      </c>
      <c r="I1738" s="10">
        <v>55750</v>
      </c>
      <c r="J1738" s="10"/>
      <c r="K1738" s="10">
        <f t="shared" si="680"/>
        <v>55750</v>
      </c>
      <c r="L1738" s="131"/>
      <c r="M1738" s="10"/>
      <c r="N1738" s="10"/>
      <c r="O1738" s="10">
        <f t="shared" si="682"/>
        <v>0</v>
      </c>
      <c r="Q1738" s="10">
        <f t="shared" si="675"/>
        <v>55750</v>
      </c>
      <c r="R1738" s="10">
        <f t="shared" si="676"/>
        <v>0</v>
      </c>
      <c r="S1738" s="10">
        <f t="shared" si="677"/>
        <v>55750</v>
      </c>
    </row>
    <row r="1739" spans="2:19" x14ac:dyDescent="0.25">
      <c r="B1739" s="73">
        <f t="shared" si="678"/>
        <v>62</v>
      </c>
      <c r="C1739" s="9"/>
      <c r="D1739" s="9"/>
      <c r="E1739" s="9"/>
      <c r="F1739" s="43" t="s">
        <v>358</v>
      </c>
      <c r="G1739" s="98">
        <v>633</v>
      </c>
      <c r="H1739" s="9" t="s">
        <v>220</v>
      </c>
      <c r="I1739" s="10">
        <f>18960+512</f>
        <v>19472</v>
      </c>
      <c r="J1739" s="10"/>
      <c r="K1739" s="10">
        <f t="shared" si="680"/>
        <v>19472</v>
      </c>
      <c r="L1739" s="131"/>
      <c r="M1739" s="10"/>
      <c r="N1739" s="10"/>
      <c r="O1739" s="10">
        <f t="shared" si="682"/>
        <v>0</v>
      </c>
      <c r="Q1739" s="10">
        <f t="shared" si="675"/>
        <v>19472</v>
      </c>
      <c r="R1739" s="10">
        <f t="shared" si="676"/>
        <v>0</v>
      </c>
      <c r="S1739" s="10">
        <f t="shared" si="677"/>
        <v>19472</v>
      </c>
    </row>
    <row r="1740" spans="2:19" x14ac:dyDescent="0.25">
      <c r="B1740" s="73">
        <f t="shared" si="678"/>
        <v>63</v>
      </c>
      <c r="C1740" s="9"/>
      <c r="D1740" s="9"/>
      <c r="E1740" s="9"/>
      <c r="F1740" s="43" t="s">
        <v>358</v>
      </c>
      <c r="G1740" s="98">
        <v>634</v>
      </c>
      <c r="H1740" s="9" t="s">
        <v>221</v>
      </c>
      <c r="I1740" s="10">
        <v>2350</v>
      </c>
      <c r="J1740" s="10"/>
      <c r="K1740" s="10">
        <f t="shared" si="680"/>
        <v>2350</v>
      </c>
      <c r="L1740" s="131"/>
      <c r="M1740" s="10"/>
      <c r="N1740" s="10"/>
      <c r="O1740" s="10">
        <f t="shared" si="682"/>
        <v>0</v>
      </c>
      <c r="Q1740" s="10">
        <f t="shared" si="675"/>
        <v>2350</v>
      </c>
      <c r="R1740" s="10">
        <f t="shared" si="676"/>
        <v>0</v>
      </c>
      <c r="S1740" s="10">
        <f t="shared" si="677"/>
        <v>2350</v>
      </c>
    </row>
    <row r="1741" spans="2:19" x14ac:dyDescent="0.25">
      <c r="B1741" s="73">
        <f t="shared" si="678"/>
        <v>64</v>
      </c>
      <c r="C1741" s="9"/>
      <c r="D1741" s="9"/>
      <c r="E1741" s="9"/>
      <c r="F1741" s="43" t="s">
        <v>358</v>
      </c>
      <c r="G1741" s="98">
        <v>635</v>
      </c>
      <c r="H1741" s="9" t="s">
        <v>234</v>
      </c>
      <c r="I1741" s="10">
        <v>36900</v>
      </c>
      <c r="J1741" s="10"/>
      <c r="K1741" s="10">
        <f t="shared" si="680"/>
        <v>36900</v>
      </c>
      <c r="L1741" s="131"/>
      <c r="M1741" s="10"/>
      <c r="N1741" s="10"/>
      <c r="O1741" s="10">
        <f t="shared" si="682"/>
        <v>0</v>
      </c>
      <c r="Q1741" s="10">
        <f t="shared" si="675"/>
        <v>36900</v>
      </c>
      <c r="R1741" s="10">
        <f t="shared" si="676"/>
        <v>0</v>
      </c>
      <c r="S1741" s="10">
        <f t="shared" si="677"/>
        <v>36900</v>
      </c>
    </row>
    <row r="1742" spans="2:19" x14ac:dyDescent="0.25">
      <c r="B1742" s="73">
        <f t="shared" si="678"/>
        <v>65</v>
      </c>
      <c r="C1742" s="9"/>
      <c r="D1742" s="9"/>
      <c r="E1742" s="9"/>
      <c r="F1742" s="43" t="s">
        <v>358</v>
      </c>
      <c r="G1742" s="98">
        <v>637</v>
      </c>
      <c r="H1742" s="9" t="s">
        <v>223</v>
      </c>
      <c r="I1742" s="10">
        <v>72367</v>
      </c>
      <c r="J1742" s="10"/>
      <c r="K1742" s="10">
        <f t="shared" si="680"/>
        <v>72367</v>
      </c>
      <c r="L1742" s="131"/>
      <c r="M1742" s="10"/>
      <c r="N1742" s="10"/>
      <c r="O1742" s="10">
        <f t="shared" si="682"/>
        <v>0</v>
      </c>
      <c r="Q1742" s="10">
        <f t="shared" si="675"/>
        <v>72367</v>
      </c>
      <c r="R1742" s="10">
        <f t="shared" si="676"/>
        <v>0</v>
      </c>
      <c r="S1742" s="10">
        <f t="shared" si="677"/>
        <v>72367</v>
      </c>
    </row>
    <row r="1743" spans="2:19" x14ac:dyDescent="0.25">
      <c r="B1743" s="73">
        <f t="shared" si="678"/>
        <v>66</v>
      </c>
      <c r="C1743" s="21"/>
      <c r="D1743" s="21"/>
      <c r="E1743" s="21"/>
      <c r="F1743" s="42" t="s">
        <v>358</v>
      </c>
      <c r="G1743" s="97">
        <v>640</v>
      </c>
      <c r="H1743" s="21" t="s">
        <v>230</v>
      </c>
      <c r="I1743" s="15">
        <v>550</v>
      </c>
      <c r="J1743" s="15"/>
      <c r="K1743" s="15">
        <f t="shared" si="680"/>
        <v>550</v>
      </c>
      <c r="L1743" s="130"/>
      <c r="M1743" s="15"/>
      <c r="N1743" s="15"/>
      <c r="O1743" s="15">
        <f t="shared" si="682"/>
        <v>0</v>
      </c>
      <c r="Q1743" s="15">
        <f t="shared" ref="Q1743:Q1806" si="704">I1743+M1743</f>
        <v>550</v>
      </c>
      <c r="R1743" s="15">
        <f t="shared" ref="R1743:R1806" si="705">J1743+N1743</f>
        <v>0</v>
      </c>
      <c r="S1743" s="15">
        <f t="shared" ref="S1743:S1806" si="706">K1743+O1743</f>
        <v>550</v>
      </c>
    </row>
    <row r="1744" spans="2:19" x14ac:dyDescent="0.25">
      <c r="B1744" s="73">
        <f t="shared" ref="B1744:B1807" si="707">B1743+1</f>
        <v>67</v>
      </c>
      <c r="C1744" s="171"/>
      <c r="D1744" s="171">
        <v>3</v>
      </c>
      <c r="E1744" s="230" t="s">
        <v>360</v>
      </c>
      <c r="F1744" s="228"/>
      <c r="G1744" s="228"/>
      <c r="H1744" s="229"/>
      <c r="I1744" s="122">
        <f>I1745+I1749</f>
        <v>22000</v>
      </c>
      <c r="J1744" s="122">
        <f t="shared" ref="J1744" si="708">J1745+J1749</f>
        <v>0</v>
      </c>
      <c r="K1744" s="122">
        <f t="shared" ref="K1744:K1807" si="709">I1744+J1744</f>
        <v>22000</v>
      </c>
      <c r="L1744" s="136"/>
      <c r="M1744" s="37"/>
      <c r="N1744" s="37"/>
      <c r="O1744" s="37">
        <f t="shared" ref="O1744:O1807" si="710">M1744+N1744</f>
        <v>0</v>
      </c>
      <c r="Q1744" s="37">
        <f t="shared" si="704"/>
        <v>22000</v>
      </c>
      <c r="R1744" s="37">
        <f t="shared" si="705"/>
        <v>0</v>
      </c>
      <c r="S1744" s="37">
        <f t="shared" si="706"/>
        <v>22000</v>
      </c>
    </row>
    <row r="1745" spans="2:19" x14ac:dyDescent="0.25">
      <c r="B1745" s="73">
        <f t="shared" si="707"/>
        <v>68</v>
      </c>
      <c r="C1745" s="21"/>
      <c r="D1745" s="21"/>
      <c r="E1745" s="21"/>
      <c r="F1745" s="42" t="s">
        <v>358</v>
      </c>
      <c r="G1745" s="97">
        <v>630</v>
      </c>
      <c r="H1745" s="21" t="s">
        <v>218</v>
      </c>
      <c r="I1745" s="15">
        <f>SUM(I1746:I1748)</f>
        <v>1500</v>
      </c>
      <c r="J1745" s="15">
        <f t="shared" ref="J1745" si="711">SUM(J1746:J1748)</f>
        <v>0</v>
      </c>
      <c r="K1745" s="15">
        <f t="shared" si="709"/>
        <v>1500</v>
      </c>
      <c r="L1745" s="130"/>
      <c r="M1745" s="15"/>
      <c r="N1745" s="15"/>
      <c r="O1745" s="15">
        <f t="shared" si="710"/>
        <v>0</v>
      </c>
      <c r="Q1745" s="15">
        <f t="shared" si="704"/>
        <v>1500</v>
      </c>
      <c r="R1745" s="15">
        <f t="shared" si="705"/>
        <v>0</v>
      </c>
      <c r="S1745" s="15">
        <f t="shared" si="706"/>
        <v>1500</v>
      </c>
    </row>
    <row r="1746" spans="2:19" x14ac:dyDescent="0.25">
      <c r="B1746" s="73">
        <f t="shared" si="707"/>
        <v>69</v>
      </c>
      <c r="C1746" s="9"/>
      <c r="D1746" s="9"/>
      <c r="E1746" s="9"/>
      <c r="F1746" s="43" t="s">
        <v>358</v>
      </c>
      <c r="G1746" s="98">
        <v>633</v>
      </c>
      <c r="H1746" s="9" t="s">
        <v>220</v>
      </c>
      <c r="I1746" s="10">
        <v>1000</v>
      </c>
      <c r="J1746" s="10"/>
      <c r="K1746" s="10">
        <f t="shared" si="709"/>
        <v>1000</v>
      </c>
      <c r="L1746" s="131"/>
      <c r="M1746" s="10"/>
      <c r="N1746" s="10"/>
      <c r="O1746" s="10">
        <f t="shared" si="710"/>
        <v>0</v>
      </c>
      <c r="Q1746" s="10">
        <f t="shared" si="704"/>
        <v>1000</v>
      </c>
      <c r="R1746" s="10">
        <f t="shared" si="705"/>
        <v>0</v>
      </c>
      <c r="S1746" s="10">
        <f t="shared" si="706"/>
        <v>1000</v>
      </c>
    </row>
    <row r="1747" spans="2:19" x14ac:dyDescent="0.25">
      <c r="B1747" s="73">
        <f t="shared" si="707"/>
        <v>70</v>
      </c>
      <c r="C1747" s="9"/>
      <c r="D1747" s="9"/>
      <c r="E1747" s="9"/>
      <c r="F1747" s="43" t="s">
        <v>358</v>
      </c>
      <c r="G1747" s="98">
        <v>635</v>
      </c>
      <c r="H1747" s="9" t="s">
        <v>234</v>
      </c>
      <c r="I1747" s="10">
        <v>200</v>
      </c>
      <c r="J1747" s="10"/>
      <c r="K1747" s="10">
        <f t="shared" si="709"/>
        <v>200</v>
      </c>
      <c r="L1747" s="131"/>
      <c r="M1747" s="10"/>
      <c r="N1747" s="10"/>
      <c r="O1747" s="10">
        <f t="shared" si="710"/>
        <v>0</v>
      </c>
      <c r="Q1747" s="10">
        <f t="shared" si="704"/>
        <v>200</v>
      </c>
      <c r="R1747" s="10">
        <f t="shared" si="705"/>
        <v>0</v>
      </c>
      <c r="S1747" s="10">
        <f t="shared" si="706"/>
        <v>200</v>
      </c>
    </row>
    <row r="1748" spans="2:19" x14ac:dyDescent="0.25">
      <c r="B1748" s="73">
        <f t="shared" si="707"/>
        <v>71</v>
      </c>
      <c r="C1748" s="9"/>
      <c r="D1748" s="9"/>
      <c r="E1748" s="9"/>
      <c r="F1748" s="43" t="s">
        <v>358</v>
      </c>
      <c r="G1748" s="98">
        <v>637</v>
      </c>
      <c r="H1748" s="9" t="s">
        <v>223</v>
      </c>
      <c r="I1748" s="10">
        <v>300</v>
      </c>
      <c r="J1748" s="10"/>
      <c r="K1748" s="10">
        <f t="shared" si="709"/>
        <v>300</v>
      </c>
      <c r="L1748" s="131"/>
      <c r="M1748" s="10"/>
      <c r="N1748" s="10"/>
      <c r="O1748" s="10">
        <f t="shared" si="710"/>
        <v>0</v>
      </c>
      <c r="Q1748" s="10">
        <f t="shared" si="704"/>
        <v>300</v>
      </c>
      <c r="R1748" s="10">
        <f t="shared" si="705"/>
        <v>0</v>
      </c>
      <c r="S1748" s="10">
        <f t="shared" si="706"/>
        <v>300</v>
      </c>
    </row>
    <row r="1749" spans="2:19" x14ac:dyDescent="0.25">
      <c r="B1749" s="73">
        <f t="shared" si="707"/>
        <v>72</v>
      </c>
      <c r="C1749" s="38"/>
      <c r="D1749" s="38"/>
      <c r="E1749" s="38">
        <v>2</v>
      </c>
      <c r="F1749" s="38"/>
      <c r="G1749" s="95"/>
      <c r="H1749" s="38" t="s">
        <v>48</v>
      </c>
      <c r="I1749" s="39">
        <f>I1750</f>
        <v>20500</v>
      </c>
      <c r="J1749" s="39">
        <f t="shared" ref="J1749" si="712">J1750</f>
        <v>0</v>
      </c>
      <c r="K1749" s="39">
        <f t="shared" si="709"/>
        <v>20500</v>
      </c>
      <c r="L1749" s="138"/>
      <c r="M1749" s="39"/>
      <c r="N1749" s="39"/>
      <c r="O1749" s="39">
        <f t="shared" si="710"/>
        <v>0</v>
      </c>
      <c r="Q1749" s="39">
        <f t="shared" si="704"/>
        <v>20500</v>
      </c>
      <c r="R1749" s="39">
        <f t="shared" si="705"/>
        <v>0</v>
      </c>
      <c r="S1749" s="39">
        <f t="shared" si="706"/>
        <v>20500</v>
      </c>
    </row>
    <row r="1750" spans="2:19" x14ac:dyDescent="0.25">
      <c r="B1750" s="73">
        <f t="shared" si="707"/>
        <v>73</v>
      </c>
      <c r="C1750" s="21"/>
      <c r="D1750" s="21"/>
      <c r="E1750" s="21"/>
      <c r="F1750" s="42" t="s">
        <v>358</v>
      </c>
      <c r="G1750" s="97">
        <v>630</v>
      </c>
      <c r="H1750" s="21" t="s">
        <v>218</v>
      </c>
      <c r="I1750" s="15">
        <f>SUM(I1751:I1754)</f>
        <v>20500</v>
      </c>
      <c r="J1750" s="15">
        <f t="shared" ref="J1750" si="713">SUM(J1751:J1754)</f>
        <v>0</v>
      </c>
      <c r="K1750" s="15">
        <f t="shared" si="709"/>
        <v>20500</v>
      </c>
      <c r="L1750" s="130"/>
      <c r="M1750" s="15"/>
      <c r="N1750" s="15"/>
      <c r="O1750" s="15">
        <f t="shared" si="710"/>
        <v>0</v>
      </c>
      <c r="Q1750" s="15">
        <f t="shared" si="704"/>
        <v>20500</v>
      </c>
      <c r="R1750" s="15">
        <f t="shared" si="705"/>
        <v>0</v>
      </c>
      <c r="S1750" s="15">
        <f t="shared" si="706"/>
        <v>20500</v>
      </c>
    </row>
    <row r="1751" spans="2:19" x14ac:dyDescent="0.25">
      <c r="B1751" s="73">
        <f t="shared" si="707"/>
        <v>74</v>
      </c>
      <c r="C1751" s="9"/>
      <c r="D1751" s="9"/>
      <c r="E1751" s="9"/>
      <c r="F1751" s="43" t="s">
        <v>358</v>
      </c>
      <c r="G1751" s="98">
        <v>632</v>
      </c>
      <c r="H1751" s="9" t="s">
        <v>229</v>
      </c>
      <c r="I1751" s="10">
        <v>18000</v>
      </c>
      <c r="J1751" s="10"/>
      <c r="K1751" s="10">
        <f t="shared" si="709"/>
        <v>18000</v>
      </c>
      <c r="L1751" s="131"/>
      <c r="M1751" s="10"/>
      <c r="N1751" s="10"/>
      <c r="O1751" s="10">
        <f t="shared" si="710"/>
        <v>0</v>
      </c>
      <c r="Q1751" s="10">
        <f t="shared" si="704"/>
        <v>18000</v>
      </c>
      <c r="R1751" s="10">
        <f t="shared" si="705"/>
        <v>0</v>
      </c>
      <c r="S1751" s="10">
        <f t="shared" si="706"/>
        <v>18000</v>
      </c>
    </row>
    <row r="1752" spans="2:19" x14ac:dyDescent="0.25">
      <c r="B1752" s="73">
        <f t="shared" si="707"/>
        <v>75</v>
      </c>
      <c r="C1752" s="9"/>
      <c r="D1752" s="9"/>
      <c r="E1752" s="9"/>
      <c r="F1752" s="43" t="s">
        <v>358</v>
      </c>
      <c r="G1752" s="98">
        <v>633</v>
      </c>
      <c r="H1752" s="9" t="s">
        <v>220</v>
      </c>
      <c r="I1752" s="10">
        <v>100</v>
      </c>
      <c r="J1752" s="10"/>
      <c r="K1752" s="10">
        <f t="shared" si="709"/>
        <v>100</v>
      </c>
      <c r="L1752" s="131"/>
      <c r="M1752" s="10"/>
      <c r="N1752" s="10"/>
      <c r="O1752" s="10">
        <f t="shared" si="710"/>
        <v>0</v>
      </c>
      <c r="Q1752" s="10">
        <f t="shared" si="704"/>
        <v>100</v>
      </c>
      <c r="R1752" s="10">
        <f t="shared" si="705"/>
        <v>0</v>
      </c>
      <c r="S1752" s="10">
        <f t="shared" si="706"/>
        <v>100</v>
      </c>
    </row>
    <row r="1753" spans="2:19" x14ac:dyDescent="0.25">
      <c r="B1753" s="73">
        <f t="shared" si="707"/>
        <v>76</v>
      </c>
      <c r="C1753" s="9"/>
      <c r="D1753" s="9"/>
      <c r="E1753" s="9"/>
      <c r="F1753" s="43" t="s">
        <v>358</v>
      </c>
      <c r="G1753" s="98">
        <v>635</v>
      </c>
      <c r="H1753" s="9" t="s">
        <v>234</v>
      </c>
      <c r="I1753" s="10">
        <v>2000</v>
      </c>
      <c r="J1753" s="10"/>
      <c r="K1753" s="10">
        <f t="shared" si="709"/>
        <v>2000</v>
      </c>
      <c r="L1753" s="131"/>
      <c r="M1753" s="10"/>
      <c r="N1753" s="10"/>
      <c r="O1753" s="10">
        <f t="shared" si="710"/>
        <v>0</v>
      </c>
      <c r="Q1753" s="10">
        <f t="shared" si="704"/>
        <v>2000</v>
      </c>
      <c r="R1753" s="10">
        <f t="shared" si="705"/>
        <v>0</v>
      </c>
      <c r="S1753" s="10">
        <f t="shared" si="706"/>
        <v>2000</v>
      </c>
    </row>
    <row r="1754" spans="2:19" x14ac:dyDescent="0.25">
      <c r="B1754" s="73">
        <f t="shared" si="707"/>
        <v>77</v>
      </c>
      <c r="C1754" s="9"/>
      <c r="D1754" s="9"/>
      <c r="E1754" s="9"/>
      <c r="F1754" s="43" t="s">
        <v>358</v>
      </c>
      <c r="G1754" s="98">
        <v>637</v>
      </c>
      <c r="H1754" s="9" t="s">
        <v>223</v>
      </c>
      <c r="I1754" s="10">
        <v>400</v>
      </c>
      <c r="J1754" s="10"/>
      <c r="K1754" s="10">
        <f t="shared" si="709"/>
        <v>400</v>
      </c>
      <c r="L1754" s="131"/>
      <c r="M1754" s="10"/>
      <c r="N1754" s="10"/>
      <c r="O1754" s="10">
        <f t="shared" si="710"/>
        <v>0</v>
      </c>
      <c r="Q1754" s="10">
        <f t="shared" si="704"/>
        <v>400</v>
      </c>
      <c r="R1754" s="10">
        <f t="shared" si="705"/>
        <v>0</v>
      </c>
      <c r="S1754" s="10">
        <f t="shared" si="706"/>
        <v>400</v>
      </c>
    </row>
    <row r="1755" spans="2:19" ht="15.75" x14ac:dyDescent="0.25">
      <c r="B1755" s="73">
        <f t="shared" si="707"/>
        <v>78</v>
      </c>
      <c r="C1755" s="34">
        <v>6</v>
      </c>
      <c r="D1755" s="227" t="s">
        <v>361</v>
      </c>
      <c r="E1755" s="228"/>
      <c r="F1755" s="228"/>
      <c r="G1755" s="228"/>
      <c r="H1755" s="229"/>
      <c r="I1755" s="35">
        <f>I1756+I1757+I1759+I1761</f>
        <v>1045620</v>
      </c>
      <c r="J1755" s="35">
        <f t="shared" ref="J1755" si="714">J1756+J1757+J1759+J1761</f>
        <v>0</v>
      </c>
      <c r="K1755" s="35">
        <f t="shared" si="709"/>
        <v>1045620</v>
      </c>
      <c r="L1755" s="135"/>
      <c r="M1755" s="35"/>
      <c r="N1755" s="35"/>
      <c r="O1755" s="35">
        <f t="shared" si="710"/>
        <v>0</v>
      </c>
      <c r="Q1755" s="35">
        <f t="shared" si="704"/>
        <v>1045620</v>
      </c>
      <c r="R1755" s="35">
        <f t="shared" si="705"/>
        <v>0</v>
      </c>
      <c r="S1755" s="35">
        <f t="shared" si="706"/>
        <v>1045620</v>
      </c>
    </row>
    <row r="1756" spans="2:19" x14ac:dyDescent="0.25">
      <c r="B1756" s="73">
        <f t="shared" si="707"/>
        <v>79</v>
      </c>
      <c r="C1756" s="21"/>
      <c r="D1756" s="21"/>
      <c r="E1756" s="21"/>
      <c r="F1756" s="42" t="s">
        <v>358</v>
      </c>
      <c r="G1756" s="97">
        <v>620</v>
      </c>
      <c r="H1756" s="21" t="s">
        <v>228</v>
      </c>
      <c r="I1756" s="15">
        <v>760</v>
      </c>
      <c r="J1756" s="15"/>
      <c r="K1756" s="15">
        <f t="shared" si="709"/>
        <v>760</v>
      </c>
      <c r="L1756" s="130"/>
      <c r="M1756" s="15"/>
      <c r="N1756" s="15"/>
      <c r="O1756" s="15">
        <f t="shared" si="710"/>
        <v>0</v>
      </c>
      <c r="Q1756" s="15">
        <f t="shared" si="704"/>
        <v>760</v>
      </c>
      <c r="R1756" s="15">
        <f t="shared" si="705"/>
        <v>0</v>
      </c>
      <c r="S1756" s="15">
        <f t="shared" si="706"/>
        <v>760</v>
      </c>
    </row>
    <row r="1757" spans="2:19" x14ac:dyDescent="0.25">
      <c r="B1757" s="73">
        <f t="shared" si="707"/>
        <v>80</v>
      </c>
      <c r="C1757" s="21"/>
      <c r="D1757" s="21"/>
      <c r="E1757" s="21"/>
      <c r="F1757" s="42" t="s">
        <v>358</v>
      </c>
      <c r="G1757" s="97">
        <v>630</v>
      </c>
      <c r="H1757" s="21" t="s">
        <v>218</v>
      </c>
      <c r="I1757" s="15">
        <f>I1758</f>
        <v>3000</v>
      </c>
      <c r="J1757" s="15"/>
      <c r="K1757" s="15">
        <f t="shared" si="709"/>
        <v>3000</v>
      </c>
      <c r="L1757" s="130"/>
      <c r="M1757" s="15"/>
      <c r="N1757" s="15"/>
      <c r="O1757" s="15">
        <f t="shared" si="710"/>
        <v>0</v>
      </c>
      <c r="Q1757" s="15">
        <f t="shared" si="704"/>
        <v>3000</v>
      </c>
      <c r="R1757" s="15">
        <f t="shared" si="705"/>
        <v>0</v>
      </c>
      <c r="S1757" s="15">
        <f t="shared" si="706"/>
        <v>3000</v>
      </c>
    </row>
    <row r="1758" spans="2:19" hidden="1" x14ac:dyDescent="0.25">
      <c r="B1758" s="73">
        <f t="shared" si="707"/>
        <v>81</v>
      </c>
      <c r="C1758" s="9"/>
      <c r="D1758" s="9"/>
      <c r="E1758" s="9"/>
      <c r="F1758" s="43" t="s">
        <v>358</v>
      </c>
      <c r="G1758" s="98">
        <v>637</v>
      </c>
      <c r="H1758" s="9" t="s">
        <v>223</v>
      </c>
      <c r="I1758" s="10">
        <v>3000</v>
      </c>
      <c r="J1758" s="10">
        <v>3001</v>
      </c>
      <c r="K1758" s="10">
        <f t="shared" si="709"/>
        <v>6001</v>
      </c>
      <c r="L1758" s="131"/>
      <c r="M1758" s="10"/>
      <c r="N1758" s="10"/>
      <c r="O1758" s="10">
        <f t="shared" si="710"/>
        <v>0</v>
      </c>
      <c r="Q1758" s="10">
        <f t="shared" si="704"/>
        <v>3000</v>
      </c>
      <c r="R1758" s="10">
        <f t="shared" si="705"/>
        <v>3001</v>
      </c>
      <c r="S1758" s="10">
        <f t="shared" si="706"/>
        <v>6001</v>
      </c>
    </row>
    <row r="1759" spans="2:19" x14ac:dyDescent="0.25">
      <c r="B1759" s="73">
        <f t="shared" si="707"/>
        <v>82</v>
      </c>
      <c r="C1759" s="21"/>
      <c r="D1759" s="21"/>
      <c r="E1759" s="21"/>
      <c r="F1759" s="42" t="s">
        <v>358</v>
      </c>
      <c r="G1759" s="97">
        <v>640</v>
      </c>
      <c r="H1759" s="21" t="s">
        <v>230</v>
      </c>
      <c r="I1759" s="15">
        <f>I1760</f>
        <v>12000</v>
      </c>
      <c r="J1759" s="15">
        <f t="shared" ref="J1759" si="715">J1760</f>
        <v>0</v>
      </c>
      <c r="K1759" s="15">
        <f t="shared" si="709"/>
        <v>12000</v>
      </c>
      <c r="L1759" s="130"/>
      <c r="M1759" s="15"/>
      <c r="N1759" s="15"/>
      <c r="O1759" s="15">
        <f t="shared" si="710"/>
        <v>0</v>
      </c>
      <c r="Q1759" s="15">
        <f t="shared" si="704"/>
        <v>12000</v>
      </c>
      <c r="R1759" s="15">
        <f t="shared" si="705"/>
        <v>0</v>
      </c>
      <c r="S1759" s="15">
        <f t="shared" si="706"/>
        <v>12000</v>
      </c>
    </row>
    <row r="1760" spans="2:19" x14ac:dyDescent="0.25">
      <c r="B1760" s="73">
        <f t="shared" si="707"/>
        <v>83</v>
      </c>
      <c r="C1760" s="9"/>
      <c r="D1760" s="9"/>
      <c r="E1760" s="9"/>
      <c r="F1760" s="43" t="s">
        <v>358</v>
      </c>
      <c r="G1760" s="98">
        <v>642</v>
      </c>
      <c r="H1760" s="9" t="s">
        <v>231</v>
      </c>
      <c r="I1760" s="10">
        <v>12000</v>
      </c>
      <c r="J1760" s="10"/>
      <c r="K1760" s="10">
        <f t="shared" si="709"/>
        <v>12000</v>
      </c>
      <c r="L1760" s="131"/>
      <c r="M1760" s="10"/>
      <c r="N1760" s="10"/>
      <c r="O1760" s="10">
        <f t="shared" si="710"/>
        <v>0</v>
      </c>
      <c r="Q1760" s="10">
        <f t="shared" si="704"/>
        <v>12000</v>
      </c>
      <c r="R1760" s="10">
        <f t="shared" si="705"/>
        <v>0</v>
      </c>
      <c r="S1760" s="10">
        <f t="shared" si="706"/>
        <v>12000</v>
      </c>
    </row>
    <row r="1761" spans="2:19" x14ac:dyDescent="0.25">
      <c r="B1761" s="73">
        <f t="shared" si="707"/>
        <v>84</v>
      </c>
      <c r="C1761" s="38"/>
      <c r="D1761" s="38"/>
      <c r="E1761" s="38">
        <v>5</v>
      </c>
      <c r="F1761" s="38"/>
      <c r="G1761" s="95"/>
      <c r="H1761" s="38" t="s">
        <v>121</v>
      </c>
      <c r="I1761" s="39">
        <f>I1762+I1763+I1764+I1771</f>
        <v>1029860</v>
      </c>
      <c r="J1761" s="39">
        <f t="shared" ref="J1761" si="716">J1762+J1763+J1764+J1771</f>
        <v>0</v>
      </c>
      <c r="K1761" s="39">
        <f t="shared" si="709"/>
        <v>1029860</v>
      </c>
      <c r="L1761" s="138"/>
      <c r="M1761" s="39"/>
      <c r="N1761" s="39"/>
      <c r="O1761" s="39">
        <f t="shared" si="710"/>
        <v>0</v>
      </c>
      <c r="Q1761" s="39">
        <f t="shared" si="704"/>
        <v>1029860</v>
      </c>
      <c r="R1761" s="39">
        <f t="shared" si="705"/>
        <v>0</v>
      </c>
      <c r="S1761" s="39">
        <f t="shared" si="706"/>
        <v>1029860</v>
      </c>
    </row>
    <row r="1762" spans="2:19" x14ac:dyDescent="0.25">
      <c r="B1762" s="73">
        <f t="shared" si="707"/>
        <v>85</v>
      </c>
      <c r="C1762" s="21"/>
      <c r="D1762" s="21"/>
      <c r="E1762" s="21"/>
      <c r="F1762" s="42" t="s">
        <v>362</v>
      </c>
      <c r="G1762" s="97">
        <v>610</v>
      </c>
      <c r="H1762" s="21" t="s">
        <v>245</v>
      </c>
      <c r="I1762" s="15">
        <v>472370</v>
      </c>
      <c r="J1762" s="15"/>
      <c r="K1762" s="15">
        <f t="shared" si="709"/>
        <v>472370</v>
      </c>
      <c r="L1762" s="130"/>
      <c r="M1762" s="15"/>
      <c r="N1762" s="15"/>
      <c r="O1762" s="15">
        <f t="shared" si="710"/>
        <v>0</v>
      </c>
      <c r="Q1762" s="15">
        <f t="shared" si="704"/>
        <v>472370</v>
      </c>
      <c r="R1762" s="15">
        <f t="shared" si="705"/>
        <v>0</v>
      </c>
      <c r="S1762" s="15">
        <f t="shared" si="706"/>
        <v>472370</v>
      </c>
    </row>
    <row r="1763" spans="2:19" x14ac:dyDescent="0.25">
      <c r="B1763" s="73">
        <f t="shared" si="707"/>
        <v>86</v>
      </c>
      <c r="C1763" s="21"/>
      <c r="D1763" s="21"/>
      <c r="E1763" s="21"/>
      <c r="F1763" s="42" t="s">
        <v>362</v>
      </c>
      <c r="G1763" s="97">
        <v>620</v>
      </c>
      <c r="H1763" s="21" t="s">
        <v>228</v>
      </c>
      <c r="I1763" s="15">
        <v>165506</v>
      </c>
      <c r="J1763" s="15"/>
      <c r="K1763" s="15">
        <f t="shared" si="709"/>
        <v>165506</v>
      </c>
      <c r="L1763" s="130"/>
      <c r="M1763" s="15"/>
      <c r="N1763" s="15"/>
      <c r="O1763" s="15">
        <f t="shared" si="710"/>
        <v>0</v>
      </c>
      <c r="Q1763" s="15">
        <f t="shared" si="704"/>
        <v>165506</v>
      </c>
      <c r="R1763" s="15">
        <f t="shared" si="705"/>
        <v>0</v>
      </c>
      <c r="S1763" s="15">
        <f t="shared" si="706"/>
        <v>165506</v>
      </c>
    </row>
    <row r="1764" spans="2:19" x14ac:dyDescent="0.25">
      <c r="B1764" s="73">
        <f t="shared" si="707"/>
        <v>87</v>
      </c>
      <c r="C1764" s="21"/>
      <c r="D1764" s="21"/>
      <c r="E1764" s="21"/>
      <c r="F1764" s="42" t="s">
        <v>362</v>
      </c>
      <c r="G1764" s="97">
        <v>630</v>
      </c>
      <c r="H1764" s="21" t="s">
        <v>218</v>
      </c>
      <c r="I1764" s="15">
        <f>I1765+I1766+I1767+I1768+I1769+I1770</f>
        <v>385025</v>
      </c>
      <c r="J1764" s="15">
        <f t="shared" ref="J1764" si="717">J1765+J1766+J1767+J1768+J1769+J1770</f>
        <v>0</v>
      </c>
      <c r="K1764" s="15">
        <f t="shared" si="709"/>
        <v>385025</v>
      </c>
      <c r="L1764" s="130"/>
      <c r="M1764" s="15"/>
      <c r="N1764" s="15"/>
      <c r="O1764" s="15">
        <f t="shared" si="710"/>
        <v>0</v>
      </c>
      <c r="Q1764" s="15">
        <f t="shared" si="704"/>
        <v>385025</v>
      </c>
      <c r="R1764" s="15">
        <f t="shared" si="705"/>
        <v>0</v>
      </c>
      <c r="S1764" s="15">
        <f t="shared" si="706"/>
        <v>385025</v>
      </c>
    </row>
    <row r="1765" spans="2:19" x14ac:dyDescent="0.25">
      <c r="B1765" s="73">
        <f t="shared" si="707"/>
        <v>88</v>
      </c>
      <c r="C1765" s="9"/>
      <c r="D1765" s="9"/>
      <c r="E1765" s="9"/>
      <c r="F1765" s="43" t="s">
        <v>362</v>
      </c>
      <c r="G1765" s="98">
        <v>631</v>
      </c>
      <c r="H1765" s="9" t="s">
        <v>219</v>
      </c>
      <c r="I1765" s="10">
        <v>200</v>
      </c>
      <c r="J1765" s="10"/>
      <c r="K1765" s="10">
        <f t="shared" si="709"/>
        <v>200</v>
      </c>
      <c r="L1765" s="131"/>
      <c r="M1765" s="10"/>
      <c r="N1765" s="10"/>
      <c r="O1765" s="10">
        <f t="shared" si="710"/>
        <v>0</v>
      </c>
      <c r="Q1765" s="10">
        <f t="shared" si="704"/>
        <v>200</v>
      </c>
      <c r="R1765" s="10">
        <f t="shared" si="705"/>
        <v>0</v>
      </c>
      <c r="S1765" s="10">
        <f t="shared" si="706"/>
        <v>200</v>
      </c>
    </row>
    <row r="1766" spans="2:19" x14ac:dyDescent="0.25">
      <c r="B1766" s="73">
        <f t="shared" si="707"/>
        <v>89</v>
      </c>
      <c r="C1766" s="9"/>
      <c r="D1766" s="9"/>
      <c r="E1766" s="9"/>
      <c r="F1766" s="43" t="s">
        <v>362</v>
      </c>
      <c r="G1766" s="98">
        <v>632</v>
      </c>
      <c r="H1766" s="9" t="s">
        <v>229</v>
      </c>
      <c r="I1766" s="10">
        <v>93750</v>
      </c>
      <c r="J1766" s="10"/>
      <c r="K1766" s="10">
        <f t="shared" si="709"/>
        <v>93750</v>
      </c>
      <c r="L1766" s="131"/>
      <c r="M1766" s="10"/>
      <c r="N1766" s="10"/>
      <c r="O1766" s="10">
        <f t="shared" si="710"/>
        <v>0</v>
      </c>
      <c r="Q1766" s="10">
        <f t="shared" si="704"/>
        <v>93750</v>
      </c>
      <c r="R1766" s="10">
        <f t="shared" si="705"/>
        <v>0</v>
      </c>
      <c r="S1766" s="10">
        <f t="shared" si="706"/>
        <v>93750</v>
      </c>
    </row>
    <row r="1767" spans="2:19" x14ac:dyDescent="0.25">
      <c r="B1767" s="73">
        <f t="shared" si="707"/>
        <v>90</v>
      </c>
      <c r="C1767" s="9"/>
      <c r="D1767" s="9"/>
      <c r="E1767" s="9"/>
      <c r="F1767" s="43" t="s">
        <v>362</v>
      </c>
      <c r="G1767" s="98">
        <v>633</v>
      </c>
      <c r="H1767" s="9" t="s">
        <v>220</v>
      </c>
      <c r="I1767" s="10">
        <f>19870+5000</f>
        <v>24870</v>
      </c>
      <c r="J1767" s="10"/>
      <c r="K1767" s="10">
        <f t="shared" si="709"/>
        <v>24870</v>
      </c>
      <c r="L1767" s="131"/>
      <c r="M1767" s="10"/>
      <c r="N1767" s="10"/>
      <c r="O1767" s="10">
        <f t="shared" si="710"/>
        <v>0</v>
      </c>
      <c r="Q1767" s="10">
        <f t="shared" si="704"/>
        <v>24870</v>
      </c>
      <c r="R1767" s="10">
        <f t="shared" si="705"/>
        <v>0</v>
      </c>
      <c r="S1767" s="10">
        <f t="shared" si="706"/>
        <v>24870</v>
      </c>
    </row>
    <row r="1768" spans="2:19" x14ac:dyDescent="0.25">
      <c r="B1768" s="73">
        <f t="shared" si="707"/>
        <v>91</v>
      </c>
      <c r="C1768" s="9"/>
      <c r="D1768" s="9"/>
      <c r="E1768" s="9"/>
      <c r="F1768" s="43" t="s">
        <v>362</v>
      </c>
      <c r="G1768" s="98">
        <v>634</v>
      </c>
      <c r="H1768" s="9" t="s">
        <v>221</v>
      </c>
      <c r="I1768" s="10">
        <v>1900</v>
      </c>
      <c r="J1768" s="10"/>
      <c r="K1768" s="10">
        <f t="shared" si="709"/>
        <v>1900</v>
      </c>
      <c r="L1768" s="131"/>
      <c r="M1768" s="10"/>
      <c r="N1768" s="10"/>
      <c r="O1768" s="10">
        <f t="shared" si="710"/>
        <v>0</v>
      </c>
      <c r="Q1768" s="10">
        <f t="shared" si="704"/>
        <v>1900</v>
      </c>
      <c r="R1768" s="10">
        <f t="shared" si="705"/>
        <v>0</v>
      </c>
      <c r="S1768" s="10">
        <f t="shared" si="706"/>
        <v>1900</v>
      </c>
    </row>
    <row r="1769" spans="2:19" x14ac:dyDescent="0.25">
      <c r="B1769" s="73">
        <f t="shared" si="707"/>
        <v>92</v>
      </c>
      <c r="C1769" s="9"/>
      <c r="D1769" s="9"/>
      <c r="E1769" s="9"/>
      <c r="F1769" s="43" t="s">
        <v>362</v>
      </c>
      <c r="G1769" s="98">
        <v>635</v>
      </c>
      <c r="H1769" s="9" t="s">
        <v>234</v>
      </c>
      <c r="I1769" s="10">
        <v>24250</v>
      </c>
      <c r="J1769" s="10"/>
      <c r="K1769" s="10">
        <f t="shared" si="709"/>
        <v>24250</v>
      </c>
      <c r="L1769" s="131"/>
      <c r="M1769" s="10"/>
      <c r="N1769" s="10"/>
      <c r="O1769" s="10">
        <f t="shared" si="710"/>
        <v>0</v>
      </c>
      <c r="Q1769" s="10">
        <f t="shared" si="704"/>
        <v>24250</v>
      </c>
      <c r="R1769" s="10">
        <f t="shared" si="705"/>
        <v>0</v>
      </c>
      <c r="S1769" s="10">
        <f t="shared" si="706"/>
        <v>24250</v>
      </c>
    </row>
    <row r="1770" spans="2:19" x14ac:dyDescent="0.25">
      <c r="B1770" s="73">
        <f t="shared" si="707"/>
        <v>93</v>
      </c>
      <c r="C1770" s="9"/>
      <c r="D1770" s="9"/>
      <c r="E1770" s="9"/>
      <c r="F1770" s="43" t="s">
        <v>362</v>
      </c>
      <c r="G1770" s="98">
        <v>637</v>
      </c>
      <c r="H1770" s="9" t="s">
        <v>223</v>
      </c>
      <c r="I1770" s="10">
        <f>242655-2600</f>
        <v>240055</v>
      </c>
      <c r="J1770" s="10"/>
      <c r="K1770" s="10">
        <f t="shared" si="709"/>
        <v>240055</v>
      </c>
      <c r="L1770" s="131"/>
      <c r="M1770" s="10"/>
      <c r="N1770" s="10"/>
      <c r="O1770" s="10">
        <f t="shared" si="710"/>
        <v>0</v>
      </c>
      <c r="Q1770" s="10">
        <f t="shared" si="704"/>
        <v>240055</v>
      </c>
      <c r="R1770" s="10">
        <f t="shared" si="705"/>
        <v>0</v>
      </c>
      <c r="S1770" s="10">
        <f t="shared" si="706"/>
        <v>240055</v>
      </c>
    </row>
    <row r="1771" spans="2:19" x14ac:dyDescent="0.25">
      <c r="B1771" s="73">
        <f t="shared" si="707"/>
        <v>94</v>
      </c>
      <c r="C1771" s="21"/>
      <c r="D1771" s="21"/>
      <c r="E1771" s="21"/>
      <c r="F1771" s="42" t="s">
        <v>362</v>
      </c>
      <c r="G1771" s="97">
        <v>640</v>
      </c>
      <c r="H1771" s="21" t="s">
        <v>230</v>
      </c>
      <c r="I1771" s="15">
        <v>6959</v>
      </c>
      <c r="J1771" s="15"/>
      <c r="K1771" s="15">
        <f t="shared" si="709"/>
        <v>6959</v>
      </c>
      <c r="L1771" s="130"/>
      <c r="M1771" s="15"/>
      <c r="N1771" s="15"/>
      <c r="O1771" s="15">
        <f t="shared" si="710"/>
        <v>0</v>
      </c>
      <c r="Q1771" s="15">
        <f t="shared" si="704"/>
        <v>6959</v>
      </c>
      <c r="R1771" s="15">
        <f t="shared" si="705"/>
        <v>0</v>
      </c>
      <c r="S1771" s="15">
        <f t="shared" si="706"/>
        <v>6959</v>
      </c>
    </row>
    <row r="1772" spans="2:19" ht="15.75" x14ac:dyDescent="0.25">
      <c r="B1772" s="73">
        <f t="shared" si="707"/>
        <v>95</v>
      </c>
      <c r="C1772" s="34">
        <v>7</v>
      </c>
      <c r="D1772" s="227" t="s">
        <v>363</v>
      </c>
      <c r="E1772" s="228"/>
      <c r="F1772" s="228"/>
      <c r="G1772" s="228"/>
      <c r="H1772" s="229"/>
      <c r="I1772" s="35">
        <f>I1773</f>
        <v>580300</v>
      </c>
      <c r="J1772" s="35">
        <f t="shared" ref="J1772" si="718">J1773</f>
        <v>0</v>
      </c>
      <c r="K1772" s="35">
        <f t="shared" si="709"/>
        <v>580300</v>
      </c>
      <c r="L1772" s="135"/>
      <c r="M1772" s="35"/>
      <c r="N1772" s="35"/>
      <c r="O1772" s="35">
        <f t="shared" si="710"/>
        <v>0</v>
      </c>
      <c r="Q1772" s="35">
        <f t="shared" si="704"/>
        <v>580300</v>
      </c>
      <c r="R1772" s="35">
        <f t="shared" si="705"/>
        <v>0</v>
      </c>
      <c r="S1772" s="35">
        <f t="shared" si="706"/>
        <v>580300</v>
      </c>
    </row>
    <row r="1773" spans="2:19" x14ac:dyDescent="0.25">
      <c r="B1773" s="73">
        <f t="shared" si="707"/>
        <v>96</v>
      </c>
      <c r="C1773" s="38"/>
      <c r="D1773" s="38"/>
      <c r="E1773" s="38">
        <v>5</v>
      </c>
      <c r="F1773" s="38"/>
      <c r="G1773" s="95"/>
      <c r="H1773" s="38" t="s">
        <v>121</v>
      </c>
      <c r="I1773" s="39">
        <f>I1774+I1775+I1776+I1781</f>
        <v>580300</v>
      </c>
      <c r="J1773" s="39">
        <f t="shared" ref="J1773" si="719">J1774+J1775+J1776+J1781</f>
        <v>0</v>
      </c>
      <c r="K1773" s="39">
        <f t="shared" si="709"/>
        <v>580300</v>
      </c>
      <c r="L1773" s="138"/>
      <c r="M1773" s="39"/>
      <c r="N1773" s="39"/>
      <c r="O1773" s="39">
        <f t="shared" si="710"/>
        <v>0</v>
      </c>
      <c r="Q1773" s="39">
        <f t="shared" si="704"/>
        <v>580300</v>
      </c>
      <c r="R1773" s="39">
        <f t="shared" si="705"/>
        <v>0</v>
      </c>
      <c r="S1773" s="39">
        <f t="shared" si="706"/>
        <v>580300</v>
      </c>
    </row>
    <row r="1774" spans="2:19" x14ac:dyDescent="0.25">
      <c r="B1774" s="73">
        <f t="shared" si="707"/>
        <v>97</v>
      </c>
      <c r="C1774" s="21"/>
      <c r="D1774" s="21"/>
      <c r="E1774" s="21"/>
      <c r="F1774" s="42" t="s">
        <v>362</v>
      </c>
      <c r="G1774" s="97">
        <v>610</v>
      </c>
      <c r="H1774" s="21" t="s">
        <v>245</v>
      </c>
      <c r="I1774" s="15">
        <v>386661</v>
      </c>
      <c r="J1774" s="15"/>
      <c r="K1774" s="15">
        <f t="shared" si="709"/>
        <v>386661</v>
      </c>
      <c r="L1774" s="130"/>
      <c r="M1774" s="15"/>
      <c r="N1774" s="15"/>
      <c r="O1774" s="15">
        <f t="shared" si="710"/>
        <v>0</v>
      </c>
      <c r="Q1774" s="15">
        <f t="shared" si="704"/>
        <v>386661</v>
      </c>
      <c r="R1774" s="15">
        <f t="shared" si="705"/>
        <v>0</v>
      </c>
      <c r="S1774" s="15">
        <f t="shared" si="706"/>
        <v>386661</v>
      </c>
    </row>
    <row r="1775" spans="2:19" x14ac:dyDescent="0.25">
      <c r="B1775" s="73">
        <f t="shared" si="707"/>
        <v>98</v>
      </c>
      <c r="C1775" s="21"/>
      <c r="D1775" s="21"/>
      <c r="E1775" s="21"/>
      <c r="F1775" s="42" t="s">
        <v>362</v>
      </c>
      <c r="G1775" s="97">
        <v>620</v>
      </c>
      <c r="H1775" s="21" t="s">
        <v>228</v>
      </c>
      <c r="I1775" s="15">
        <v>135680</v>
      </c>
      <c r="J1775" s="15"/>
      <c r="K1775" s="15">
        <f t="shared" si="709"/>
        <v>135680</v>
      </c>
      <c r="L1775" s="130"/>
      <c r="M1775" s="15"/>
      <c r="N1775" s="15"/>
      <c r="O1775" s="15">
        <f t="shared" si="710"/>
        <v>0</v>
      </c>
      <c r="Q1775" s="15">
        <f t="shared" si="704"/>
        <v>135680</v>
      </c>
      <c r="R1775" s="15">
        <f t="shared" si="705"/>
        <v>0</v>
      </c>
      <c r="S1775" s="15">
        <f t="shared" si="706"/>
        <v>135680</v>
      </c>
    </row>
    <row r="1776" spans="2:19" x14ac:dyDescent="0.25">
      <c r="B1776" s="73">
        <f t="shared" si="707"/>
        <v>99</v>
      </c>
      <c r="C1776" s="21"/>
      <c r="D1776" s="21"/>
      <c r="E1776" s="21"/>
      <c r="F1776" s="42" t="s">
        <v>362</v>
      </c>
      <c r="G1776" s="97">
        <v>630</v>
      </c>
      <c r="H1776" s="21" t="s">
        <v>218</v>
      </c>
      <c r="I1776" s="15">
        <f>SUM(I1777:I1780)</f>
        <v>55949</v>
      </c>
      <c r="J1776" s="15">
        <f t="shared" ref="J1776" si="720">SUM(J1777:J1780)</f>
        <v>0</v>
      </c>
      <c r="K1776" s="15">
        <f t="shared" si="709"/>
        <v>55949</v>
      </c>
      <c r="L1776" s="130"/>
      <c r="M1776" s="15"/>
      <c r="N1776" s="15"/>
      <c r="O1776" s="15">
        <f t="shared" si="710"/>
        <v>0</v>
      </c>
      <c r="Q1776" s="15">
        <f t="shared" si="704"/>
        <v>55949</v>
      </c>
      <c r="R1776" s="15">
        <f t="shared" si="705"/>
        <v>0</v>
      </c>
      <c r="S1776" s="15">
        <f t="shared" si="706"/>
        <v>55949</v>
      </c>
    </row>
    <row r="1777" spans="2:19" x14ac:dyDescent="0.25">
      <c r="B1777" s="73">
        <f t="shared" si="707"/>
        <v>100</v>
      </c>
      <c r="C1777" s="9"/>
      <c r="D1777" s="9"/>
      <c r="E1777" s="9"/>
      <c r="F1777" s="43" t="s">
        <v>362</v>
      </c>
      <c r="G1777" s="98">
        <v>632</v>
      </c>
      <c r="H1777" s="9" t="s">
        <v>229</v>
      </c>
      <c r="I1777" s="10">
        <v>700</v>
      </c>
      <c r="J1777" s="10"/>
      <c r="K1777" s="10">
        <f t="shared" si="709"/>
        <v>700</v>
      </c>
      <c r="L1777" s="131"/>
      <c r="M1777" s="10"/>
      <c r="N1777" s="10"/>
      <c r="O1777" s="10">
        <f t="shared" si="710"/>
        <v>0</v>
      </c>
      <c r="Q1777" s="10">
        <f t="shared" si="704"/>
        <v>700</v>
      </c>
      <c r="R1777" s="10">
        <f t="shared" si="705"/>
        <v>0</v>
      </c>
      <c r="S1777" s="10">
        <f t="shared" si="706"/>
        <v>700</v>
      </c>
    </row>
    <row r="1778" spans="2:19" hidden="1" x14ac:dyDescent="0.25">
      <c r="B1778" s="73">
        <f t="shared" si="707"/>
        <v>101</v>
      </c>
      <c r="C1778" s="9"/>
      <c r="D1778" s="9"/>
      <c r="E1778" s="9"/>
      <c r="F1778" s="43" t="s">
        <v>362</v>
      </c>
      <c r="G1778" s="98">
        <v>633</v>
      </c>
      <c r="H1778" s="9" t="s">
        <v>220</v>
      </c>
      <c r="I1778" s="10">
        <v>2700</v>
      </c>
      <c r="J1778" s="10"/>
      <c r="K1778" s="10">
        <f t="shared" si="709"/>
        <v>2700</v>
      </c>
      <c r="L1778" s="131"/>
      <c r="M1778" s="10"/>
      <c r="N1778" s="10"/>
      <c r="O1778" s="10">
        <f t="shared" si="710"/>
        <v>0</v>
      </c>
      <c r="Q1778" s="10">
        <f t="shared" si="704"/>
        <v>2700</v>
      </c>
      <c r="R1778" s="10">
        <f t="shared" si="705"/>
        <v>0</v>
      </c>
      <c r="S1778" s="10">
        <f t="shared" si="706"/>
        <v>2700</v>
      </c>
    </row>
    <row r="1779" spans="2:19" x14ac:dyDescent="0.25">
      <c r="B1779" s="73">
        <f t="shared" si="707"/>
        <v>102</v>
      </c>
      <c r="C1779" s="9"/>
      <c r="D1779" s="9"/>
      <c r="E1779" s="9"/>
      <c r="F1779" s="43" t="s">
        <v>362</v>
      </c>
      <c r="G1779" s="98">
        <v>634</v>
      </c>
      <c r="H1779" s="9" t="s">
        <v>221</v>
      </c>
      <c r="I1779" s="10">
        <v>4901</v>
      </c>
      <c r="J1779" s="10"/>
      <c r="K1779" s="10">
        <f t="shared" si="709"/>
        <v>4901</v>
      </c>
      <c r="L1779" s="131"/>
      <c r="M1779" s="10"/>
      <c r="N1779" s="10"/>
      <c r="O1779" s="10">
        <f t="shared" si="710"/>
        <v>0</v>
      </c>
      <c r="Q1779" s="10">
        <f t="shared" si="704"/>
        <v>4901</v>
      </c>
      <c r="R1779" s="10">
        <f t="shared" si="705"/>
        <v>0</v>
      </c>
      <c r="S1779" s="10">
        <f t="shared" si="706"/>
        <v>4901</v>
      </c>
    </row>
    <row r="1780" spans="2:19" x14ac:dyDescent="0.25">
      <c r="B1780" s="73">
        <f t="shared" si="707"/>
        <v>103</v>
      </c>
      <c r="C1780" s="9"/>
      <c r="D1780" s="9"/>
      <c r="E1780" s="9"/>
      <c r="F1780" s="43" t="s">
        <v>362</v>
      </c>
      <c r="G1780" s="98">
        <v>637</v>
      </c>
      <c r="H1780" s="9" t="s">
        <v>223</v>
      </c>
      <c r="I1780" s="10">
        <v>47648</v>
      </c>
      <c r="J1780" s="10"/>
      <c r="K1780" s="10">
        <f t="shared" si="709"/>
        <v>47648</v>
      </c>
      <c r="L1780" s="131"/>
      <c r="M1780" s="10"/>
      <c r="N1780" s="10"/>
      <c r="O1780" s="10">
        <f t="shared" si="710"/>
        <v>0</v>
      </c>
      <c r="Q1780" s="10">
        <f t="shared" si="704"/>
        <v>47648</v>
      </c>
      <c r="R1780" s="10">
        <f t="shared" si="705"/>
        <v>0</v>
      </c>
      <c r="S1780" s="10">
        <f t="shared" si="706"/>
        <v>47648</v>
      </c>
    </row>
    <row r="1781" spans="2:19" x14ac:dyDescent="0.25">
      <c r="B1781" s="73">
        <f t="shared" si="707"/>
        <v>104</v>
      </c>
      <c r="C1781" s="21"/>
      <c r="D1781" s="21"/>
      <c r="E1781" s="21"/>
      <c r="F1781" s="42" t="s">
        <v>362</v>
      </c>
      <c r="G1781" s="97">
        <v>640</v>
      </c>
      <c r="H1781" s="21" t="s">
        <v>230</v>
      </c>
      <c r="I1781" s="15">
        <f>1170+840</f>
        <v>2010</v>
      </c>
      <c r="J1781" s="15"/>
      <c r="K1781" s="15">
        <f t="shared" si="709"/>
        <v>2010</v>
      </c>
      <c r="L1781" s="130"/>
      <c r="M1781" s="15"/>
      <c r="N1781" s="15"/>
      <c r="O1781" s="15">
        <f t="shared" si="710"/>
        <v>0</v>
      </c>
      <c r="Q1781" s="15">
        <f t="shared" si="704"/>
        <v>2010</v>
      </c>
      <c r="R1781" s="15">
        <f t="shared" si="705"/>
        <v>0</v>
      </c>
      <c r="S1781" s="15">
        <f t="shared" si="706"/>
        <v>2010</v>
      </c>
    </row>
    <row r="1782" spans="2:19" ht="15.75" x14ac:dyDescent="0.25">
      <c r="B1782" s="73">
        <f t="shared" si="707"/>
        <v>105</v>
      </c>
      <c r="C1782" s="34">
        <v>8</v>
      </c>
      <c r="D1782" s="227" t="s">
        <v>364</v>
      </c>
      <c r="E1782" s="228"/>
      <c r="F1782" s="228"/>
      <c r="G1782" s="228"/>
      <c r="H1782" s="229"/>
      <c r="I1782" s="35">
        <f>I1783</f>
        <v>4000</v>
      </c>
      <c r="J1782" s="35">
        <f t="shared" ref="J1782:J1783" si="721">J1783</f>
        <v>-130</v>
      </c>
      <c r="K1782" s="35">
        <f t="shared" si="709"/>
        <v>3870</v>
      </c>
      <c r="L1782" s="135"/>
      <c r="M1782" s="35"/>
      <c r="N1782" s="35"/>
      <c r="O1782" s="35">
        <f t="shared" si="710"/>
        <v>0</v>
      </c>
      <c r="Q1782" s="35">
        <f t="shared" si="704"/>
        <v>4000</v>
      </c>
      <c r="R1782" s="35">
        <f t="shared" si="705"/>
        <v>-130</v>
      </c>
      <c r="S1782" s="35">
        <f t="shared" si="706"/>
        <v>3870</v>
      </c>
    </row>
    <row r="1783" spans="2:19" x14ac:dyDescent="0.25">
      <c r="B1783" s="73">
        <f t="shared" si="707"/>
        <v>106</v>
      </c>
      <c r="C1783" s="21"/>
      <c r="D1783" s="21"/>
      <c r="E1783" s="21"/>
      <c r="F1783" s="42" t="s">
        <v>243</v>
      </c>
      <c r="G1783" s="97">
        <v>630</v>
      </c>
      <c r="H1783" s="21" t="s">
        <v>218</v>
      </c>
      <c r="I1783" s="15">
        <f>I1784</f>
        <v>4000</v>
      </c>
      <c r="J1783" s="15">
        <f t="shared" si="721"/>
        <v>-130</v>
      </c>
      <c r="K1783" s="15">
        <f t="shared" si="709"/>
        <v>3870</v>
      </c>
      <c r="L1783" s="130"/>
      <c r="M1783" s="15"/>
      <c r="N1783" s="15"/>
      <c r="O1783" s="15">
        <f t="shared" si="710"/>
        <v>0</v>
      </c>
      <c r="Q1783" s="15">
        <f t="shared" si="704"/>
        <v>4000</v>
      </c>
      <c r="R1783" s="15">
        <f t="shared" si="705"/>
        <v>-130</v>
      </c>
      <c r="S1783" s="15">
        <f t="shared" si="706"/>
        <v>3870</v>
      </c>
    </row>
    <row r="1784" spans="2:19" x14ac:dyDescent="0.25">
      <c r="B1784" s="73">
        <f t="shared" si="707"/>
        <v>107</v>
      </c>
      <c r="C1784" s="9"/>
      <c r="D1784" s="9"/>
      <c r="E1784" s="9"/>
      <c r="F1784" s="43" t="s">
        <v>243</v>
      </c>
      <c r="G1784" s="98">
        <v>637</v>
      </c>
      <c r="H1784" s="9" t="s">
        <v>223</v>
      </c>
      <c r="I1784" s="10">
        <v>4000</v>
      </c>
      <c r="J1784" s="10">
        <v>-130</v>
      </c>
      <c r="K1784" s="10">
        <f t="shared" si="709"/>
        <v>3870</v>
      </c>
      <c r="L1784" s="131"/>
      <c r="M1784" s="10"/>
      <c r="N1784" s="10"/>
      <c r="O1784" s="10">
        <f t="shared" si="710"/>
        <v>0</v>
      </c>
      <c r="Q1784" s="10">
        <f t="shared" si="704"/>
        <v>4000</v>
      </c>
      <c r="R1784" s="10">
        <f t="shared" si="705"/>
        <v>-130</v>
      </c>
      <c r="S1784" s="10">
        <f t="shared" si="706"/>
        <v>3870</v>
      </c>
    </row>
    <row r="1785" spans="2:19" ht="15.75" x14ac:dyDescent="0.25">
      <c r="B1785" s="73">
        <f t="shared" si="707"/>
        <v>108</v>
      </c>
      <c r="C1785" s="34">
        <v>9</v>
      </c>
      <c r="D1785" s="227" t="s">
        <v>365</v>
      </c>
      <c r="E1785" s="228"/>
      <c r="F1785" s="228"/>
      <c r="G1785" s="228"/>
      <c r="H1785" s="229"/>
      <c r="I1785" s="35">
        <f>I1786+I1788</f>
        <v>19000</v>
      </c>
      <c r="J1785" s="35">
        <f t="shared" ref="J1785" si="722">J1786+J1788</f>
        <v>94</v>
      </c>
      <c r="K1785" s="35">
        <f t="shared" si="709"/>
        <v>19094</v>
      </c>
      <c r="L1785" s="135"/>
      <c r="M1785" s="35"/>
      <c r="N1785" s="35"/>
      <c r="O1785" s="35">
        <f t="shared" si="710"/>
        <v>0</v>
      </c>
      <c r="Q1785" s="35">
        <f t="shared" si="704"/>
        <v>19000</v>
      </c>
      <c r="R1785" s="35">
        <f t="shared" si="705"/>
        <v>94</v>
      </c>
      <c r="S1785" s="35">
        <f t="shared" si="706"/>
        <v>19094</v>
      </c>
    </row>
    <row r="1786" spans="2:19" x14ac:dyDescent="0.25">
      <c r="B1786" s="73">
        <f t="shared" si="707"/>
        <v>109</v>
      </c>
      <c r="C1786" s="21"/>
      <c r="D1786" s="21"/>
      <c r="E1786" s="21"/>
      <c r="F1786" s="42" t="s">
        <v>308</v>
      </c>
      <c r="G1786" s="97">
        <v>630</v>
      </c>
      <c r="H1786" s="21" t="s">
        <v>218</v>
      </c>
      <c r="I1786" s="15">
        <f>I1787</f>
        <v>12000</v>
      </c>
      <c r="J1786" s="15">
        <f t="shared" ref="J1786" si="723">J1787</f>
        <v>94</v>
      </c>
      <c r="K1786" s="15">
        <f t="shared" si="709"/>
        <v>12094</v>
      </c>
      <c r="L1786" s="130"/>
      <c r="M1786" s="15"/>
      <c r="N1786" s="15"/>
      <c r="O1786" s="15">
        <f t="shared" si="710"/>
        <v>0</v>
      </c>
      <c r="Q1786" s="15">
        <f t="shared" si="704"/>
        <v>12000</v>
      </c>
      <c r="R1786" s="15">
        <f t="shared" si="705"/>
        <v>94</v>
      </c>
      <c r="S1786" s="15">
        <f t="shared" si="706"/>
        <v>12094</v>
      </c>
    </row>
    <row r="1787" spans="2:19" x14ac:dyDescent="0.25">
      <c r="B1787" s="73">
        <f t="shared" si="707"/>
        <v>110</v>
      </c>
      <c r="C1787" s="9"/>
      <c r="D1787" s="9"/>
      <c r="E1787" s="9"/>
      <c r="F1787" s="43" t="s">
        <v>308</v>
      </c>
      <c r="G1787" s="98">
        <v>637</v>
      </c>
      <c r="H1787" s="9" t="s">
        <v>223</v>
      </c>
      <c r="I1787" s="10">
        <v>12000</v>
      </c>
      <c r="J1787" s="10">
        <v>94</v>
      </c>
      <c r="K1787" s="10">
        <f t="shared" si="709"/>
        <v>12094</v>
      </c>
      <c r="L1787" s="131"/>
      <c r="M1787" s="10"/>
      <c r="N1787" s="10"/>
      <c r="O1787" s="10">
        <f t="shared" si="710"/>
        <v>0</v>
      </c>
      <c r="Q1787" s="10">
        <f t="shared" si="704"/>
        <v>12000</v>
      </c>
      <c r="R1787" s="10">
        <f t="shared" si="705"/>
        <v>94</v>
      </c>
      <c r="S1787" s="10">
        <f t="shared" si="706"/>
        <v>12094</v>
      </c>
    </row>
    <row r="1788" spans="2:19" x14ac:dyDescent="0.25">
      <c r="B1788" s="73">
        <f t="shared" si="707"/>
        <v>111</v>
      </c>
      <c r="C1788" s="21"/>
      <c r="D1788" s="21"/>
      <c r="E1788" s="21"/>
      <c r="F1788" s="42" t="s">
        <v>308</v>
      </c>
      <c r="G1788" s="97">
        <v>640</v>
      </c>
      <c r="H1788" s="21" t="s">
        <v>230</v>
      </c>
      <c r="I1788" s="15">
        <f>I1789</f>
        <v>7000</v>
      </c>
      <c r="J1788" s="15">
        <f t="shared" ref="J1788" si="724">J1789</f>
        <v>0</v>
      </c>
      <c r="K1788" s="15">
        <f t="shared" si="709"/>
        <v>7000</v>
      </c>
      <c r="L1788" s="130"/>
      <c r="M1788" s="15"/>
      <c r="N1788" s="15"/>
      <c r="O1788" s="15">
        <f t="shared" si="710"/>
        <v>0</v>
      </c>
      <c r="Q1788" s="15">
        <f t="shared" si="704"/>
        <v>7000</v>
      </c>
      <c r="R1788" s="15">
        <f t="shared" si="705"/>
        <v>0</v>
      </c>
      <c r="S1788" s="15">
        <f t="shared" si="706"/>
        <v>7000</v>
      </c>
    </row>
    <row r="1789" spans="2:19" x14ac:dyDescent="0.25">
      <c r="B1789" s="73">
        <f t="shared" si="707"/>
        <v>112</v>
      </c>
      <c r="C1789" s="9"/>
      <c r="D1789" s="9"/>
      <c r="E1789" s="9"/>
      <c r="F1789" s="43" t="s">
        <v>308</v>
      </c>
      <c r="G1789" s="98">
        <v>642</v>
      </c>
      <c r="H1789" s="9" t="s">
        <v>231</v>
      </c>
      <c r="I1789" s="10">
        <v>7000</v>
      </c>
      <c r="J1789" s="10"/>
      <c r="K1789" s="10">
        <f t="shared" si="709"/>
        <v>7000</v>
      </c>
      <c r="L1789" s="131"/>
      <c r="M1789" s="10"/>
      <c r="N1789" s="10"/>
      <c r="O1789" s="10">
        <f t="shared" si="710"/>
        <v>0</v>
      </c>
      <c r="Q1789" s="10">
        <f t="shared" si="704"/>
        <v>7000</v>
      </c>
      <c r="R1789" s="10">
        <f t="shared" si="705"/>
        <v>0</v>
      </c>
      <c r="S1789" s="10">
        <f t="shared" si="706"/>
        <v>7000</v>
      </c>
    </row>
    <row r="1790" spans="2:19" ht="15.75" x14ac:dyDescent="0.25">
      <c r="B1790" s="73">
        <f t="shared" si="707"/>
        <v>113</v>
      </c>
      <c r="C1790" s="34">
        <v>10</v>
      </c>
      <c r="D1790" s="227" t="s">
        <v>366</v>
      </c>
      <c r="E1790" s="228"/>
      <c r="F1790" s="228"/>
      <c r="G1790" s="228"/>
      <c r="H1790" s="229"/>
      <c r="I1790" s="35">
        <f>I1791</f>
        <v>14330</v>
      </c>
      <c r="J1790" s="35">
        <f t="shared" ref="J1790" si="725">J1791</f>
        <v>0</v>
      </c>
      <c r="K1790" s="35">
        <f t="shared" si="709"/>
        <v>14330</v>
      </c>
      <c r="L1790" s="135"/>
      <c r="M1790" s="35"/>
      <c r="N1790" s="35"/>
      <c r="O1790" s="35">
        <f t="shared" si="710"/>
        <v>0</v>
      </c>
      <c r="Q1790" s="35">
        <f t="shared" si="704"/>
        <v>14330</v>
      </c>
      <c r="R1790" s="35">
        <f t="shared" si="705"/>
        <v>0</v>
      </c>
      <c r="S1790" s="35">
        <f t="shared" si="706"/>
        <v>14330</v>
      </c>
    </row>
    <row r="1791" spans="2:19" x14ac:dyDescent="0.25">
      <c r="B1791" s="73">
        <f t="shared" si="707"/>
        <v>114</v>
      </c>
      <c r="C1791" s="38"/>
      <c r="D1791" s="38"/>
      <c r="E1791" s="38">
        <v>5</v>
      </c>
      <c r="F1791" s="38"/>
      <c r="G1791" s="95"/>
      <c r="H1791" s="38" t="s">
        <v>121</v>
      </c>
      <c r="I1791" s="39">
        <f>I1792+I1793+I1794+I1799</f>
        <v>14330</v>
      </c>
      <c r="J1791" s="39">
        <f t="shared" ref="J1791" si="726">J1792+J1793+J1794+J1799</f>
        <v>0</v>
      </c>
      <c r="K1791" s="39">
        <f t="shared" si="709"/>
        <v>14330</v>
      </c>
      <c r="L1791" s="138"/>
      <c r="M1791" s="39"/>
      <c r="N1791" s="39"/>
      <c r="O1791" s="39">
        <f t="shared" si="710"/>
        <v>0</v>
      </c>
      <c r="Q1791" s="39">
        <f t="shared" si="704"/>
        <v>14330</v>
      </c>
      <c r="R1791" s="39">
        <f t="shared" si="705"/>
        <v>0</v>
      </c>
      <c r="S1791" s="39">
        <f t="shared" si="706"/>
        <v>14330</v>
      </c>
    </row>
    <row r="1792" spans="2:19" x14ac:dyDescent="0.25">
      <c r="B1792" s="73">
        <f t="shared" si="707"/>
        <v>115</v>
      </c>
      <c r="C1792" s="21"/>
      <c r="D1792" s="21"/>
      <c r="E1792" s="21"/>
      <c r="F1792" s="42" t="s">
        <v>362</v>
      </c>
      <c r="G1792" s="97">
        <v>610</v>
      </c>
      <c r="H1792" s="21" t="s">
        <v>245</v>
      </c>
      <c r="I1792" s="15">
        <v>6945</v>
      </c>
      <c r="J1792" s="15"/>
      <c r="K1792" s="15">
        <f t="shared" si="709"/>
        <v>6945</v>
      </c>
      <c r="L1792" s="130"/>
      <c r="M1792" s="15"/>
      <c r="N1792" s="15"/>
      <c r="O1792" s="15">
        <f t="shared" si="710"/>
        <v>0</v>
      </c>
      <c r="Q1792" s="15">
        <f t="shared" si="704"/>
        <v>6945</v>
      </c>
      <c r="R1792" s="15">
        <f t="shared" si="705"/>
        <v>0</v>
      </c>
      <c r="S1792" s="15">
        <f t="shared" si="706"/>
        <v>6945</v>
      </c>
    </row>
    <row r="1793" spans="2:19" x14ac:dyDescent="0.25">
      <c r="B1793" s="73">
        <f t="shared" si="707"/>
        <v>116</v>
      </c>
      <c r="C1793" s="21"/>
      <c r="D1793" s="21"/>
      <c r="E1793" s="21"/>
      <c r="F1793" s="42" t="s">
        <v>362</v>
      </c>
      <c r="G1793" s="97">
        <v>620</v>
      </c>
      <c r="H1793" s="21" t="s">
        <v>228</v>
      </c>
      <c r="I1793" s="15">
        <v>2445</v>
      </c>
      <c r="J1793" s="15"/>
      <c r="K1793" s="15">
        <f t="shared" si="709"/>
        <v>2445</v>
      </c>
      <c r="L1793" s="130"/>
      <c r="M1793" s="15"/>
      <c r="N1793" s="15"/>
      <c r="O1793" s="15">
        <f t="shared" si="710"/>
        <v>0</v>
      </c>
      <c r="Q1793" s="15">
        <f t="shared" si="704"/>
        <v>2445</v>
      </c>
      <c r="R1793" s="15">
        <f t="shared" si="705"/>
        <v>0</v>
      </c>
      <c r="S1793" s="15">
        <f t="shared" si="706"/>
        <v>2445</v>
      </c>
    </row>
    <row r="1794" spans="2:19" x14ac:dyDescent="0.25">
      <c r="B1794" s="73">
        <f t="shared" si="707"/>
        <v>117</v>
      </c>
      <c r="C1794" s="21"/>
      <c r="D1794" s="21"/>
      <c r="E1794" s="21"/>
      <c r="F1794" s="42" t="s">
        <v>362</v>
      </c>
      <c r="G1794" s="97">
        <v>630</v>
      </c>
      <c r="H1794" s="21" t="s">
        <v>218</v>
      </c>
      <c r="I1794" s="15">
        <f>I1795+I1796+I1797+I1798</f>
        <v>3210</v>
      </c>
      <c r="J1794" s="15">
        <f t="shared" ref="J1794" si="727">J1795+J1796+J1797+J1798</f>
        <v>0</v>
      </c>
      <c r="K1794" s="15">
        <f t="shared" si="709"/>
        <v>3210</v>
      </c>
      <c r="L1794" s="130"/>
      <c r="M1794" s="15"/>
      <c r="N1794" s="15"/>
      <c r="O1794" s="15">
        <f t="shared" si="710"/>
        <v>0</v>
      </c>
      <c r="Q1794" s="15">
        <f t="shared" si="704"/>
        <v>3210</v>
      </c>
      <c r="R1794" s="15">
        <f t="shared" si="705"/>
        <v>0</v>
      </c>
      <c r="S1794" s="15">
        <f t="shared" si="706"/>
        <v>3210</v>
      </c>
    </row>
    <row r="1795" spans="2:19" x14ac:dyDescent="0.25">
      <c r="B1795" s="73">
        <f t="shared" si="707"/>
        <v>118</v>
      </c>
      <c r="C1795" s="9"/>
      <c r="D1795" s="9"/>
      <c r="E1795" s="9"/>
      <c r="F1795" s="43" t="s">
        <v>362</v>
      </c>
      <c r="G1795" s="98">
        <v>632</v>
      </c>
      <c r="H1795" s="9" t="s">
        <v>229</v>
      </c>
      <c r="I1795" s="10">
        <v>70</v>
      </c>
      <c r="J1795" s="10"/>
      <c r="K1795" s="10">
        <f t="shared" si="709"/>
        <v>70</v>
      </c>
      <c r="L1795" s="131"/>
      <c r="M1795" s="10"/>
      <c r="N1795" s="10"/>
      <c r="O1795" s="10">
        <f t="shared" si="710"/>
        <v>0</v>
      </c>
      <c r="Q1795" s="10">
        <f t="shared" si="704"/>
        <v>70</v>
      </c>
      <c r="R1795" s="10">
        <f t="shared" si="705"/>
        <v>0</v>
      </c>
      <c r="S1795" s="10">
        <f t="shared" si="706"/>
        <v>70</v>
      </c>
    </row>
    <row r="1796" spans="2:19" hidden="1" x14ac:dyDescent="0.25">
      <c r="B1796" s="73">
        <f t="shared" si="707"/>
        <v>119</v>
      </c>
      <c r="C1796" s="9"/>
      <c r="D1796" s="9"/>
      <c r="E1796" s="9"/>
      <c r="F1796" s="43" t="s">
        <v>362</v>
      </c>
      <c r="G1796" s="98">
        <v>633</v>
      </c>
      <c r="H1796" s="9" t="s">
        <v>220</v>
      </c>
      <c r="I1796" s="10">
        <v>60</v>
      </c>
      <c r="J1796" s="10"/>
      <c r="K1796" s="10">
        <f t="shared" si="709"/>
        <v>60</v>
      </c>
      <c r="L1796" s="131"/>
      <c r="M1796" s="10"/>
      <c r="N1796" s="10"/>
      <c r="O1796" s="10">
        <f t="shared" si="710"/>
        <v>0</v>
      </c>
      <c r="Q1796" s="10">
        <f t="shared" si="704"/>
        <v>60</v>
      </c>
      <c r="R1796" s="10">
        <f t="shared" si="705"/>
        <v>0</v>
      </c>
      <c r="S1796" s="10">
        <f t="shared" si="706"/>
        <v>60</v>
      </c>
    </row>
    <row r="1797" spans="2:19" x14ac:dyDescent="0.25">
      <c r="B1797" s="73">
        <f t="shared" si="707"/>
        <v>120</v>
      </c>
      <c r="C1797" s="9"/>
      <c r="D1797" s="9"/>
      <c r="E1797" s="9"/>
      <c r="F1797" s="43" t="s">
        <v>362</v>
      </c>
      <c r="G1797" s="98">
        <v>634</v>
      </c>
      <c r="H1797" s="9" t="s">
        <v>221</v>
      </c>
      <c r="I1797" s="10">
        <v>2400</v>
      </c>
      <c r="J1797" s="10"/>
      <c r="K1797" s="10">
        <f t="shared" si="709"/>
        <v>2400</v>
      </c>
      <c r="L1797" s="131"/>
      <c r="M1797" s="10"/>
      <c r="N1797" s="10"/>
      <c r="O1797" s="10">
        <f t="shared" si="710"/>
        <v>0</v>
      </c>
      <c r="Q1797" s="10">
        <f t="shared" si="704"/>
        <v>2400</v>
      </c>
      <c r="R1797" s="10">
        <f t="shared" si="705"/>
        <v>0</v>
      </c>
      <c r="S1797" s="10">
        <f t="shared" si="706"/>
        <v>2400</v>
      </c>
    </row>
    <row r="1798" spans="2:19" x14ac:dyDescent="0.25">
      <c r="B1798" s="73">
        <f t="shared" si="707"/>
        <v>121</v>
      </c>
      <c r="C1798" s="9"/>
      <c r="D1798" s="9"/>
      <c r="E1798" s="9"/>
      <c r="F1798" s="43" t="s">
        <v>362</v>
      </c>
      <c r="G1798" s="98">
        <v>637</v>
      </c>
      <c r="H1798" s="9" t="s">
        <v>223</v>
      </c>
      <c r="I1798" s="10">
        <v>680</v>
      </c>
      <c r="J1798" s="10"/>
      <c r="K1798" s="10">
        <f t="shared" si="709"/>
        <v>680</v>
      </c>
      <c r="L1798" s="131"/>
      <c r="M1798" s="10"/>
      <c r="N1798" s="10"/>
      <c r="O1798" s="10">
        <f t="shared" si="710"/>
        <v>0</v>
      </c>
      <c r="Q1798" s="10">
        <f t="shared" si="704"/>
        <v>680</v>
      </c>
      <c r="R1798" s="10">
        <f t="shared" si="705"/>
        <v>0</v>
      </c>
      <c r="S1798" s="10">
        <f t="shared" si="706"/>
        <v>680</v>
      </c>
    </row>
    <row r="1799" spans="2:19" x14ac:dyDescent="0.25">
      <c r="B1799" s="73">
        <f t="shared" si="707"/>
        <v>122</v>
      </c>
      <c r="C1799" s="21"/>
      <c r="D1799" s="21"/>
      <c r="E1799" s="21"/>
      <c r="F1799" s="42" t="s">
        <v>362</v>
      </c>
      <c r="G1799" s="97">
        <v>640</v>
      </c>
      <c r="H1799" s="21" t="s">
        <v>230</v>
      </c>
      <c r="I1799" s="15">
        <f>30+1700</f>
        <v>1730</v>
      </c>
      <c r="J1799" s="15"/>
      <c r="K1799" s="15">
        <f t="shared" si="709"/>
        <v>1730</v>
      </c>
      <c r="L1799" s="130"/>
      <c r="M1799" s="15"/>
      <c r="N1799" s="15"/>
      <c r="O1799" s="15">
        <f t="shared" si="710"/>
        <v>0</v>
      </c>
      <c r="Q1799" s="15">
        <f t="shared" si="704"/>
        <v>1730</v>
      </c>
      <c r="R1799" s="15">
        <f t="shared" si="705"/>
        <v>0</v>
      </c>
      <c r="S1799" s="15">
        <f t="shared" si="706"/>
        <v>1730</v>
      </c>
    </row>
    <row r="1800" spans="2:19" ht="15.75" x14ac:dyDescent="0.25">
      <c r="B1800" s="73">
        <f t="shared" si="707"/>
        <v>123</v>
      </c>
      <c r="C1800" s="34">
        <v>11</v>
      </c>
      <c r="D1800" s="227" t="s">
        <v>367</v>
      </c>
      <c r="E1800" s="228"/>
      <c r="F1800" s="228"/>
      <c r="G1800" s="228"/>
      <c r="H1800" s="229"/>
      <c r="I1800" s="35">
        <f>I1801</f>
        <v>144430</v>
      </c>
      <c r="J1800" s="35">
        <f t="shared" ref="J1800" si="728">J1801</f>
        <v>0</v>
      </c>
      <c r="K1800" s="35">
        <f t="shared" si="709"/>
        <v>144430</v>
      </c>
      <c r="L1800" s="135"/>
      <c r="M1800" s="35"/>
      <c r="N1800" s="35"/>
      <c r="O1800" s="35">
        <f t="shared" si="710"/>
        <v>0</v>
      </c>
      <c r="Q1800" s="35">
        <f t="shared" si="704"/>
        <v>144430</v>
      </c>
      <c r="R1800" s="35">
        <f t="shared" si="705"/>
        <v>0</v>
      </c>
      <c r="S1800" s="35">
        <f t="shared" si="706"/>
        <v>144430</v>
      </c>
    </row>
    <row r="1801" spans="2:19" x14ac:dyDescent="0.25">
      <c r="B1801" s="73">
        <f t="shared" si="707"/>
        <v>124</v>
      </c>
      <c r="C1801" s="38"/>
      <c r="D1801" s="38"/>
      <c r="E1801" s="38">
        <v>5</v>
      </c>
      <c r="F1801" s="38"/>
      <c r="G1801" s="95"/>
      <c r="H1801" s="38" t="s">
        <v>121</v>
      </c>
      <c r="I1801" s="39">
        <f>I1802+I1803+I1804</f>
        <v>144430</v>
      </c>
      <c r="J1801" s="39">
        <f t="shared" ref="J1801" si="729">J1802+J1803+J1804</f>
        <v>0</v>
      </c>
      <c r="K1801" s="39">
        <f t="shared" si="709"/>
        <v>144430</v>
      </c>
      <c r="L1801" s="138"/>
      <c r="M1801" s="39"/>
      <c r="N1801" s="39"/>
      <c r="O1801" s="39">
        <f t="shared" si="710"/>
        <v>0</v>
      </c>
      <c r="Q1801" s="39">
        <f t="shared" si="704"/>
        <v>144430</v>
      </c>
      <c r="R1801" s="39">
        <f t="shared" si="705"/>
        <v>0</v>
      </c>
      <c r="S1801" s="39">
        <f t="shared" si="706"/>
        <v>144430</v>
      </c>
    </row>
    <row r="1802" spans="2:19" x14ac:dyDescent="0.25">
      <c r="B1802" s="73">
        <f t="shared" si="707"/>
        <v>125</v>
      </c>
      <c r="C1802" s="21"/>
      <c r="D1802" s="21"/>
      <c r="E1802" s="21"/>
      <c r="F1802" s="42" t="s">
        <v>354</v>
      </c>
      <c r="G1802" s="97">
        <v>610</v>
      </c>
      <c r="H1802" s="21" t="s">
        <v>245</v>
      </c>
      <c r="I1802" s="15">
        <v>85000</v>
      </c>
      <c r="J1802" s="15"/>
      <c r="K1802" s="15">
        <f t="shared" si="709"/>
        <v>85000</v>
      </c>
      <c r="L1802" s="130"/>
      <c r="M1802" s="15"/>
      <c r="N1802" s="15"/>
      <c r="O1802" s="15">
        <f t="shared" si="710"/>
        <v>0</v>
      </c>
      <c r="Q1802" s="15">
        <f t="shared" si="704"/>
        <v>85000</v>
      </c>
      <c r="R1802" s="15">
        <f t="shared" si="705"/>
        <v>0</v>
      </c>
      <c r="S1802" s="15">
        <f t="shared" si="706"/>
        <v>85000</v>
      </c>
    </row>
    <row r="1803" spans="2:19" x14ac:dyDescent="0.25">
      <c r="B1803" s="73">
        <f t="shared" si="707"/>
        <v>126</v>
      </c>
      <c r="C1803" s="21"/>
      <c r="D1803" s="21"/>
      <c r="E1803" s="21"/>
      <c r="F1803" s="42" t="s">
        <v>354</v>
      </c>
      <c r="G1803" s="97">
        <v>620</v>
      </c>
      <c r="H1803" s="21" t="s">
        <v>228</v>
      </c>
      <c r="I1803" s="15">
        <v>29750</v>
      </c>
      <c r="J1803" s="15"/>
      <c r="K1803" s="15">
        <f t="shared" si="709"/>
        <v>29750</v>
      </c>
      <c r="L1803" s="130"/>
      <c r="M1803" s="15"/>
      <c r="N1803" s="15"/>
      <c r="O1803" s="15">
        <f t="shared" si="710"/>
        <v>0</v>
      </c>
      <c r="Q1803" s="15">
        <f t="shared" si="704"/>
        <v>29750</v>
      </c>
      <c r="R1803" s="15">
        <f t="shared" si="705"/>
        <v>0</v>
      </c>
      <c r="S1803" s="15">
        <f t="shared" si="706"/>
        <v>29750</v>
      </c>
    </row>
    <row r="1804" spans="2:19" ht="13.5" customHeight="1" x14ac:dyDescent="0.25">
      <c r="B1804" s="73">
        <f t="shared" si="707"/>
        <v>127</v>
      </c>
      <c r="C1804" s="21"/>
      <c r="D1804" s="21"/>
      <c r="E1804" s="21"/>
      <c r="F1804" s="42" t="s">
        <v>354</v>
      </c>
      <c r="G1804" s="97">
        <v>630</v>
      </c>
      <c r="H1804" s="21" t="s">
        <v>218</v>
      </c>
      <c r="I1804" s="15">
        <f>I1805+I1806+I1807+I1808+I1809+I1810</f>
        <v>29680</v>
      </c>
      <c r="J1804" s="15">
        <f t="shared" ref="J1804" si="730">J1805+J1806+J1807+J1808+J1809+J1810</f>
        <v>0</v>
      </c>
      <c r="K1804" s="15">
        <f t="shared" si="709"/>
        <v>29680</v>
      </c>
      <c r="L1804" s="130"/>
      <c r="M1804" s="15"/>
      <c r="N1804" s="15"/>
      <c r="O1804" s="15">
        <f t="shared" si="710"/>
        <v>0</v>
      </c>
      <c r="Q1804" s="15">
        <f t="shared" si="704"/>
        <v>29680</v>
      </c>
      <c r="R1804" s="15">
        <f t="shared" si="705"/>
        <v>0</v>
      </c>
      <c r="S1804" s="15">
        <f t="shared" si="706"/>
        <v>29680</v>
      </c>
    </row>
    <row r="1805" spans="2:19" x14ac:dyDescent="0.25">
      <c r="B1805" s="73">
        <f t="shared" si="707"/>
        <v>128</v>
      </c>
      <c r="C1805" s="9"/>
      <c r="D1805" s="9"/>
      <c r="E1805" s="9"/>
      <c r="F1805" s="43" t="s">
        <v>354</v>
      </c>
      <c r="G1805" s="98">
        <v>631</v>
      </c>
      <c r="H1805" s="9" t="s">
        <v>219</v>
      </c>
      <c r="I1805" s="10">
        <v>300</v>
      </c>
      <c r="J1805" s="10"/>
      <c r="K1805" s="10">
        <f t="shared" si="709"/>
        <v>300</v>
      </c>
      <c r="L1805" s="131"/>
      <c r="M1805" s="10"/>
      <c r="N1805" s="10"/>
      <c r="O1805" s="10">
        <f t="shared" si="710"/>
        <v>0</v>
      </c>
      <c r="Q1805" s="10">
        <f t="shared" si="704"/>
        <v>300</v>
      </c>
      <c r="R1805" s="10">
        <f t="shared" si="705"/>
        <v>0</v>
      </c>
      <c r="S1805" s="10">
        <f t="shared" si="706"/>
        <v>300</v>
      </c>
    </row>
    <row r="1806" spans="2:19" x14ac:dyDescent="0.25">
      <c r="B1806" s="73">
        <f t="shared" si="707"/>
        <v>129</v>
      </c>
      <c r="C1806" s="9"/>
      <c r="D1806" s="9"/>
      <c r="E1806" s="9"/>
      <c r="F1806" s="43" t="s">
        <v>354</v>
      </c>
      <c r="G1806" s="98">
        <v>632</v>
      </c>
      <c r="H1806" s="9" t="s">
        <v>229</v>
      </c>
      <c r="I1806" s="10">
        <v>2300</v>
      </c>
      <c r="J1806" s="10"/>
      <c r="K1806" s="10">
        <f t="shared" si="709"/>
        <v>2300</v>
      </c>
      <c r="L1806" s="131"/>
      <c r="M1806" s="10"/>
      <c r="N1806" s="10"/>
      <c r="O1806" s="10">
        <f t="shared" si="710"/>
        <v>0</v>
      </c>
      <c r="Q1806" s="10">
        <f t="shared" si="704"/>
        <v>2300</v>
      </c>
      <c r="R1806" s="10">
        <f t="shared" si="705"/>
        <v>0</v>
      </c>
      <c r="S1806" s="10">
        <f t="shared" si="706"/>
        <v>2300</v>
      </c>
    </row>
    <row r="1807" spans="2:19" x14ac:dyDescent="0.25">
      <c r="B1807" s="73">
        <f t="shared" si="707"/>
        <v>130</v>
      </c>
      <c r="C1807" s="9"/>
      <c r="D1807" s="9"/>
      <c r="E1807" s="9"/>
      <c r="F1807" s="43" t="s">
        <v>354</v>
      </c>
      <c r="G1807" s="98">
        <v>633</v>
      </c>
      <c r="H1807" s="9" t="s">
        <v>220</v>
      </c>
      <c r="I1807" s="10">
        <v>4160</v>
      </c>
      <c r="J1807" s="10"/>
      <c r="K1807" s="10">
        <f t="shared" si="709"/>
        <v>4160</v>
      </c>
      <c r="L1807" s="131"/>
      <c r="M1807" s="10"/>
      <c r="N1807" s="10"/>
      <c r="O1807" s="10">
        <f t="shared" si="710"/>
        <v>0</v>
      </c>
      <c r="Q1807" s="10">
        <f t="shared" ref="Q1807:Q1810" si="731">I1807+M1807</f>
        <v>4160</v>
      </c>
      <c r="R1807" s="10">
        <f t="shared" ref="R1807:R1810" si="732">J1807+N1807</f>
        <v>0</v>
      </c>
      <c r="S1807" s="10">
        <f t="shared" ref="S1807:S1810" si="733">K1807+O1807</f>
        <v>4160</v>
      </c>
    </row>
    <row r="1808" spans="2:19" x14ac:dyDescent="0.25">
      <c r="B1808" s="73">
        <f t="shared" ref="B1808:B1810" si="734">B1807+1</f>
        <v>131</v>
      </c>
      <c r="C1808" s="9"/>
      <c r="D1808" s="9"/>
      <c r="E1808" s="9"/>
      <c r="F1808" s="43" t="s">
        <v>354</v>
      </c>
      <c r="G1808" s="98">
        <v>634</v>
      </c>
      <c r="H1808" s="9" t="s">
        <v>221</v>
      </c>
      <c r="I1808" s="10">
        <v>988</v>
      </c>
      <c r="J1808" s="10"/>
      <c r="K1808" s="10">
        <f t="shared" ref="K1808:K1810" si="735">I1808+J1808</f>
        <v>988</v>
      </c>
      <c r="L1808" s="131"/>
      <c r="M1808" s="10"/>
      <c r="N1808" s="10"/>
      <c r="O1808" s="10">
        <f t="shared" ref="O1808:O1810" si="736">M1808+N1808</f>
        <v>0</v>
      </c>
      <c r="Q1808" s="10">
        <f t="shared" si="731"/>
        <v>988</v>
      </c>
      <c r="R1808" s="10">
        <f t="shared" si="732"/>
        <v>0</v>
      </c>
      <c r="S1808" s="10">
        <f t="shared" si="733"/>
        <v>988</v>
      </c>
    </row>
    <row r="1809" spans="2:19" x14ac:dyDescent="0.25">
      <c r="B1809" s="73">
        <f t="shared" si="734"/>
        <v>132</v>
      </c>
      <c r="C1809" s="9"/>
      <c r="D1809" s="9"/>
      <c r="E1809" s="9"/>
      <c r="F1809" s="43" t="s">
        <v>354</v>
      </c>
      <c r="G1809" s="98">
        <v>635</v>
      </c>
      <c r="H1809" s="9" t="s">
        <v>234</v>
      </c>
      <c r="I1809" s="10">
        <v>1600</v>
      </c>
      <c r="J1809" s="10"/>
      <c r="K1809" s="10">
        <f t="shared" si="735"/>
        <v>1600</v>
      </c>
      <c r="L1809" s="131"/>
      <c r="M1809" s="10"/>
      <c r="N1809" s="10"/>
      <c r="O1809" s="10">
        <f t="shared" si="736"/>
        <v>0</v>
      </c>
      <c r="Q1809" s="10">
        <f t="shared" si="731"/>
        <v>1600</v>
      </c>
      <c r="R1809" s="10">
        <f t="shared" si="732"/>
        <v>0</v>
      </c>
      <c r="S1809" s="10">
        <f t="shared" si="733"/>
        <v>1600</v>
      </c>
    </row>
    <row r="1810" spans="2:19" x14ac:dyDescent="0.25">
      <c r="B1810" s="73">
        <f t="shared" si="734"/>
        <v>133</v>
      </c>
      <c r="C1810" s="9"/>
      <c r="D1810" s="9"/>
      <c r="E1810" s="9"/>
      <c r="F1810" s="43" t="s">
        <v>354</v>
      </c>
      <c r="G1810" s="98">
        <v>637</v>
      </c>
      <c r="H1810" s="9" t="s">
        <v>223</v>
      </c>
      <c r="I1810" s="10">
        <v>20332</v>
      </c>
      <c r="J1810" s="10"/>
      <c r="K1810" s="10">
        <f t="shared" si="735"/>
        <v>20332</v>
      </c>
      <c r="L1810" s="131"/>
      <c r="M1810" s="10"/>
      <c r="N1810" s="10"/>
      <c r="O1810" s="10">
        <f t="shared" si="736"/>
        <v>0</v>
      </c>
      <c r="Q1810" s="10">
        <f t="shared" si="731"/>
        <v>20332</v>
      </c>
      <c r="R1810" s="10">
        <f t="shared" si="732"/>
        <v>0</v>
      </c>
      <c r="S1810" s="10">
        <f t="shared" si="733"/>
        <v>20332</v>
      </c>
    </row>
    <row r="1811" spans="2:19" x14ac:dyDescent="0.25">
      <c r="B1811"/>
      <c r="G1811"/>
      <c r="I1811"/>
      <c r="J1811"/>
      <c r="K1811"/>
      <c r="L1811"/>
      <c r="M1811"/>
    </row>
    <row r="1812" spans="2:19" x14ac:dyDescent="0.25">
      <c r="B1812"/>
      <c r="G1812"/>
      <c r="I1812"/>
      <c r="J1812"/>
      <c r="K1812"/>
      <c r="L1812"/>
      <c r="M1812"/>
    </row>
    <row r="1815" spans="2:19" ht="27" x14ac:dyDescent="0.35">
      <c r="B1815" s="231" t="s">
        <v>368</v>
      </c>
      <c r="C1815" s="232"/>
      <c r="D1815" s="232"/>
      <c r="E1815" s="232"/>
      <c r="F1815" s="232"/>
      <c r="G1815" s="232"/>
      <c r="H1815" s="232"/>
      <c r="I1815" s="232"/>
      <c r="J1815" s="232"/>
      <c r="K1815" s="232"/>
      <c r="L1815" s="232"/>
      <c r="M1815" s="232"/>
    </row>
    <row r="1816" spans="2:19" x14ac:dyDescent="0.25">
      <c r="B1816" s="233" t="s">
        <v>208</v>
      </c>
      <c r="C1816" s="234"/>
      <c r="D1816" s="234"/>
      <c r="E1816" s="234"/>
      <c r="F1816" s="234"/>
      <c r="G1816" s="234"/>
      <c r="H1816" s="234"/>
      <c r="I1816" s="234"/>
      <c r="J1816" s="234"/>
      <c r="K1816" s="234"/>
      <c r="L1816" s="234"/>
      <c r="M1816" s="235"/>
      <c r="N1816" s="169"/>
      <c r="O1816" s="170"/>
      <c r="Q1816" s="236" t="s">
        <v>563</v>
      </c>
      <c r="R1816" s="221" t="s">
        <v>635</v>
      </c>
      <c r="S1816" s="221" t="s">
        <v>636</v>
      </c>
    </row>
    <row r="1817" spans="2:19" x14ac:dyDescent="0.25">
      <c r="B1817" s="237"/>
      <c r="C1817" s="240" t="s">
        <v>209</v>
      </c>
      <c r="D1817" s="240" t="s">
        <v>210</v>
      </c>
      <c r="E1817" s="240" t="s">
        <v>211</v>
      </c>
      <c r="F1817" s="240" t="s">
        <v>212</v>
      </c>
      <c r="G1817" s="243" t="s">
        <v>213</v>
      </c>
      <c r="H1817" s="245" t="s">
        <v>214</v>
      </c>
      <c r="I1817" s="248" t="s">
        <v>561</v>
      </c>
      <c r="J1817" s="222" t="s">
        <v>635</v>
      </c>
      <c r="K1817" s="222" t="s">
        <v>637</v>
      </c>
      <c r="L1817" s="129"/>
      <c r="M1817" s="250" t="s">
        <v>562</v>
      </c>
      <c r="N1817" s="222" t="s">
        <v>635</v>
      </c>
      <c r="O1817" s="222" t="s">
        <v>638</v>
      </c>
      <c r="Q1817" s="236"/>
      <c r="R1817" s="222"/>
      <c r="S1817" s="222"/>
    </row>
    <row r="1818" spans="2:19" x14ac:dyDescent="0.25">
      <c r="B1818" s="238"/>
      <c r="C1818" s="241"/>
      <c r="D1818" s="241"/>
      <c r="E1818" s="241"/>
      <c r="F1818" s="241"/>
      <c r="G1818" s="243"/>
      <c r="H1818" s="246"/>
      <c r="I1818" s="248"/>
      <c r="J1818" s="222"/>
      <c r="K1818" s="222"/>
      <c r="L1818" s="129"/>
      <c r="M1818" s="250"/>
      <c r="N1818" s="222"/>
      <c r="O1818" s="222"/>
      <c r="Q1818" s="236"/>
      <c r="R1818" s="222"/>
      <c r="S1818" s="222"/>
    </row>
    <row r="1819" spans="2:19" x14ac:dyDescent="0.25">
      <c r="B1819" s="238"/>
      <c r="C1819" s="241"/>
      <c r="D1819" s="241"/>
      <c r="E1819" s="241"/>
      <c r="F1819" s="241"/>
      <c r="G1819" s="243"/>
      <c r="H1819" s="246"/>
      <c r="I1819" s="248"/>
      <c r="J1819" s="222"/>
      <c r="K1819" s="222"/>
      <c r="L1819" s="129"/>
      <c r="M1819" s="250"/>
      <c r="N1819" s="222"/>
      <c r="O1819" s="222"/>
      <c r="Q1819" s="236"/>
      <c r="R1819" s="222"/>
      <c r="S1819" s="222"/>
    </row>
    <row r="1820" spans="2:19" ht="15.75" thickBot="1" x14ac:dyDescent="0.3">
      <c r="B1820" s="239"/>
      <c r="C1820" s="242"/>
      <c r="D1820" s="242"/>
      <c r="E1820" s="242"/>
      <c r="F1820" s="242"/>
      <c r="G1820" s="244"/>
      <c r="H1820" s="247"/>
      <c r="I1820" s="249"/>
      <c r="J1820" s="223"/>
      <c r="K1820" s="223"/>
      <c r="L1820" s="129"/>
      <c r="M1820" s="251"/>
      <c r="N1820" s="223"/>
      <c r="O1820" s="223"/>
      <c r="Q1820" s="236"/>
      <c r="R1820" s="223"/>
      <c r="S1820" s="223"/>
    </row>
    <row r="1821" spans="2:19" ht="16.5" thickTop="1" x14ac:dyDescent="0.25">
      <c r="B1821" s="74">
        <v>1</v>
      </c>
      <c r="C1821" s="224" t="s">
        <v>368</v>
      </c>
      <c r="D1821" s="225"/>
      <c r="E1821" s="225"/>
      <c r="F1821" s="225"/>
      <c r="G1821" s="225"/>
      <c r="H1821" s="226"/>
      <c r="I1821" s="33">
        <f>I1822</f>
        <v>202050</v>
      </c>
      <c r="J1821" s="33">
        <f t="shared" ref="J1821" si="737">J1822</f>
        <v>374</v>
      </c>
      <c r="K1821" s="33">
        <f>I1821+J1821</f>
        <v>202424</v>
      </c>
      <c r="L1821" s="134"/>
      <c r="M1821" s="33">
        <f>M1822</f>
        <v>2355000</v>
      </c>
      <c r="N1821" s="33">
        <f t="shared" ref="N1821" si="738">N1822</f>
        <v>0</v>
      </c>
      <c r="O1821" s="33">
        <f>M1821+N1821</f>
        <v>2355000</v>
      </c>
      <c r="Q1821" s="33">
        <f>M1821+I1821</f>
        <v>2557050</v>
      </c>
      <c r="R1821" s="33">
        <f t="shared" ref="R1821:S1836" si="739">N1821+J1821</f>
        <v>374</v>
      </c>
      <c r="S1821" s="33">
        <f t="shared" si="739"/>
        <v>2557424</v>
      </c>
    </row>
    <row r="1822" spans="2:19" ht="15.75" x14ac:dyDescent="0.25">
      <c r="B1822" s="73">
        <f t="shared" ref="B1822:B1841" si="740">B1821+1</f>
        <v>2</v>
      </c>
      <c r="C1822" s="34">
        <v>1</v>
      </c>
      <c r="D1822" s="227" t="s">
        <v>369</v>
      </c>
      <c r="E1822" s="228"/>
      <c r="F1822" s="228"/>
      <c r="G1822" s="228"/>
      <c r="H1822" s="229"/>
      <c r="I1822" s="35">
        <f>I1823+I1829+I1830</f>
        <v>202050</v>
      </c>
      <c r="J1822" s="35">
        <f t="shared" ref="J1822" si="741">J1823+J1829+J1830</f>
        <v>374</v>
      </c>
      <c r="K1822" s="35">
        <f t="shared" ref="K1822:K1841" si="742">I1822+J1822</f>
        <v>202424</v>
      </c>
      <c r="L1822" s="135"/>
      <c r="M1822" s="35">
        <f>M1830</f>
        <v>2355000</v>
      </c>
      <c r="N1822" s="35">
        <f t="shared" ref="N1822" si="743">N1830</f>
        <v>0</v>
      </c>
      <c r="O1822" s="35">
        <f t="shared" ref="O1822:O1841" si="744">M1822+N1822</f>
        <v>2355000</v>
      </c>
      <c r="Q1822" s="35">
        <f>M1822+I1822</f>
        <v>2557050</v>
      </c>
      <c r="R1822" s="35">
        <f t="shared" si="739"/>
        <v>374</v>
      </c>
      <c r="S1822" s="35">
        <f t="shared" si="739"/>
        <v>2557424</v>
      </c>
    </row>
    <row r="1823" spans="2:19" x14ac:dyDescent="0.25">
      <c r="B1823" s="73">
        <f t="shared" si="740"/>
        <v>3</v>
      </c>
      <c r="C1823" s="171"/>
      <c r="D1823" s="171">
        <v>1</v>
      </c>
      <c r="E1823" s="230" t="s">
        <v>370</v>
      </c>
      <c r="F1823" s="228"/>
      <c r="G1823" s="228"/>
      <c r="H1823" s="229"/>
      <c r="I1823" s="37">
        <f>I1824+I1827</f>
        <v>165600</v>
      </c>
      <c r="J1823" s="37">
        <f t="shared" ref="J1823" si="745">J1824+J1827</f>
        <v>0</v>
      </c>
      <c r="K1823" s="37">
        <f t="shared" si="742"/>
        <v>165600</v>
      </c>
      <c r="L1823" s="136"/>
      <c r="M1823" s="37">
        <v>0</v>
      </c>
      <c r="N1823" s="37">
        <v>0</v>
      </c>
      <c r="O1823" s="37">
        <f t="shared" si="744"/>
        <v>0</v>
      </c>
      <c r="Q1823" s="37">
        <f t="shared" ref="Q1823:Q1841" si="746">M1823+I1823</f>
        <v>165600</v>
      </c>
      <c r="R1823" s="37">
        <f t="shared" si="739"/>
        <v>0</v>
      </c>
      <c r="S1823" s="37">
        <f t="shared" si="739"/>
        <v>165600</v>
      </c>
    </row>
    <row r="1824" spans="2:19" hidden="1" x14ac:dyDescent="0.25">
      <c r="B1824" s="73">
        <f>B1823+1</f>
        <v>4</v>
      </c>
      <c r="C1824" s="21"/>
      <c r="D1824" s="21"/>
      <c r="E1824" s="21"/>
      <c r="F1824" s="42" t="s">
        <v>260</v>
      </c>
      <c r="G1824" s="97">
        <v>630</v>
      </c>
      <c r="H1824" s="21" t="s">
        <v>218</v>
      </c>
      <c r="I1824" s="15">
        <f>I1825+I1826</f>
        <v>130600</v>
      </c>
      <c r="J1824" s="15">
        <f t="shared" ref="J1824" si="747">J1825+J1826</f>
        <v>0</v>
      </c>
      <c r="K1824" s="15">
        <f t="shared" si="742"/>
        <v>130600</v>
      </c>
      <c r="L1824" s="130"/>
      <c r="M1824" s="15"/>
      <c r="N1824" s="15"/>
      <c r="O1824" s="15">
        <f t="shared" si="744"/>
        <v>0</v>
      </c>
      <c r="Q1824" s="15">
        <f t="shared" si="746"/>
        <v>130600</v>
      </c>
      <c r="R1824" s="15">
        <f t="shared" si="739"/>
        <v>0</v>
      </c>
      <c r="S1824" s="15">
        <f t="shared" si="739"/>
        <v>130600</v>
      </c>
    </row>
    <row r="1825" spans="2:19" x14ac:dyDescent="0.25">
      <c r="B1825" s="73">
        <f t="shared" si="740"/>
        <v>5</v>
      </c>
      <c r="C1825" s="9"/>
      <c r="D1825" s="9"/>
      <c r="E1825" s="9"/>
      <c r="F1825" s="43" t="s">
        <v>260</v>
      </c>
      <c r="G1825" s="98">
        <v>636</v>
      </c>
      <c r="H1825" s="9" t="s">
        <v>222</v>
      </c>
      <c r="I1825" s="10">
        <v>21600</v>
      </c>
      <c r="J1825" s="10"/>
      <c r="K1825" s="10">
        <f t="shared" si="742"/>
        <v>21600</v>
      </c>
      <c r="L1825" s="131"/>
      <c r="M1825" s="10"/>
      <c r="N1825" s="10"/>
      <c r="O1825" s="10">
        <f t="shared" si="744"/>
        <v>0</v>
      </c>
      <c r="Q1825" s="10">
        <f t="shared" si="746"/>
        <v>21600</v>
      </c>
      <c r="R1825" s="10">
        <f t="shared" si="739"/>
        <v>0</v>
      </c>
      <c r="S1825" s="10">
        <f t="shared" si="739"/>
        <v>21600</v>
      </c>
    </row>
    <row r="1826" spans="2:19" x14ac:dyDescent="0.25">
      <c r="B1826" s="73">
        <f t="shared" si="740"/>
        <v>6</v>
      </c>
      <c r="C1826" s="9"/>
      <c r="D1826" s="9"/>
      <c r="E1826" s="9"/>
      <c r="F1826" s="43" t="s">
        <v>260</v>
      </c>
      <c r="G1826" s="98">
        <v>637</v>
      </c>
      <c r="H1826" s="9" t="s">
        <v>223</v>
      </c>
      <c r="I1826" s="10">
        <v>109000</v>
      </c>
      <c r="J1826" s="10"/>
      <c r="K1826" s="10">
        <f t="shared" si="742"/>
        <v>109000</v>
      </c>
      <c r="L1826" s="131"/>
      <c r="M1826" s="10"/>
      <c r="N1826" s="10"/>
      <c r="O1826" s="10">
        <f t="shared" si="744"/>
        <v>0</v>
      </c>
      <c r="Q1826" s="10">
        <f>M1826+I1826</f>
        <v>109000</v>
      </c>
      <c r="R1826" s="10">
        <f t="shared" si="739"/>
        <v>0</v>
      </c>
      <c r="S1826" s="10">
        <f t="shared" si="739"/>
        <v>109000</v>
      </c>
    </row>
    <row r="1827" spans="2:19" x14ac:dyDescent="0.25">
      <c r="B1827" s="73">
        <f t="shared" si="740"/>
        <v>7</v>
      </c>
      <c r="C1827" s="21"/>
      <c r="D1827" s="21"/>
      <c r="E1827" s="21"/>
      <c r="F1827" s="42" t="s">
        <v>260</v>
      </c>
      <c r="G1827" s="97">
        <v>640</v>
      </c>
      <c r="H1827" s="21" t="s">
        <v>230</v>
      </c>
      <c r="I1827" s="15">
        <f>I1828</f>
        <v>35000</v>
      </c>
      <c r="J1827" s="15">
        <f t="shared" ref="J1827" si="748">J1828</f>
        <v>0</v>
      </c>
      <c r="K1827" s="15">
        <f t="shared" si="742"/>
        <v>35000</v>
      </c>
      <c r="L1827" s="130"/>
      <c r="M1827" s="15"/>
      <c r="N1827" s="15"/>
      <c r="O1827" s="15">
        <f t="shared" si="744"/>
        <v>0</v>
      </c>
      <c r="Q1827" s="15">
        <f t="shared" si="746"/>
        <v>35000</v>
      </c>
      <c r="R1827" s="15">
        <f t="shared" si="739"/>
        <v>0</v>
      </c>
      <c r="S1827" s="15">
        <f t="shared" si="739"/>
        <v>35000</v>
      </c>
    </row>
    <row r="1828" spans="2:19" x14ac:dyDescent="0.25">
      <c r="B1828" s="73">
        <f t="shared" si="740"/>
        <v>8</v>
      </c>
      <c r="C1828" s="9"/>
      <c r="D1828" s="9"/>
      <c r="E1828" s="9"/>
      <c r="F1828" s="43" t="s">
        <v>260</v>
      </c>
      <c r="G1828" s="98">
        <v>642</v>
      </c>
      <c r="H1828" s="9" t="s">
        <v>231</v>
      </c>
      <c r="I1828" s="10">
        <v>35000</v>
      </c>
      <c r="J1828" s="10"/>
      <c r="K1828" s="10">
        <f t="shared" si="742"/>
        <v>35000</v>
      </c>
      <c r="L1828" s="131"/>
      <c r="M1828" s="10"/>
      <c r="N1828" s="10"/>
      <c r="O1828" s="10">
        <f t="shared" si="744"/>
        <v>0</v>
      </c>
      <c r="Q1828" s="10">
        <f t="shared" si="746"/>
        <v>35000</v>
      </c>
      <c r="R1828" s="10">
        <f t="shared" si="739"/>
        <v>0</v>
      </c>
      <c r="S1828" s="10">
        <f t="shared" si="739"/>
        <v>35000</v>
      </c>
    </row>
    <row r="1829" spans="2:19" x14ac:dyDescent="0.25">
      <c r="B1829" s="73">
        <f t="shared" si="740"/>
        <v>9</v>
      </c>
      <c r="C1829" s="171"/>
      <c r="D1829" s="171">
        <v>2</v>
      </c>
      <c r="E1829" s="230" t="s">
        <v>448</v>
      </c>
      <c r="F1829" s="228"/>
      <c r="G1829" s="228"/>
      <c r="H1829" s="229"/>
      <c r="I1829" s="37">
        <v>0</v>
      </c>
      <c r="J1829" s="37">
        <v>0</v>
      </c>
      <c r="K1829" s="37">
        <f t="shared" si="742"/>
        <v>0</v>
      </c>
      <c r="L1829" s="136"/>
      <c r="M1829" s="37">
        <v>0</v>
      </c>
      <c r="N1829" s="37">
        <v>0</v>
      </c>
      <c r="O1829" s="37">
        <f t="shared" si="744"/>
        <v>0</v>
      </c>
      <c r="Q1829" s="37">
        <f t="shared" si="746"/>
        <v>0</v>
      </c>
      <c r="R1829" s="37">
        <f t="shared" si="739"/>
        <v>0</v>
      </c>
      <c r="S1829" s="37">
        <f t="shared" si="739"/>
        <v>0</v>
      </c>
    </row>
    <row r="1830" spans="2:19" x14ac:dyDescent="0.25">
      <c r="B1830" s="73">
        <f t="shared" si="740"/>
        <v>10</v>
      </c>
      <c r="C1830" s="171"/>
      <c r="D1830" s="171">
        <v>3</v>
      </c>
      <c r="E1830" s="230" t="s">
        <v>371</v>
      </c>
      <c r="F1830" s="228"/>
      <c r="G1830" s="228"/>
      <c r="H1830" s="229"/>
      <c r="I1830" s="37">
        <f>I1831+I1832+I1833</f>
        <v>36450</v>
      </c>
      <c r="J1830" s="37">
        <f t="shared" ref="J1830" si="749">J1831+J1832+J1833</f>
        <v>374</v>
      </c>
      <c r="K1830" s="37">
        <f t="shared" si="742"/>
        <v>36824</v>
      </c>
      <c r="L1830" s="136"/>
      <c r="M1830" s="37">
        <f>M1839</f>
        <v>2355000</v>
      </c>
      <c r="N1830" s="37">
        <f t="shared" ref="N1830" si="750">N1839</f>
        <v>0</v>
      </c>
      <c r="O1830" s="37">
        <f t="shared" si="744"/>
        <v>2355000</v>
      </c>
      <c r="Q1830" s="37">
        <f t="shared" si="746"/>
        <v>2391450</v>
      </c>
      <c r="R1830" s="37">
        <f t="shared" si="739"/>
        <v>374</v>
      </c>
      <c r="S1830" s="37">
        <f t="shared" si="739"/>
        <v>2391824</v>
      </c>
    </row>
    <row r="1831" spans="2:19" x14ac:dyDescent="0.25">
      <c r="B1831" s="73">
        <f t="shared" si="740"/>
        <v>11</v>
      </c>
      <c r="C1831" s="21"/>
      <c r="D1831" s="21"/>
      <c r="E1831" s="21"/>
      <c r="F1831" s="42" t="s">
        <v>372</v>
      </c>
      <c r="G1831" s="97">
        <v>610</v>
      </c>
      <c r="H1831" s="21" t="s">
        <v>245</v>
      </c>
      <c r="I1831" s="15">
        <v>25000</v>
      </c>
      <c r="J1831" s="15"/>
      <c r="K1831" s="15">
        <f t="shared" si="742"/>
        <v>25000</v>
      </c>
      <c r="L1831" s="130"/>
      <c r="M1831" s="15"/>
      <c r="N1831" s="15"/>
      <c r="O1831" s="15">
        <f t="shared" si="744"/>
        <v>0</v>
      </c>
      <c r="Q1831" s="15">
        <f t="shared" si="746"/>
        <v>25000</v>
      </c>
      <c r="R1831" s="15">
        <f t="shared" si="739"/>
        <v>0</v>
      </c>
      <c r="S1831" s="15">
        <f t="shared" si="739"/>
        <v>25000</v>
      </c>
    </row>
    <row r="1832" spans="2:19" x14ac:dyDescent="0.25">
      <c r="B1832" s="73">
        <f t="shared" si="740"/>
        <v>12</v>
      </c>
      <c r="C1832" s="21"/>
      <c r="D1832" s="21"/>
      <c r="E1832" s="21"/>
      <c r="F1832" s="42" t="s">
        <v>372</v>
      </c>
      <c r="G1832" s="97">
        <v>620</v>
      </c>
      <c r="H1832" s="21" t="s">
        <v>228</v>
      </c>
      <c r="I1832" s="15">
        <v>9500</v>
      </c>
      <c r="J1832" s="15"/>
      <c r="K1832" s="15">
        <f t="shared" si="742"/>
        <v>9500</v>
      </c>
      <c r="L1832" s="130"/>
      <c r="M1832" s="15"/>
      <c r="N1832" s="15"/>
      <c r="O1832" s="15">
        <f t="shared" si="744"/>
        <v>0</v>
      </c>
      <c r="Q1832" s="15">
        <f t="shared" si="746"/>
        <v>9500</v>
      </c>
      <c r="R1832" s="15">
        <f t="shared" si="739"/>
        <v>0</v>
      </c>
      <c r="S1832" s="15">
        <f t="shared" si="739"/>
        <v>9500</v>
      </c>
    </row>
    <row r="1833" spans="2:19" x14ac:dyDescent="0.25">
      <c r="B1833" s="73">
        <f t="shared" si="740"/>
        <v>13</v>
      </c>
      <c r="C1833" s="21"/>
      <c r="D1833" s="21"/>
      <c r="E1833" s="21"/>
      <c r="F1833" s="42" t="s">
        <v>372</v>
      </c>
      <c r="G1833" s="97">
        <v>630</v>
      </c>
      <c r="H1833" s="21" t="s">
        <v>218</v>
      </c>
      <c r="I1833" s="15">
        <f>I1834+I1835+I1836+I1837</f>
        <v>1950</v>
      </c>
      <c r="J1833" s="15">
        <f>SUM(J1834:J1838)</f>
        <v>374</v>
      </c>
      <c r="K1833" s="15">
        <f t="shared" si="742"/>
        <v>2324</v>
      </c>
      <c r="L1833" s="130"/>
      <c r="M1833" s="15"/>
      <c r="N1833" s="15"/>
      <c r="O1833" s="15">
        <f t="shared" si="744"/>
        <v>0</v>
      </c>
      <c r="Q1833" s="15">
        <f t="shared" si="746"/>
        <v>1950</v>
      </c>
      <c r="R1833" s="15">
        <f t="shared" si="739"/>
        <v>374</v>
      </c>
      <c r="S1833" s="15">
        <f t="shared" si="739"/>
        <v>2324</v>
      </c>
    </row>
    <row r="1834" spans="2:19" x14ac:dyDescent="0.25">
      <c r="B1834" s="73">
        <f t="shared" si="740"/>
        <v>14</v>
      </c>
      <c r="C1834" s="9"/>
      <c r="D1834" s="9"/>
      <c r="E1834" s="9"/>
      <c r="F1834" s="43" t="s">
        <v>372</v>
      </c>
      <c r="G1834" s="98">
        <v>632</v>
      </c>
      <c r="H1834" s="9" t="s">
        <v>229</v>
      </c>
      <c r="I1834" s="10">
        <v>150</v>
      </c>
      <c r="J1834" s="10"/>
      <c r="K1834" s="10">
        <f t="shared" si="742"/>
        <v>150</v>
      </c>
      <c r="L1834" s="131"/>
      <c r="M1834" s="10"/>
      <c r="N1834" s="10"/>
      <c r="O1834" s="10">
        <f t="shared" si="744"/>
        <v>0</v>
      </c>
      <c r="Q1834" s="10">
        <f t="shared" si="746"/>
        <v>150</v>
      </c>
      <c r="R1834" s="10">
        <f t="shared" si="739"/>
        <v>0</v>
      </c>
      <c r="S1834" s="10">
        <f t="shared" si="739"/>
        <v>150</v>
      </c>
    </row>
    <row r="1835" spans="2:19" x14ac:dyDescent="0.25">
      <c r="B1835" s="73">
        <f t="shared" si="740"/>
        <v>15</v>
      </c>
      <c r="C1835" s="9"/>
      <c r="D1835" s="9"/>
      <c r="E1835" s="9"/>
      <c r="F1835" s="43" t="s">
        <v>372</v>
      </c>
      <c r="G1835" s="98">
        <v>633</v>
      </c>
      <c r="H1835" s="9" t="s">
        <v>220</v>
      </c>
      <c r="I1835" s="10">
        <v>500</v>
      </c>
      <c r="J1835" s="10"/>
      <c r="K1835" s="10">
        <f t="shared" si="742"/>
        <v>500</v>
      </c>
      <c r="L1835" s="131"/>
      <c r="M1835" s="10"/>
      <c r="N1835" s="10"/>
      <c r="O1835" s="10">
        <f t="shared" si="744"/>
        <v>0</v>
      </c>
      <c r="Q1835" s="10">
        <f t="shared" si="746"/>
        <v>500</v>
      </c>
      <c r="R1835" s="10">
        <f t="shared" si="739"/>
        <v>0</v>
      </c>
      <c r="S1835" s="10">
        <f t="shared" si="739"/>
        <v>500</v>
      </c>
    </row>
    <row r="1836" spans="2:19" x14ac:dyDescent="0.25">
      <c r="B1836" s="73">
        <f t="shared" si="740"/>
        <v>16</v>
      </c>
      <c r="C1836" s="9"/>
      <c r="D1836" s="9"/>
      <c r="E1836" s="9"/>
      <c r="F1836" s="43" t="s">
        <v>372</v>
      </c>
      <c r="G1836" s="98">
        <v>635</v>
      </c>
      <c r="H1836" s="9" t="s">
        <v>234</v>
      </c>
      <c r="I1836" s="10">
        <v>200</v>
      </c>
      <c r="J1836" s="10"/>
      <c r="K1836" s="10">
        <f t="shared" si="742"/>
        <v>200</v>
      </c>
      <c r="L1836" s="131"/>
      <c r="M1836" s="10"/>
      <c r="N1836" s="10"/>
      <c r="O1836" s="10">
        <f t="shared" si="744"/>
        <v>0</v>
      </c>
      <c r="Q1836" s="10">
        <f t="shared" si="746"/>
        <v>200</v>
      </c>
      <c r="R1836" s="10">
        <f t="shared" si="739"/>
        <v>0</v>
      </c>
      <c r="S1836" s="10">
        <f t="shared" si="739"/>
        <v>200</v>
      </c>
    </row>
    <row r="1837" spans="2:19" x14ac:dyDescent="0.25">
      <c r="B1837" s="73">
        <f t="shared" si="740"/>
        <v>17</v>
      </c>
      <c r="C1837" s="9"/>
      <c r="D1837" s="9"/>
      <c r="E1837" s="9"/>
      <c r="F1837" s="43" t="s">
        <v>372</v>
      </c>
      <c r="G1837" s="98">
        <v>637</v>
      </c>
      <c r="H1837" s="9" t="s">
        <v>223</v>
      </c>
      <c r="I1837" s="10">
        <v>1100</v>
      </c>
      <c r="J1837" s="10"/>
      <c r="K1837" s="10">
        <f t="shared" si="742"/>
        <v>1100</v>
      </c>
      <c r="L1837" s="131"/>
      <c r="M1837" s="10"/>
      <c r="N1837" s="10"/>
      <c r="O1837" s="10">
        <f t="shared" si="744"/>
        <v>0</v>
      </c>
      <c r="Q1837" s="10">
        <f t="shared" si="746"/>
        <v>1100</v>
      </c>
      <c r="R1837" s="10">
        <f t="shared" ref="R1837:R1841" si="751">N1837+J1837</f>
        <v>0</v>
      </c>
      <c r="S1837" s="10">
        <f t="shared" ref="S1837:S1841" si="752">O1837+K1837</f>
        <v>1100</v>
      </c>
    </row>
    <row r="1838" spans="2:19" x14ac:dyDescent="0.25">
      <c r="B1838" s="73">
        <f t="shared" si="740"/>
        <v>18</v>
      </c>
      <c r="C1838" s="9"/>
      <c r="D1838" s="9"/>
      <c r="E1838" s="9"/>
      <c r="F1838" s="43" t="s">
        <v>372</v>
      </c>
      <c r="G1838" s="98">
        <v>630</v>
      </c>
      <c r="H1838" s="49" t="s">
        <v>662</v>
      </c>
      <c r="I1838" s="10">
        <v>0</v>
      </c>
      <c r="J1838" s="10">
        <v>374</v>
      </c>
      <c r="K1838" s="10">
        <f t="shared" si="742"/>
        <v>374</v>
      </c>
      <c r="L1838" s="131"/>
      <c r="M1838" s="10"/>
      <c r="N1838" s="10"/>
      <c r="O1838" s="10">
        <f t="shared" si="744"/>
        <v>0</v>
      </c>
      <c r="Q1838" s="10">
        <f t="shared" si="746"/>
        <v>0</v>
      </c>
      <c r="R1838" s="10">
        <f t="shared" ref="R1838" si="753">N1838+J1838</f>
        <v>374</v>
      </c>
      <c r="S1838" s="10">
        <f t="shared" ref="S1838" si="754">O1838+K1838</f>
        <v>374</v>
      </c>
    </row>
    <row r="1839" spans="2:19" x14ac:dyDescent="0.25">
      <c r="B1839" s="73">
        <f t="shared" si="740"/>
        <v>19</v>
      </c>
      <c r="C1839" s="9"/>
      <c r="D1839" s="9"/>
      <c r="E1839" s="9"/>
      <c r="F1839" s="42" t="s">
        <v>372</v>
      </c>
      <c r="G1839" s="97">
        <v>710</v>
      </c>
      <c r="H1839" s="88" t="s">
        <v>235</v>
      </c>
      <c r="I1839" s="15"/>
      <c r="J1839" s="15"/>
      <c r="K1839" s="15">
        <f t="shared" si="742"/>
        <v>0</v>
      </c>
      <c r="L1839" s="130"/>
      <c r="M1839" s="15">
        <f>M1840</f>
        <v>2355000</v>
      </c>
      <c r="N1839" s="15">
        <f t="shared" ref="N1839:N1840" si="755">N1840</f>
        <v>0</v>
      </c>
      <c r="O1839" s="15">
        <f t="shared" si="744"/>
        <v>2355000</v>
      </c>
      <c r="Q1839" s="15">
        <f t="shared" si="746"/>
        <v>2355000</v>
      </c>
      <c r="R1839" s="15">
        <f t="shared" si="751"/>
        <v>0</v>
      </c>
      <c r="S1839" s="15">
        <f t="shared" si="752"/>
        <v>2355000</v>
      </c>
    </row>
    <row r="1840" spans="2:19" x14ac:dyDescent="0.25">
      <c r="B1840" s="73">
        <f t="shared" si="740"/>
        <v>20</v>
      </c>
      <c r="C1840" s="9"/>
      <c r="D1840" s="9"/>
      <c r="E1840" s="9"/>
      <c r="F1840" s="43" t="s">
        <v>372</v>
      </c>
      <c r="G1840" s="98">
        <v>712</v>
      </c>
      <c r="H1840" s="49" t="s">
        <v>257</v>
      </c>
      <c r="I1840" s="10"/>
      <c r="J1840" s="10"/>
      <c r="K1840" s="10">
        <f t="shared" si="742"/>
        <v>0</v>
      </c>
      <c r="L1840" s="131"/>
      <c r="M1840" s="10">
        <f>M1841</f>
        <v>2355000</v>
      </c>
      <c r="N1840" s="10">
        <f t="shared" si="755"/>
        <v>0</v>
      </c>
      <c r="O1840" s="10">
        <f t="shared" si="744"/>
        <v>2355000</v>
      </c>
      <c r="Q1840" s="10">
        <f t="shared" si="746"/>
        <v>2355000</v>
      </c>
      <c r="R1840" s="10">
        <f t="shared" si="751"/>
        <v>0</v>
      </c>
      <c r="S1840" s="10">
        <f t="shared" si="752"/>
        <v>2355000</v>
      </c>
    </row>
    <row r="1841" spans="2:19" x14ac:dyDescent="0.25">
      <c r="B1841" s="73">
        <f t="shared" si="740"/>
        <v>21</v>
      </c>
      <c r="C1841" s="9"/>
      <c r="D1841" s="9"/>
      <c r="E1841" s="9"/>
      <c r="F1841" s="43"/>
      <c r="G1841" s="98"/>
      <c r="H1841" s="87" t="s">
        <v>373</v>
      </c>
      <c r="I1841" s="84"/>
      <c r="J1841" s="84"/>
      <c r="K1841" s="84">
        <f t="shared" si="742"/>
        <v>0</v>
      </c>
      <c r="L1841" s="143"/>
      <c r="M1841" s="84">
        <v>2355000</v>
      </c>
      <c r="N1841" s="84"/>
      <c r="O1841" s="84">
        <f t="shared" si="744"/>
        <v>2355000</v>
      </c>
      <c r="Q1841" s="84">
        <f t="shared" si="746"/>
        <v>2355000</v>
      </c>
      <c r="R1841" s="84">
        <f t="shared" si="751"/>
        <v>0</v>
      </c>
      <c r="S1841" s="84">
        <f t="shared" si="752"/>
        <v>2355000</v>
      </c>
    </row>
    <row r="1845" spans="2:19" ht="20.25" hidden="1" customHeight="1" x14ac:dyDescent="0.25"/>
    <row r="1867" hidden="1" x14ac:dyDescent="0.25"/>
    <row r="1892" ht="17.25" hidden="1" customHeight="1" x14ac:dyDescent="0.25"/>
    <row r="1916" hidden="1" x14ac:dyDescent="0.25"/>
    <row r="1917" hidden="1" x14ac:dyDescent="0.25"/>
    <row r="1918" ht="28.5" hidden="1" customHeight="1" x14ac:dyDescent="0.25"/>
    <row r="1939" hidden="1" x14ac:dyDescent="0.25"/>
    <row r="2000" ht="15.75" customHeight="1" x14ac:dyDescent="0.25"/>
    <row r="2001" ht="12.75" customHeight="1" x14ac:dyDescent="0.25"/>
    <row r="2007" hidden="1" x14ac:dyDescent="0.25"/>
    <row r="2008" hidden="1" x14ac:dyDescent="0.25"/>
    <row r="2009" hidden="1" x14ac:dyDescent="0.25"/>
    <row r="2015" hidden="1" x14ac:dyDescent="0.25"/>
    <row r="2016" hidden="1" x14ac:dyDescent="0.25"/>
    <row r="2017" hidden="1" x14ac:dyDescent="0.25"/>
    <row r="2023" s="80" customFormat="1" x14ac:dyDescent="0.25"/>
    <row r="2024" s="80" customFormat="1" x14ac:dyDescent="0.25"/>
    <row r="2025" s="80" customFormat="1" ht="30" customHeight="1" x14ac:dyDescent="0.25"/>
    <row r="2026" s="80" customFormat="1" ht="26.25" customHeight="1" x14ac:dyDescent="0.25"/>
    <row r="2030" s="80" customFormat="1" x14ac:dyDescent="0.25"/>
    <row r="2031" s="80" customFormat="1" x14ac:dyDescent="0.25"/>
    <row r="2032" s="80" customFormat="1" x14ac:dyDescent="0.25"/>
    <row r="2033" s="80" customFormat="1" x14ac:dyDescent="0.25"/>
    <row r="2036" hidden="1" x14ac:dyDescent="0.25"/>
    <row r="2037" hidden="1" x14ac:dyDescent="0.25"/>
    <row r="2044" hidden="1" x14ac:dyDescent="0.25"/>
    <row r="2062" hidden="1" x14ac:dyDescent="0.25"/>
    <row r="2063" hidden="1" x14ac:dyDescent="0.25"/>
    <row r="2087" hidden="1" x14ac:dyDescent="0.25"/>
    <row r="2088" hidden="1" x14ac:dyDescent="0.25"/>
    <row r="2118" hidden="1" x14ac:dyDescent="0.25"/>
    <row r="2119" hidden="1" x14ac:dyDescent="0.25"/>
    <row r="2121" hidden="1" x14ac:dyDescent="0.25"/>
    <row r="2131" hidden="1" x14ac:dyDescent="0.25"/>
    <row r="2132" hidden="1" x14ac:dyDescent="0.25"/>
    <row r="2133" hidden="1" x14ac:dyDescent="0.25"/>
    <row r="2148" hidden="1" x14ac:dyDescent="0.25"/>
    <row r="2165" spans="2:13" x14ac:dyDescent="0.25">
      <c r="B2165" s="111"/>
      <c r="C2165" s="70"/>
      <c r="D2165" s="70"/>
      <c r="E2165" s="70"/>
      <c r="F2165" s="112"/>
      <c r="G2165" s="113"/>
      <c r="H2165" s="70"/>
      <c r="I2165" s="114"/>
      <c r="J2165" s="114"/>
      <c r="K2165" s="114"/>
      <c r="L2165" s="114"/>
      <c r="M2165" s="114"/>
    </row>
    <row r="2166" spans="2:13" x14ac:dyDescent="0.25">
      <c r="B2166" s="111"/>
      <c r="C2166" s="70"/>
      <c r="D2166" s="70"/>
      <c r="E2166" s="70"/>
      <c r="F2166" s="112"/>
      <c r="G2166" s="113"/>
      <c r="H2166" s="70"/>
      <c r="I2166" s="114"/>
      <c r="J2166" s="114"/>
      <c r="K2166" s="114"/>
      <c r="L2166" s="114"/>
      <c r="M2166" s="114"/>
    </row>
    <row r="2167" spans="2:13" x14ac:dyDescent="0.25">
      <c r="B2167" s="111"/>
      <c r="C2167" s="70"/>
      <c r="D2167" s="70"/>
      <c r="E2167" s="70"/>
      <c r="F2167" s="112"/>
      <c r="G2167" s="113"/>
      <c r="H2167" s="70"/>
      <c r="I2167" s="114"/>
      <c r="J2167" s="114"/>
      <c r="K2167" s="114"/>
      <c r="L2167" s="114"/>
      <c r="M2167" s="114"/>
    </row>
    <row r="2168" spans="2:13" x14ac:dyDescent="0.25">
      <c r="B2168" s="111"/>
      <c r="C2168" s="70"/>
      <c r="D2168" s="70"/>
      <c r="E2168" s="70"/>
      <c r="F2168" s="112"/>
      <c r="G2168" s="113"/>
      <c r="H2168" s="70"/>
      <c r="I2168" s="114"/>
      <c r="J2168" s="114"/>
      <c r="K2168" s="114"/>
      <c r="L2168" s="114"/>
      <c r="M2168" s="114"/>
    </row>
    <row r="2169" spans="2:13" x14ac:dyDescent="0.25">
      <c r="B2169" s="111"/>
      <c r="C2169" s="70"/>
      <c r="D2169" s="70"/>
      <c r="E2169" s="70"/>
      <c r="F2169" s="112"/>
      <c r="G2169" s="113"/>
      <c r="H2169" s="70"/>
      <c r="I2169" s="114"/>
      <c r="J2169" s="114"/>
      <c r="K2169" s="114"/>
      <c r="L2169" s="114"/>
      <c r="M2169" s="114"/>
    </row>
    <row r="2170" spans="2:13" x14ac:dyDescent="0.25">
      <c r="B2170" s="111"/>
      <c r="C2170" s="70"/>
      <c r="D2170" s="70"/>
      <c r="E2170" s="70"/>
      <c r="F2170" s="112"/>
      <c r="G2170" s="113"/>
      <c r="H2170" s="70"/>
      <c r="I2170" s="114"/>
      <c r="J2170" s="114"/>
      <c r="K2170" s="114"/>
      <c r="L2170" s="114"/>
      <c r="M2170" s="114"/>
    </row>
    <row r="2171" spans="2:13" x14ac:dyDescent="0.25">
      <c r="B2171" s="111"/>
      <c r="C2171" s="70"/>
      <c r="D2171" s="70"/>
      <c r="E2171" s="70"/>
      <c r="F2171" s="112"/>
      <c r="G2171" s="113"/>
      <c r="H2171" s="70"/>
      <c r="I2171" s="114"/>
      <c r="J2171" s="114"/>
      <c r="K2171" s="114"/>
      <c r="L2171" s="114"/>
      <c r="M2171" s="114"/>
    </row>
    <row r="2172" spans="2:13" x14ac:dyDescent="0.25">
      <c r="B2172" s="111"/>
      <c r="C2172" s="70"/>
      <c r="D2172" s="70"/>
      <c r="E2172" s="70"/>
      <c r="F2172" s="112"/>
      <c r="G2172" s="113"/>
      <c r="H2172" s="70"/>
      <c r="I2172" s="114"/>
      <c r="J2172" s="114"/>
      <c r="K2172" s="114"/>
      <c r="L2172" s="114"/>
      <c r="M2172" s="114"/>
    </row>
    <row r="2173" spans="2:13" x14ac:dyDescent="0.25">
      <c r="B2173" s="111"/>
      <c r="C2173" s="70"/>
      <c r="D2173" s="70"/>
      <c r="E2173" s="70"/>
      <c r="F2173" s="112"/>
      <c r="G2173" s="113"/>
      <c r="H2173" s="70"/>
      <c r="I2173" s="114"/>
      <c r="J2173" s="114"/>
      <c r="K2173" s="114"/>
      <c r="L2173" s="114"/>
      <c r="M2173" s="114"/>
    </row>
    <row r="2174" spans="2:13" x14ac:dyDescent="0.25">
      <c r="B2174" s="111"/>
      <c r="C2174" s="70"/>
      <c r="D2174" s="70"/>
      <c r="E2174" s="70"/>
      <c r="F2174" s="112"/>
      <c r="G2174" s="113"/>
      <c r="H2174" s="70"/>
      <c r="I2174" s="114"/>
      <c r="J2174" s="114"/>
      <c r="K2174" s="114"/>
      <c r="L2174" s="114"/>
      <c r="M2174" s="114"/>
    </row>
    <row r="2175" spans="2:13" x14ac:dyDescent="0.25">
      <c r="B2175" s="111"/>
      <c r="C2175" s="70"/>
      <c r="D2175" s="70"/>
      <c r="E2175" s="70"/>
      <c r="F2175" s="112"/>
      <c r="G2175" s="113"/>
      <c r="H2175" s="70"/>
      <c r="I2175" s="114"/>
      <c r="J2175" s="114"/>
      <c r="K2175" s="114"/>
      <c r="L2175" s="114"/>
      <c r="M2175" s="114"/>
    </row>
    <row r="2176" spans="2:13" x14ac:dyDescent="0.25">
      <c r="B2176" s="111"/>
      <c r="C2176" s="70"/>
      <c r="D2176" s="70"/>
      <c r="E2176" s="70"/>
      <c r="F2176" s="112"/>
      <c r="G2176" s="113"/>
      <c r="H2176" s="70"/>
      <c r="I2176" s="114"/>
      <c r="J2176" s="114"/>
      <c r="K2176" s="114"/>
      <c r="L2176" s="114"/>
      <c r="M2176" s="114"/>
    </row>
    <row r="2177" spans="2:13" x14ac:dyDescent="0.25">
      <c r="B2177" s="111"/>
      <c r="C2177" s="70"/>
      <c r="D2177" s="70"/>
      <c r="E2177" s="70"/>
      <c r="F2177" s="112"/>
      <c r="G2177" s="113"/>
      <c r="H2177" s="70"/>
      <c r="I2177" s="114"/>
      <c r="J2177" s="114"/>
      <c r="K2177" s="114"/>
      <c r="L2177" s="114"/>
      <c r="M2177" s="114"/>
    </row>
    <row r="2178" spans="2:13" x14ac:dyDescent="0.25">
      <c r="B2178" s="111"/>
      <c r="C2178" s="70"/>
      <c r="D2178" s="70"/>
      <c r="E2178" s="70"/>
      <c r="F2178" s="112"/>
      <c r="G2178" s="113"/>
      <c r="H2178" s="70"/>
      <c r="I2178" s="114"/>
      <c r="J2178" s="114"/>
      <c r="K2178" s="114"/>
      <c r="L2178" s="114"/>
      <c r="M2178" s="114"/>
    </row>
    <row r="2179" spans="2:13" x14ac:dyDescent="0.25">
      <c r="B2179" s="111"/>
      <c r="C2179" s="70"/>
      <c r="D2179" s="70"/>
      <c r="E2179" s="70"/>
      <c r="F2179" s="112"/>
      <c r="G2179" s="113"/>
      <c r="H2179" s="70"/>
      <c r="I2179" s="114"/>
      <c r="J2179" s="114"/>
      <c r="K2179" s="114"/>
      <c r="L2179" s="114"/>
      <c r="M2179" s="114"/>
    </row>
    <row r="2180" spans="2:13" x14ac:dyDescent="0.25">
      <c r="B2180" s="111"/>
      <c r="C2180" s="70"/>
      <c r="D2180" s="70"/>
      <c r="E2180" s="70"/>
      <c r="F2180" s="112"/>
      <c r="G2180" s="113"/>
      <c r="H2180" s="70"/>
      <c r="I2180" s="114"/>
      <c r="J2180" s="114"/>
      <c r="K2180" s="114"/>
      <c r="L2180" s="114"/>
      <c r="M2180" s="114"/>
    </row>
    <row r="2181" spans="2:13" x14ac:dyDescent="0.25">
      <c r="B2181" s="111"/>
      <c r="C2181" s="70"/>
      <c r="D2181" s="70"/>
      <c r="E2181" s="70"/>
      <c r="F2181" s="112"/>
      <c r="G2181" s="113"/>
      <c r="H2181" s="70"/>
      <c r="I2181" s="114"/>
      <c r="J2181" s="114"/>
      <c r="K2181" s="114"/>
      <c r="L2181" s="114"/>
      <c r="M2181" s="114"/>
    </row>
    <row r="2182" spans="2:13" x14ac:dyDescent="0.25">
      <c r="B2182" s="111"/>
      <c r="C2182" s="70"/>
      <c r="D2182" s="70"/>
      <c r="E2182" s="70"/>
      <c r="F2182" s="112"/>
      <c r="G2182" s="113"/>
      <c r="H2182" s="70"/>
      <c r="I2182" s="114"/>
      <c r="J2182" s="114"/>
      <c r="K2182" s="114"/>
      <c r="L2182" s="114"/>
      <c r="M2182" s="114"/>
    </row>
    <row r="2183" spans="2:13" x14ac:dyDescent="0.25">
      <c r="B2183" s="111"/>
      <c r="C2183" s="70"/>
      <c r="D2183" s="70"/>
      <c r="E2183" s="70"/>
      <c r="F2183" s="112"/>
      <c r="G2183" s="113"/>
      <c r="H2183" s="70"/>
      <c r="I2183" s="114"/>
      <c r="J2183" s="114"/>
      <c r="K2183" s="114"/>
      <c r="L2183" s="114"/>
      <c r="M2183" s="114"/>
    </row>
    <row r="2184" spans="2:13" x14ac:dyDescent="0.25">
      <c r="B2184" s="111"/>
      <c r="C2184" s="70"/>
      <c r="D2184" s="70"/>
      <c r="E2184" s="70"/>
      <c r="F2184" s="112"/>
      <c r="G2184" s="113"/>
      <c r="H2184" s="70"/>
      <c r="I2184" s="114"/>
      <c r="J2184" s="114"/>
      <c r="K2184" s="114"/>
      <c r="L2184" s="114"/>
      <c r="M2184" s="114"/>
    </row>
    <row r="2187" spans="2:13" ht="15.75" customHeight="1" x14ac:dyDescent="0.25"/>
    <row r="2188" spans="2:13" ht="12.75" customHeight="1" x14ac:dyDescent="0.25"/>
    <row r="2194" hidden="1" x14ac:dyDescent="0.25"/>
    <row r="2195" hidden="1" x14ac:dyDescent="0.25"/>
    <row r="2196" hidden="1" x14ac:dyDescent="0.25"/>
    <row r="2222" hidden="1" x14ac:dyDescent="0.25"/>
    <row r="2223" hidden="1" x14ac:dyDescent="0.25"/>
    <row r="2224" ht="12.75" hidden="1" customHeight="1" x14ac:dyDescent="0.25"/>
    <row r="2232" ht="18" customHeight="1" x14ac:dyDescent="0.25"/>
    <row r="2233" hidden="1" x14ac:dyDescent="0.25"/>
    <row r="2234" hidden="1" x14ac:dyDescent="0.25"/>
    <row r="2235" ht="23.25" hidden="1" customHeight="1" x14ac:dyDescent="0.25"/>
    <row r="2252" ht="20.25" hidden="1" customHeight="1" x14ac:dyDescent="0.25"/>
    <row r="2261" hidden="1" x14ac:dyDescent="0.25"/>
    <row r="2262" hidden="1" x14ac:dyDescent="0.25"/>
    <row r="2263" hidden="1" x14ac:dyDescent="0.25"/>
    <row r="2312" ht="15.75" customHeight="1" x14ac:dyDescent="0.25"/>
    <row r="2313" ht="12.75" customHeight="1" x14ac:dyDescent="0.25"/>
    <row r="2319" hidden="1" x14ac:dyDescent="0.25"/>
    <row r="2320" hidden="1" x14ac:dyDescent="0.25"/>
    <row r="2321" hidden="1" x14ac:dyDescent="0.25"/>
    <row r="2373" hidden="1" x14ac:dyDescent="0.25"/>
    <row r="2374" ht="15" hidden="1" customHeight="1" x14ac:dyDescent="0.25"/>
    <row r="2381" hidden="1" x14ac:dyDescent="0.25"/>
    <row r="2382" hidden="1" x14ac:dyDescent="0.25"/>
    <row r="2391" ht="15" hidden="1" customHeight="1" x14ac:dyDescent="0.25"/>
    <row r="2392" ht="0.75" hidden="1" customHeight="1" x14ac:dyDescent="0.25"/>
    <row r="2393" ht="15" hidden="1" customHeight="1" x14ac:dyDescent="0.25"/>
    <row r="2409" hidden="1" x14ac:dyDescent="0.25"/>
    <row r="2410" hidden="1" x14ac:dyDescent="0.25"/>
    <row r="2411" hidden="1" x14ac:dyDescent="0.25"/>
    <row r="2416" hidden="1" x14ac:dyDescent="0.25"/>
    <row r="2417" hidden="1" x14ac:dyDescent="0.25"/>
    <row r="2418" hidden="1" x14ac:dyDescent="0.25"/>
    <row r="2420" hidden="1" x14ac:dyDescent="0.25"/>
    <row r="2431" hidden="1" x14ac:dyDescent="0.25"/>
    <row r="2432" hidden="1" x14ac:dyDescent="0.25"/>
    <row r="2433" hidden="1" x14ac:dyDescent="0.25"/>
    <row r="2437" hidden="1" x14ac:dyDescent="0.25"/>
    <row r="2501" ht="15.75" customHeight="1" x14ac:dyDescent="0.25"/>
    <row r="2502" ht="12.75" customHeight="1" x14ac:dyDescent="0.25"/>
    <row r="2508" hidden="1" x14ac:dyDescent="0.25"/>
    <row r="2510" hidden="1" x14ac:dyDescent="0.25"/>
    <row r="2523" hidden="1" x14ac:dyDescent="0.25"/>
    <row r="2524" hidden="1" x14ac:dyDescent="0.25"/>
    <row r="2525" hidden="1" x14ac:dyDescent="0.25"/>
    <row r="2529" hidden="1" x14ac:dyDescent="0.25"/>
    <row r="2530" hidden="1" x14ac:dyDescent="0.25"/>
    <row r="2531" hidden="1" x14ac:dyDescent="0.25"/>
    <row r="2545" s="80" customFormat="1" x14ac:dyDescent="0.25"/>
    <row r="2552" hidden="1" x14ac:dyDescent="0.25"/>
    <row r="2553" hidden="1" x14ac:dyDescent="0.25"/>
    <row r="2554" hidden="1" x14ac:dyDescent="0.25"/>
    <row r="2556" hidden="1" x14ac:dyDescent="0.25"/>
    <row r="2566" hidden="1" x14ac:dyDescent="0.25"/>
    <row r="2567" hidden="1" x14ac:dyDescent="0.25"/>
    <row r="2579" hidden="1" x14ac:dyDescent="0.25"/>
    <row r="2580" hidden="1" x14ac:dyDescent="0.25"/>
    <row r="2584" hidden="1" x14ac:dyDescent="0.25"/>
    <row r="2599" hidden="1" x14ac:dyDescent="0.25"/>
    <row r="2600" hidden="1" x14ac:dyDescent="0.25"/>
    <row r="2606" hidden="1" x14ac:dyDescent="0.25"/>
    <row r="2621" hidden="1" x14ac:dyDescent="0.25"/>
    <row r="2648" hidden="1" x14ac:dyDescent="0.25"/>
    <row r="2649" hidden="1" x14ac:dyDescent="0.25"/>
    <row r="2650" hidden="1" x14ac:dyDescent="0.25"/>
    <row r="2654" hidden="1" x14ac:dyDescent="0.25"/>
    <row r="2655" hidden="1" x14ac:dyDescent="0.25"/>
    <row r="2656" hidden="1" x14ac:dyDescent="0.25"/>
    <row r="2663" hidden="1" x14ac:dyDescent="0.25"/>
    <row r="2673" hidden="1" x14ac:dyDescent="0.25"/>
    <row r="2699" ht="15.75" customHeight="1" x14ac:dyDescent="0.25"/>
    <row r="2700" ht="12.75" customHeight="1" x14ac:dyDescent="0.25"/>
    <row r="2705" ht="19.5" customHeight="1" x14ac:dyDescent="0.25"/>
    <row r="2707" hidden="1" x14ac:dyDescent="0.25"/>
    <row r="2708" hidden="1" x14ac:dyDescent="0.25"/>
    <row r="2716" hidden="1" x14ac:dyDescent="0.25"/>
    <row r="2717" hidden="1" x14ac:dyDescent="0.25"/>
  </sheetData>
  <mergeCells count="313">
    <mergeCell ref="D68:H68"/>
    <mergeCell ref="E26:H26"/>
    <mergeCell ref="D31:H31"/>
    <mergeCell ref="D45:H45"/>
    <mergeCell ref="D56:H56"/>
    <mergeCell ref="D64:H64"/>
    <mergeCell ref="B2:M2"/>
    <mergeCell ref="D53:H53"/>
    <mergeCell ref="D54:H54"/>
    <mergeCell ref="D55:H55"/>
    <mergeCell ref="E23:H23"/>
    <mergeCell ref="Q3:Q7"/>
    <mergeCell ref="E17:H17"/>
    <mergeCell ref="E20:H20"/>
    <mergeCell ref="M4:M7"/>
    <mergeCell ref="F4:F7"/>
    <mergeCell ref="G4:G7"/>
    <mergeCell ref="H4:H7"/>
    <mergeCell ref="I4:I7"/>
    <mergeCell ref="B3:M3"/>
    <mergeCell ref="B4:B7"/>
    <mergeCell ref="C4:C7"/>
    <mergeCell ref="D4:D7"/>
    <mergeCell ref="E4:E7"/>
    <mergeCell ref="C8:H8"/>
    <mergeCell ref="D9:H9"/>
    <mergeCell ref="E10:H10"/>
    <mergeCell ref="N4:N7"/>
    <mergeCell ref="O4:O7"/>
    <mergeCell ref="C77:H77"/>
    <mergeCell ref="D78:H78"/>
    <mergeCell ref="D83:H83"/>
    <mergeCell ref="B94:M94"/>
    <mergeCell ref="B95:M95"/>
    <mergeCell ref="B72:M72"/>
    <mergeCell ref="Q72:Q76"/>
    <mergeCell ref="B73:B76"/>
    <mergeCell ref="C73:C76"/>
    <mergeCell ref="D73:D76"/>
    <mergeCell ref="E73:E76"/>
    <mergeCell ref="F73:F76"/>
    <mergeCell ref="G73:G76"/>
    <mergeCell ref="H73:H76"/>
    <mergeCell ref="I73:I76"/>
    <mergeCell ref="M73:M76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E118:H118"/>
    <mergeCell ref="D127:H127"/>
    <mergeCell ref="D131:H131"/>
    <mergeCell ref="D157:H157"/>
    <mergeCell ref="D174:H174"/>
    <mergeCell ref="C100:H100"/>
    <mergeCell ref="D101:H101"/>
    <mergeCell ref="D104:H104"/>
    <mergeCell ref="E105:H105"/>
    <mergeCell ref="E108:H108"/>
    <mergeCell ref="D179:H179"/>
    <mergeCell ref="D192:H192"/>
    <mergeCell ref="B234:M234"/>
    <mergeCell ref="B235:M235"/>
    <mergeCell ref="Q235:Q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M236:M239"/>
    <mergeCell ref="J236:J239"/>
    <mergeCell ref="K236:K239"/>
    <mergeCell ref="N236:N239"/>
    <mergeCell ref="O236:O239"/>
    <mergeCell ref="D279:H279"/>
    <mergeCell ref="D290:H290"/>
    <mergeCell ref="D301:H301"/>
    <mergeCell ref="B330:M330"/>
    <mergeCell ref="B331:M331"/>
    <mergeCell ref="C240:H240"/>
    <mergeCell ref="D241:H241"/>
    <mergeCell ref="D246:H246"/>
    <mergeCell ref="D258:H258"/>
    <mergeCell ref="D269:H269"/>
    <mergeCell ref="C336:H336"/>
    <mergeCell ref="D337:H337"/>
    <mergeCell ref="D357:H357"/>
    <mergeCell ref="D379:H379"/>
    <mergeCell ref="D384:H384"/>
    <mergeCell ref="Q331:Q335"/>
    <mergeCell ref="B332:B335"/>
    <mergeCell ref="C332:C335"/>
    <mergeCell ref="D332:D335"/>
    <mergeCell ref="E332:E335"/>
    <mergeCell ref="F332:F335"/>
    <mergeCell ref="G332:G335"/>
    <mergeCell ref="H332:H335"/>
    <mergeCell ref="I332:I335"/>
    <mergeCell ref="M332:M335"/>
    <mergeCell ref="J332:J335"/>
    <mergeCell ref="K332:K335"/>
    <mergeCell ref="N332:N335"/>
    <mergeCell ref="O332:O335"/>
    <mergeCell ref="C431:H431"/>
    <mergeCell ref="D432:H432"/>
    <mergeCell ref="D435:H435"/>
    <mergeCell ref="D464:H464"/>
    <mergeCell ref="B570:M570"/>
    <mergeCell ref="D387:H387"/>
    <mergeCell ref="B425:M425"/>
    <mergeCell ref="B426:M426"/>
    <mergeCell ref="Q426:Q430"/>
    <mergeCell ref="B427:B430"/>
    <mergeCell ref="C427:C430"/>
    <mergeCell ref="D427:D430"/>
    <mergeCell ref="E427:E430"/>
    <mergeCell ref="F427:F430"/>
    <mergeCell ref="G427:G430"/>
    <mergeCell ref="H427:H430"/>
    <mergeCell ref="I427:I430"/>
    <mergeCell ref="M427:M430"/>
    <mergeCell ref="J427:J430"/>
    <mergeCell ref="K427:K430"/>
    <mergeCell ref="N427:N430"/>
    <mergeCell ref="O427:O430"/>
    <mergeCell ref="C576:H576"/>
    <mergeCell ref="D577:H577"/>
    <mergeCell ref="D754:H754"/>
    <mergeCell ref="D971:H971"/>
    <mergeCell ref="D1074:H1074"/>
    <mergeCell ref="B571:M571"/>
    <mergeCell ref="Q571:Q575"/>
    <mergeCell ref="B572:B575"/>
    <mergeCell ref="C572:C575"/>
    <mergeCell ref="D572:D575"/>
    <mergeCell ref="E572:E575"/>
    <mergeCell ref="F572:F575"/>
    <mergeCell ref="G572:G575"/>
    <mergeCell ref="H572:H575"/>
    <mergeCell ref="I572:I575"/>
    <mergeCell ref="M572:M575"/>
    <mergeCell ref="J572:J575"/>
    <mergeCell ref="K572:K575"/>
    <mergeCell ref="N572:N575"/>
    <mergeCell ref="O572:O575"/>
    <mergeCell ref="D1310:H1310"/>
    <mergeCell ref="B1342:M1342"/>
    <mergeCell ref="B1343:M1343"/>
    <mergeCell ref="Q1343:Q1347"/>
    <mergeCell ref="B1344:B1347"/>
    <mergeCell ref="C1344:C1347"/>
    <mergeCell ref="D1344:D1347"/>
    <mergeCell ref="E1344:E1347"/>
    <mergeCell ref="F1344:F1347"/>
    <mergeCell ref="G1344:G1347"/>
    <mergeCell ref="H1344:H1347"/>
    <mergeCell ref="I1344:I1347"/>
    <mergeCell ref="M1344:M1347"/>
    <mergeCell ref="J1344:J1347"/>
    <mergeCell ref="K1344:K1347"/>
    <mergeCell ref="N1344:N1347"/>
    <mergeCell ref="O1344:O1347"/>
    <mergeCell ref="E1378:H1378"/>
    <mergeCell ref="E1391:H1391"/>
    <mergeCell ref="E1409:H1409"/>
    <mergeCell ref="E1433:H1433"/>
    <mergeCell ref="D1442:H1442"/>
    <mergeCell ref="C1348:H1348"/>
    <mergeCell ref="D1349:H1349"/>
    <mergeCell ref="D1354:H1354"/>
    <mergeCell ref="D1373:H1373"/>
    <mergeCell ref="E1374:H1374"/>
    <mergeCell ref="C1486:H1486"/>
    <mergeCell ref="D1487:H1487"/>
    <mergeCell ref="D1500:H1500"/>
    <mergeCell ref="D1506:H1506"/>
    <mergeCell ref="D1524:H1524"/>
    <mergeCell ref="B1480:M1480"/>
    <mergeCell ref="B1481:M1481"/>
    <mergeCell ref="Q1481:Q1485"/>
    <mergeCell ref="B1482:B1485"/>
    <mergeCell ref="C1482:C1485"/>
    <mergeCell ref="D1482:D1485"/>
    <mergeCell ref="E1482:E1485"/>
    <mergeCell ref="F1482:F1485"/>
    <mergeCell ref="G1482:G1485"/>
    <mergeCell ref="H1482:H1485"/>
    <mergeCell ref="I1482:I1485"/>
    <mergeCell ref="M1482:M1485"/>
    <mergeCell ref="J1482:J1485"/>
    <mergeCell ref="K1482:K1485"/>
    <mergeCell ref="N1482:N1485"/>
    <mergeCell ref="O1482:O1485"/>
    <mergeCell ref="B1530:M1530"/>
    <mergeCell ref="B1531:M1531"/>
    <mergeCell ref="Q1531:Q1535"/>
    <mergeCell ref="B1532:B1535"/>
    <mergeCell ref="C1532:C1535"/>
    <mergeCell ref="D1532:D1535"/>
    <mergeCell ref="E1532:E1535"/>
    <mergeCell ref="F1532:F1535"/>
    <mergeCell ref="G1532:G1535"/>
    <mergeCell ref="H1532:H1535"/>
    <mergeCell ref="I1532:I1535"/>
    <mergeCell ref="M1532:M1535"/>
    <mergeCell ref="J1532:J1535"/>
    <mergeCell ref="K1532:K1535"/>
    <mergeCell ref="N1532:N1535"/>
    <mergeCell ref="O1532:O1535"/>
    <mergeCell ref="D1593:H1593"/>
    <mergeCell ref="D1608:H1608"/>
    <mergeCell ref="D1612:H1612"/>
    <mergeCell ref="D1619:H1619"/>
    <mergeCell ref="B1672:M1672"/>
    <mergeCell ref="C1536:H1536"/>
    <mergeCell ref="D1537:H1537"/>
    <mergeCell ref="D1582:H1582"/>
    <mergeCell ref="E1583:H1583"/>
    <mergeCell ref="E1587:H1587"/>
    <mergeCell ref="C1678:H1678"/>
    <mergeCell ref="D1679:H1679"/>
    <mergeCell ref="D1692:H1692"/>
    <mergeCell ref="D1695:H1695"/>
    <mergeCell ref="D1712:H1712"/>
    <mergeCell ref="B1673:M1673"/>
    <mergeCell ref="Q1673:Q1677"/>
    <mergeCell ref="B1674:B1677"/>
    <mergeCell ref="C1674:C1677"/>
    <mergeCell ref="D1674:D1677"/>
    <mergeCell ref="E1674:E1677"/>
    <mergeCell ref="F1674:F1677"/>
    <mergeCell ref="G1674:G1677"/>
    <mergeCell ref="H1674:H1677"/>
    <mergeCell ref="I1674:I1677"/>
    <mergeCell ref="M1674:M1677"/>
    <mergeCell ref="J1674:J1677"/>
    <mergeCell ref="K1674:K1677"/>
    <mergeCell ref="N1674:N1677"/>
    <mergeCell ref="O1674:O1677"/>
    <mergeCell ref="D1772:H1772"/>
    <mergeCell ref="D1782:H1782"/>
    <mergeCell ref="D1785:H1785"/>
    <mergeCell ref="D1790:H1790"/>
    <mergeCell ref="D1800:H1800"/>
    <mergeCell ref="D1721:H1721"/>
    <mergeCell ref="E1722:H1722"/>
    <mergeCell ref="E1732:H1732"/>
    <mergeCell ref="E1744:H1744"/>
    <mergeCell ref="D1755:H1755"/>
    <mergeCell ref="C1821:H1821"/>
    <mergeCell ref="D1822:H1822"/>
    <mergeCell ref="E1823:H1823"/>
    <mergeCell ref="E1829:H1829"/>
    <mergeCell ref="E1830:H1830"/>
    <mergeCell ref="B1815:M1815"/>
    <mergeCell ref="B1816:M1816"/>
    <mergeCell ref="Q1816:Q1820"/>
    <mergeCell ref="B1817:B1820"/>
    <mergeCell ref="C1817:C1820"/>
    <mergeCell ref="D1817:D1820"/>
    <mergeCell ref="E1817:E1820"/>
    <mergeCell ref="F1817:F1820"/>
    <mergeCell ref="G1817:G1820"/>
    <mergeCell ref="H1817:H1820"/>
    <mergeCell ref="I1817:I1820"/>
    <mergeCell ref="M1817:M1820"/>
    <mergeCell ref="J1817:J1820"/>
    <mergeCell ref="K1817:K1820"/>
    <mergeCell ref="N1817:N1820"/>
    <mergeCell ref="O1817:O1820"/>
    <mergeCell ref="N73:N76"/>
    <mergeCell ref="O73:O76"/>
    <mergeCell ref="N96:N99"/>
    <mergeCell ref="O96:O99"/>
    <mergeCell ref="J4:J7"/>
    <mergeCell ref="K4:K7"/>
    <mergeCell ref="J73:J76"/>
    <mergeCell ref="K73:K76"/>
    <mergeCell ref="J96:J99"/>
    <mergeCell ref="K96:K99"/>
    <mergeCell ref="R235:R239"/>
    <mergeCell ref="S235:S239"/>
    <mergeCell ref="R331:R335"/>
    <mergeCell ref="S331:S335"/>
    <mergeCell ref="R426:R430"/>
    <mergeCell ref="S426:S430"/>
    <mergeCell ref="R3:R7"/>
    <mergeCell ref="S3:S7"/>
    <mergeCell ref="R72:R76"/>
    <mergeCell ref="S72:S76"/>
    <mergeCell ref="R95:R99"/>
    <mergeCell ref="S95:S99"/>
    <mergeCell ref="R1531:R1535"/>
    <mergeCell ref="S1531:S1535"/>
    <mergeCell ref="R1673:R1677"/>
    <mergeCell ref="S1673:S1677"/>
    <mergeCell ref="R1816:R1820"/>
    <mergeCell ref="S1816:S1820"/>
    <mergeCell ref="R571:R575"/>
    <mergeCell ref="S571:S575"/>
    <mergeCell ref="R1343:R1347"/>
    <mergeCell ref="S1343:S1347"/>
    <mergeCell ref="R1481:R1485"/>
    <mergeCell ref="S1481:S1485"/>
  </mergeCells>
  <pageMargins left="0.19685039370078741" right="0.23622047244094491" top="0.35433070866141736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zoomScale="90" zoomScaleNormal="9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4" width="13.42578125" style="11" customWidth="1"/>
    <col min="5" max="5" width="13" style="11" customWidth="1"/>
    <col min="6" max="6" width="15.140625" style="11" customWidth="1"/>
    <col min="7" max="7" width="14" style="11" customWidth="1"/>
    <col min="8" max="8" width="12.85546875" style="11" customWidth="1"/>
    <col min="9" max="9" width="15.42578125" style="11" customWidth="1"/>
    <col min="10" max="10" width="13.42578125" style="11" customWidth="1"/>
    <col min="11" max="11" width="12" customWidth="1"/>
    <col min="12" max="12" width="14.42578125" customWidth="1"/>
    <col min="13" max="13" width="9.5703125" bestFit="1" customWidth="1"/>
    <col min="230" max="230" width="0.85546875" customWidth="1"/>
    <col min="231" max="231" width="3.28515625" customWidth="1"/>
    <col min="232" max="232" width="37.7109375" customWidth="1"/>
    <col min="233" max="233" width="12.140625" customWidth="1"/>
    <col min="234" max="234" width="11" customWidth="1"/>
    <col min="235" max="235" width="12.5703125" customWidth="1"/>
    <col min="236" max="236" width="2" customWidth="1"/>
    <col min="237" max="238" width="12.5703125" customWidth="1"/>
    <col min="239" max="239" width="2.42578125" customWidth="1"/>
    <col min="240" max="240" width="3" customWidth="1"/>
    <col min="241" max="241" width="11.7109375" customWidth="1"/>
    <col min="242" max="243" width="11.85546875" customWidth="1"/>
    <col min="244" max="244" width="1.5703125" customWidth="1"/>
    <col min="245" max="245" width="12.140625" customWidth="1"/>
    <col min="246" max="246" width="9.42578125" customWidth="1"/>
    <col min="247" max="247" width="1.42578125" customWidth="1"/>
    <col min="248" max="248" width="1.85546875" customWidth="1"/>
    <col min="249" max="249" width="12.85546875" customWidth="1"/>
    <col min="250" max="250" width="12.140625" customWidth="1"/>
    <col min="251" max="251" width="12.7109375" customWidth="1"/>
    <col min="252" max="252" width="12.140625" customWidth="1"/>
    <col min="253" max="253" width="12.5703125" customWidth="1"/>
    <col min="254" max="254" width="13.28515625" customWidth="1"/>
    <col min="255" max="255" width="16" bestFit="1" customWidth="1"/>
    <col min="486" max="486" width="0.85546875" customWidth="1"/>
    <col min="487" max="487" width="3.28515625" customWidth="1"/>
    <col min="488" max="488" width="37.7109375" customWidth="1"/>
    <col min="489" max="489" width="12.140625" customWidth="1"/>
    <col min="490" max="490" width="11" customWidth="1"/>
    <col min="491" max="491" width="12.5703125" customWidth="1"/>
    <col min="492" max="492" width="2" customWidth="1"/>
    <col min="493" max="494" width="12.5703125" customWidth="1"/>
    <col min="495" max="495" width="2.42578125" customWidth="1"/>
    <col min="496" max="496" width="3" customWidth="1"/>
    <col min="497" max="497" width="11.7109375" customWidth="1"/>
    <col min="498" max="499" width="11.85546875" customWidth="1"/>
    <col min="500" max="500" width="1.5703125" customWidth="1"/>
    <col min="501" max="501" width="12.140625" customWidth="1"/>
    <col min="502" max="502" width="9.42578125" customWidth="1"/>
    <col min="503" max="503" width="1.42578125" customWidth="1"/>
    <col min="504" max="504" width="1.85546875" customWidth="1"/>
    <col min="505" max="505" width="12.85546875" customWidth="1"/>
    <col min="506" max="506" width="12.140625" customWidth="1"/>
    <col min="507" max="507" width="12.7109375" customWidth="1"/>
    <col min="508" max="508" width="12.140625" customWidth="1"/>
    <col min="509" max="509" width="12.5703125" customWidth="1"/>
    <col min="510" max="510" width="13.28515625" customWidth="1"/>
    <col min="511" max="511" width="16" bestFit="1" customWidth="1"/>
    <col min="742" max="742" width="0.85546875" customWidth="1"/>
    <col min="743" max="743" width="3.28515625" customWidth="1"/>
    <col min="744" max="744" width="37.7109375" customWidth="1"/>
    <col min="745" max="745" width="12.140625" customWidth="1"/>
    <col min="746" max="746" width="11" customWidth="1"/>
    <col min="747" max="747" width="12.5703125" customWidth="1"/>
    <col min="748" max="748" width="2" customWidth="1"/>
    <col min="749" max="750" width="12.5703125" customWidth="1"/>
    <col min="751" max="751" width="2.42578125" customWidth="1"/>
    <col min="752" max="752" width="3" customWidth="1"/>
    <col min="753" max="753" width="11.7109375" customWidth="1"/>
    <col min="754" max="755" width="11.85546875" customWidth="1"/>
    <col min="756" max="756" width="1.5703125" customWidth="1"/>
    <col min="757" max="757" width="12.140625" customWidth="1"/>
    <col min="758" max="758" width="9.42578125" customWidth="1"/>
    <col min="759" max="759" width="1.42578125" customWidth="1"/>
    <col min="760" max="760" width="1.85546875" customWidth="1"/>
    <col min="761" max="761" width="12.85546875" customWidth="1"/>
    <col min="762" max="762" width="12.140625" customWidth="1"/>
    <col min="763" max="763" width="12.7109375" customWidth="1"/>
    <col min="764" max="764" width="12.140625" customWidth="1"/>
    <col min="765" max="765" width="12.5703125" customWidth="1"/>
    <col min="766" max="766" width="13.28515625" customWidth="1"/>
    <col min="767" max="767" width="16" bestFit="1" customWidth="1"/>
    <col min="998" max="998" width="0.85546875" customWidth="1"/>
    <col min="999" max="999" width="3.28515625" customWidth="1"/>
    <col min="1000" max="1000" width="37.7109375" customWidth="1"/>
    <col min="1001" max="1001" width="12.140625" customWidth="1"/>
    <col min="1002" max="1002" width="11" customWidth="1"/>
    <col min="1003" max="1003" width="12.5703125" customWidth="1"/>
    <col min="1004" max="1004" width="2" customWidth="1"/>
    <col min="1005" max="1006" width="12.5703125" customWidth="1"/>
    <col min="1007" max="1007" width="2.42578125" customWidth="1"/>
    <col min="1008" max="1008" width="3" customWidth="1"/>
    <col min="1009" max="1009" width="11.7109375" customWidth="1"/>
    <col min="1010" max="1011" width="11.85546875" customWidth="1"/>
    <col min="1012" max="1012" width="1.5703125" customWidth="1"/>
    <col min="1013" max="1013" width="12.140625" customWidth="1"/>
    <col min="1014" max="1014" width="9.42578125" customWidth="1"/>
    <col min="1015" max="1015" width="1.42578125" customWidth="1"/>
    <col min="1016" max="1016" width="1.85546875" customWidth="1"/>
    <col min="1017" max="1017" width="12.85546875" customWidth="1"/>
    <col min="1018" max="1018" width="12.140625" customWidth="1"/>
    <col min="1019" max="1019" width="12.7109375" customWidth="1"/>
    <col min="1020" max="1020" width="12.140625" customWidth="1"/>
    <col min="1021" max="1021" width="12.5703125" customWidth="1"/>
    <col min="1022" max="1022" width="13.28515625" customWidth="1"/>
    <col min="1023" max="1023" width="16" bestFit="1" customWidth="1"/>
    <col min="1254" max="1254" width="0.85546875" customWidth="1"/>
    <col min="1255" max="1255" width="3.28515625" customWidth="1"/>
    <col min="1256" max="1256" width="37.7109375" customWidth="1"/>
    <col min="1257" max="1257" width="12.140625" customWidth="1"/>
    <col min="1258" max="1258" width="11" customWidth="1"/>
    <col min="1259" max="1259" width="12.5703125" customWidth="1"/>
    <col min="1260" max="1260" width="2" customWidth="1"/>
    <col min="1261" max="1262" width="12.5703125" customWidth="1"/>
    <col min="1263" max="1263" width="2.42578125" customWidth="1"/>
    <col min="1264" max="1264" width="3" customWidth="1"/>
    <col min="1265" max="1265" width="11.7109375" customWidth="1"/>
    <col min="1266" max="1267" width="11.85546875" customWidth="1"/>
    <col min="1268" max="1268" width="1.5703125" customWidth="1"/>
    <col min="1269" max="1269" width="12.140625" customWidth="1"/>
    <col min="1270" max="1270" width="9.42578125" customWidth="1"/>
    <col min="1271" max="1271" width="1.42578125" customWidth="1"/>
    <col min="1272" max="1272" width="1.85546875" customWidth="1"/>
    <col min="1273" max="1273" width="12.85546875" customWidth="1"/>
    <col min="1274" max="1274" width="12.140625" customWidth="1"/>
    <col min="1275" max="1275" width="12.7109375" customWidth="1"/>
    <col min="1276" max="1276" width="12.140625" customWidth="1"/>
    <col min="1277" max="1277" width="12.5703125" customWidth="1"/>
    <col min="1278" max="1278" width="13.28515625" customWidth="1"/>
    <col min="1279" max="1279" width="16" bestFit="1" customWidth="1"/>
    <col min="1510" max="1510" width="0.85546875" customWidth="1"/>
    <col min="1511" max="1511" width="3.28515625" customWidth="1"/>
    <col min="1512" max="1512" width="37.7109375" customWidth="1"/>
    <col min="1513" max="1513" width="12.140625" customWidth="1"/>
    <col min="1514" max="1514" width="11" customWidth="1"/>
    <col min="1515" max="1515" width="12.5703125" customWidth="1"/>
    <col min="1516" max="1516" width="2" customWidth="1"/>
    <col min="1517" max="1518" width="12.5703125" customWidth="1"/>
    <col min="1519" max="1519" width="2.42578125" customWidth="1"/>
    <col min="1520" max="1520" width="3" customWidth="1"/>
    <col min="1521" max="1521" width="11.7109375" customWidth="1"/>
    <col min="1522" max="1523" width="11.85546875" customWidth="1"/>
    <col min="1524" max="1524" width="1.5703125" customWidth="1"/>
    <col min="1525" max="1525" width="12.140625" customWidth="1"/>
    <col min="1526" max="1526" width="9.42578125" customWidth="1"/>
    <col min="1527" max="1527" width="1.42578125" customWidth="1"/>
    <col min="1528" max="1528" width="1.85546875" customWidth="1"/>
    <col min="1529" max="1529" width="12.85546875" customWidth="1"/>
    <col min="1530" max="1530" width="12.140625" customWidth="1"/>
    <col min="1531" max="1531" width="12.7109375" customWidth="1"/>
    <col min="1532" max="1532" width="12.140625" customWidth="1"/>
    <col min="1533" max="1533" width="12.5703125" customWidth="1"/>
    <col min="1534" max="1534" width="13.28515625" customWidth="1"/>
    <col min="1535" max="1535" width="16" bestFit="1" customWidth="1"/>
    <col min="1766" max="1766" width="0.85546875" customWidth="1"/>
    <col min="1767" max="1767" width="3.28515625" customWidth="1"/>
    <col min="1768" max="1768" width="37.7109375" customWidth="1"/>
    <col min="1769" max="1769" width="12.140625" customWidth="1"/>
    <col min="1770" max="1770" width="11" customWidth="1"/>
    <col min="1771" max="1771" width="12.5703125" customWidth="1"/>
    <col min="1772" max="1772" width="2" customWidth="1"/>
    <col min="1773" max="1774" width="12.5703125" customWidth="1"/>
    <col min="1775" max="1775" width="2.42578125" customWidth="1"/>
    <col min="1776" max="1776" width="3" customWidth="1"/>
    <col min="1777" max="1777" width="11.7109375" customWidth="1"/>
    <col min="1778" max="1779" width="11.85546875" customWidth="1"/>
    <col min="1780" max="1780" width="1.5703125" customWidth="1"/>
    <col min="1781" max="1781" width="12.140625" customWidth="1"/>
    <col min="1782" max="1782" width="9.42578125" customWidth="1"/>
    <col min="1783" max="1783" width="1.42578125" customWidth="1"/>
    <col min="1784" max="1784" width="1.85546875" customWidth="1"/>
    <col min="1785" max="1785" width="12.85546875" customWidth="1"/>
    <col min="1786" max="1786" width="12.140625" customWidth="1"/>
    <col min="1787" max="1787" width="12.7109375" customWidth="1"/>
    <col min="1788" max="1788" width="12.140625" customWidth="1"/>
    <col min="1789" max="1789" width="12.5703125" customWidth="1"/>
    <col min="1790" max="1790" width="13.28515625" customWidth="1"/>
    <col min="1791" max="1791" width="16" bestFit="1" customWidth="1"/>
    <col min="2022" max="2022" width="0.85546875" customWidth="1"/>
    <col min="2023" max="2023" width="3.28515625" customWidth="1"/>
    <col min="2024" max="2024" width="37.7109375" customWidth="1"/>
    <col min="2025" max="2025" width="12.140625" customWidth="1"/>
    <col min="2026" max="2026" width="11" customWidth="1"/>
    <col min="2027" max="2027" width="12.5703125" customWidth="1"/>
    <col min="2028" max="2028" width="2" customWidth="1"/>
    <col min="2029" max="2030" width="12.5703125" customWidth="1"/>
    <col min="2031" max="2031" width="2.42578125" customWidth="1"/>
    <col min="2032" max="2032" width="3" customWidth="1"/>
    <col min="2033" max="2033" width="11.7109375" customWidth="1"/>
    <col min="2034" max="2035" width="11.85546875" customWidth="1"/>
    <col min="2036" max="2036" width="1.5703125" customWidth="1"/>
    <col min="2037" max="2037" width="12.140625" customWidth="1"/>
    <col min="2038" max="2038" width="9.42578125" customWidth="1"/>
    <col min="2039" max="2039" width="1.42578125" customWidth="1"/>
    <col min="2040" max="2040" width="1.85546875" customWidth="1"/>
    <col min="2041" max="2041" width="12.85546875" customWidth="1"/>
    <col min="2042" max="2042" width="12.140625" customWidth="1"/>
    <col min="2043" max="2043" width="12.7109375" customWidth="1"/>
    <col min="2044" max="2044" width="12.140625" customWidth="1"/>
    <col min="2045" max="2045" width="12.5703125" customWidth="1"/>
    <col min="2046" max="2046" width="13.28515625" customWidth="1"/>
    <col min="2047" max="2047" width="16" bestFit="1" customWidth="1"/>
    <col min="2278" max="2278" width="0.85546875" customWidth="1"/>
    <col min="2279" max="2279" width="3.28515625" customWidth="1"/>
    <col min="2280" max="2280" width="37.7109375" customWidth="1"/>
    <col min="2281" max="2281" width="12.140625" customWidth="1"/>
    <col min="2282" max="2282" width="11" customWidth="1"/>
    <col min="2283" max="2283" width="12.5703125" customWidth="1"/>
    <col min="2284" max="2284" width="2" customWidth="1"/>
    <col min="2285" max="2286" width="12.5703125" customWidth="1"/>
    <col min="2287" max="2287" width="2.42578125" customWidth="1"/>
    <col min="2288" max="2288" width="3" customWidth="1"/>
    <col min="2289" max="2289" width="11.7109375" customWidth="1"/>
    <col min="2290" max="2291" width="11.85546875" customWidth="1"/>
    <col min="2292" max="2292" width="1.5703125" customWidth="1"/>
    <col min="2293" max="2293" width="12.140625" customWidth="1"/>
    <col min="2294" max="2294" width="9.42578125" customWidth="1"/>
    <col min="2295" max="2295" width="1.42578125" customWidth="1"/>
    <col min="2296" max="2296" width="1.85546875" customWidth="1"/>
    <col min="2297" max="2297" width="12.85546875" customWidth="1"/>
    <col min="2298" max="2298" width="12.140625" customWidth="1"/>
    <col min="2299" max="2299" width="12.7109375" customWidth="1"/>
    <col min="2300" max="2300" width="12.140625" customWidth="1"/>
    <col min="2301" max="2301" width="12.5703125" customWidth="1"/>
    <col min="2302" max="2302" width="13.28515625" customWidth="1"/>
    <col min="2303" max="2303" width="16" bestFit="1" customWidth="1"/>
    <col min="2534" max="2534" width="0.85546875" customWidth="1"/>
    <col min="2535" max="2535" width="3.28515625" customWidth="1"/>
    <col min="2536" max="2536" width="37.7109375" customWidth="1"/>
    <col min="2537" max="2537" width="12.140625" customWidth="1"/>
    <col min="2538" max="2538" width="11" customWidth="1"/>
    <col min="2539" max="2539" width="12.5703125" customWidth="1"/>
    <col min="2540" max="2540" width="2" customWidth="1"/>
    <col min="2541" max="2542" width="12.5703125" customWidth="1"/>
    <col min="2543" max="2543" width="2.42578125" customWidth="1"/>
    <col min="2544" max="2544" width="3" customWidth="1"/>
    <col min="2545" max="2545" width="11.7109375" customWidth="1"/>
    <col min="2546" max="2547" width="11.85546875" customWidth="1"/>
    <col min="2548" max="2548" width="1.5703125" customWidth="1"/>
    <col min="2549" max="2549" width="12.140625" customWidth="1"/>
    <col min="2550" max="2550" width="9.42578125" customWidth="1"/>
    <col min="2551" max="2551" width="1.42578125" customWidth="1"/>
    <col min="2552" max="2552" width="1.85546875" customWidth="1"/>
    <col min="2553" max="2553" width="12.85546875" customWidth="1"/>
    <col min="2554" max="2554" width="12.140625" customWidth="1"/>
    <col min="2555" max="2555" width="12.7109375" customWidth="1"/>
    <col min="2556" max="2556" width="12.140625" customWidth="1"/>
    <col min="2557" max="2557" width="12.5703125" customWidth="1"/>
    <col min="2558" max="2558" width="13.28515625" customWidth="1"/>
    <col min="2559" max="2559" width="16" bestFit="1" customWidth="1"/>
    <col min="2790" max="2790" width="0.85546875" customWidth="1"/>
    <col min="2791" max="2791" width="3.28515625" customWidth="1"/>
    <col min="2792" max="2792" width="37.7109375" customWidth="1"/>
    <col min="2793" max="2793" width="12.140625" customWidth="1"/>
    <col min="2794" max="2794" width="11" customWidth="1"/>
    <col min="2795" max="2795" width="12.5703125" customWidth="1"/>
    <col min="2796" max="2796" width="2" customWidth="1"/>
    <col min="2797" max="2798" width="12.5703125" customWidth="1"/>
    <col min="2799" max="2799" width="2.42578125" customWidth="1"/>
    <col min="2800" max="2800" width="3" customWidth="1"/>
    <col min="2801" max="2801" width="11.7109375" customWidth="1"/>
    <col min="2802" max="2803" width="11.85546875" customWidth="1"/>
    <col min="2804" max="2804" width="1.5703125" customWidth="1"/>
    <col min="2805" max="2805" width="12.140625" customWidth="1"/>
    <col min="2806" max="2806" width="9.42578125" customWidth="1"/>
    <col min="2807" max="2807" width="1.42578125" customWidth="1"/>
    <col min="2808" max="2808" width="1.85546875" customWidth="1"/>
    <col min="2809" max="2809" width="12.85546875" customWidth="1"/>
    <col min="2810" max="2810" width="12.140625" customWidth="1"/>
    <col min="2811" max="2811" width="12.7109375" customWidth="1"/>
    <col min="2812" max="2812" width="12.140625" customWidth="1"/>
    <col min="2813" max="2813" width="12.5703125" customWidth="1"/>
    <col min="2814" max="2814" width="13.28515625" customWidth="1"/>
    <col min="2815" max="2815" width="16" bestFit="1" customWidth="1"/>
    <col min="3046" max="3046" width="0.85546875" customWidth="1"/>
    <col min="3047" max="3047" width="3.28515625" customWidth="1"/>
    <col min="3048" max="3048" width="37.7109375" customWidth="1"/>
    <col min="3049" max="3049" width="12.140625" customWidth="1"/>
    <col min="3050" max="3050" width="11" customWidth="1"/>
    <col min="3051" max="3051" width="12.5703125" customWidth="1"/>
    <col min="3052" max="3052" width="2" customWidth="1"/>
    <col min="3053" max="3054" width="12.5703125" customWidth="1"/>
    <col min="3055" max="3055" width="2.42578125" customWidth="1"/>
    <col min="3056" max="3056" width="3" customWidth="1"/>
    <col min="3057" max="3057" width="11.7109375" customWidth="1"/>
    <col min="3058" max="3059" width="11.85546875" customWidth="1"/>
    <col min="3060" max="3060" width="1.5703125" customWidth="1"/>
    <col min="3061" max="3061" width="12.140625" customWidth="1"/>
    <col min="3062" max="3062" width="9.42578125" customWidth="1"/>
    <col min="3063" max="3063" width="1.42578125" customWidth="1"/>
    <col min="3064" max="3064" width="1.85546875" customWidth="1"/>
    <col min="3065" max="3065" width="12.85546875" customWidth="1"/>
    <col min="3066" max="3066" width="12.140625" customWidth="1"/>
    <col min="3067" max="3067" width="12.7109375" customWidth="1"/>
    <col min="3068" max="3068" width="12.140625" customWidth="1"/>
    <col min="3069" max="3069" width="12.5703125" customWidth="1"/>
    <col min="3070" max="3070" width="13.28515625" customWidth="1"/>
    <col min="3071" max="3071" width="16" bestFit="1" customWidth="1"/>
    <col min="3302" max="3302" width="0.85546875" customWidth="1"/>
    <col min="3303" max="3303" width="3.28515625" customWidth="1"/>
    <col min="3304" max="3304" width="37.7109375" customWidth="1"/>
    <col min="3305" max="3305" width="12.140625" customWidth="1"/>
    <col min="3306" max="3306" width="11" customWidth="1"/>
    <col min="3307" max="3307" width="12.5703125" customWidth="1"/>
    <col min="3308" max="3308" width="2" customWidth="1"/>
    <col min="3309" max="3310" width="12.5703125" customWidth="1"/>
    <col min="3311" max="3311" width="2.42578125" customWidth="1"/>
    <col min="3312" max="3312" width="3" customWidth="1"/>
    <col min="3313" max="3313" width="11.7109375" customWidth="1"/>
    <col min="3314" max="3315" width="11.85546875" customWidth="1"/>
    <col min="3316" max="3316" width="1.5703125" customWidth="1"/>
    <col min="3317" max="3317" width="12.140625" customWidth="1"/>
    <col min="3318" max="3318" width="9.42578125" customWidth="1"/>
    <col min="3319" max="3319" width="1.42578125" customWidth="1"/>
    <col min="3320" max="3320" width="1.85546875" customWidth="1"/>
    <col min="3321" max="3321" width="12.85546875" customWidth="1"/>
    <col min="3322" max="3322" width="12.140625" customWidth="1"/>
    <col min="3323" max="3323" width="12.7109375" customWidth="1"/>
    <col min="3324" max="3324" width="12.140625" customWidth="1"/>
    <col min="3325" max="3325" width="12.5703125" customWidth="1"/>
    <col min="3326" max="3326" width="13.28515625" customWidth="1"/>
    <col min="3327" max="3327" width="16" bestFit="1" customWidth="1"/>
    <col min="3558" max="3558" width="0.85546875" customWidth="1"/>
    <col min="3559" max="3559" width="3.28515625" customWidth="1"/>
    <col min="3560" max="3560" width="37.7109375" customWidth="1"/>
    <col min="3561" max="3561" width="12.140625" customWidth="1"/>
    <col min="3562" max="3562" width="11" customWidth="1"/>
    <col min="3563" max="3563" width="12.5703125" customWidth="1"/>
    <col min="3564" max="3564" width="2" customWidth="1"/>
    <col min="3565" max="3566" width="12.5703125" customWidth="1"/>
    <col min="3567" max="3567" width="2.42578125" customWidth="1"/>
    <col min="3568" max="3568" width="3" customWidth="1"/>
    <col min="3569" max="3569" width="11.7109375" customWidth="1"/>
    <col min="3570" max="3571" width="11.85546875" customWidth="1"/>
    <col min="3572" max="3572" width="1.5703125" customWidth="1"/>
    <col min="3573" max="3573" width="12.140625" customWidth="1"/>
    <col min="3574" max="3574" width="9.42578125" customWidth="1"/>
    <col min="3575" max="3575" width="1.42578125" customWidth="1"/>
    <col min="3576" max="3576" width="1.85546875" customWidth="1"/>
    <col min="3577" max="3577" width="12.85546875" customWidth="1"/>
    <col min="3578" max="3578" width="12.140625" customWidth="1"/>
    <col min="3579" max="3579" width="12.7109375" customWidth="1"/>
    <col min="3580" max="3580" width="12.140625" customWidth="1"/>
    <col min="3581" max="3581" width="12.5703125" customWidth="1"/>
    <col min="3582" max="3582" width="13.28515625" customWidth="1"/>
    <col min="3583" max="3583" width="16" bestFit="1" customWidth="1"/>
    <col min="3814" max="3814" width="0.85546875" customWidth="1"/>
    <col min="3815" max="3815" width="3.28515625" customWidth="1"/>
    <col min="3816" max="3816" width="37.7109375" customWidth="1"/>
    <col min="3817" max="3817" width="12.140625" customWidth="1"/>
    <col min="3818" max="3818" width="11" customWidth="1"/>
    <col min="3819" max="3819" width="12.5703125" customWidth="1"/>
    <col min="3820" max="3820" width="2" customWidth="1"/>
    <col min="3821" max="3822" width="12.5703125" customWidth="1"/>
    <col min="3823" max="3823" width="2.42578125" customWidth="1"/>
    <col min="3824" max="3824" width="3" customWidth="1"/>
    <col min="3825" max="3825" width="11.7109375" customWidth="1"/>
    <col min="3826" max="3827" width="11.85546875" customWidth="1"/>
    <col min="3828" max="3828" width="1.5703125" customWidth="1"/>
    <col min="3829" max="3829" width="12.140625" customWidth="1"/>
    <col min="3830" max="3830" width="9.42578125" customWidth="1"/>
    <col min="3831" max="3831" width="1.42578125" customWidth="1"/>
    <col min="3832" max="3832" width="1.85546875" customWidth="1"/>
    <col min="3833" max="3833" width="12.85546875" customWidth="1"/>
    <col min="3834" max="3834" width="12.140625" customWidth="1"/>
    <col min="3835" max="3835" width="12.7109375" customWidth="1"/>
    <col min="3836" max="3836" width="12.140625" customWidth="1"/>
    <col min="3837" max="3837" width="12.5703125" customWidth="1"/>
    <col min="3838" max="3838" width="13.28515625" customWidth="1"/>
    <col min="3839" max="3839" width="16" bestFit="1" customWidth="1"/>
    <col min="4070" max="4070" width="0.85546875" customWidth="1"/>
    <col min="4071" max="4071" width="3.28515625" customWidth="1"/>
    <col min="4072" max="4072" width="37.7109375" customWidth="1"/>
    <col min="4073" max="4073" width="12.140625" customWidth="1"/>
    <col min="4074" max="4074" width="11" customWidth="1"/>
    <col min="4075" max="4075" width="12.5703125" customWidth="1"/>
    <col min="4076" max="4076" width="2" customWidth="1"/>
    <col min="4077" max="4078" width="12.5703125" customWidth="1"/>
    <col min="4079" max="4079" width="2.42578125" customWidth="1"/>
    <col min="4080" max="4080" width="3" customWidth="1"/>
    <col min="4081" max="4081" width="11.7109375" customWidth="1"/>
    <col min="4082" max="4083" width="11.85546875" customWidth="1"/>
    <col min="4084" max="4084" width="1.5703125" customWidth="1"/>
    <col min="4085" max="4085" width="12.140625" customWidth="1"/>
    <col min="4086" max="4086" width="9.42578125" customWidth="1"/>
    <col min="4087" max="4087" width="1.42578125" customWidth="1"/>
    <col min="4088" max="4088" width="1.85546875" customWidth="1"/>
    <col min="4089" max="4089" width="12.85546875" customWidth="1"/>
    <col min="4090" max="4090" width="12.140625" customWidth="1"/>
    <col min="4091" max="4091" width="12.7109375" customWidth="1"/>
    <col min="4092" max="4092" width="12.140625" customWidth="1"/>
    <col min="4093" max="4093" width="12.5703125" customWidth="1"/>
    <col min="4094" max="4094" width="13.28515625" customWidth="1"/>
    <col min="4095" max="4095" width="16" bestFit="1" customWidth="1"/>
    <col min="4326" max="4326" width="0.85546875" customWidth="1"/>
    <col min="4327" max="4327" width="3.28515625" customWidth="1"/>
    <col min="4328" max="4328" width="37.7109375" customWidth="1"/>
    <col min="4329" max="4329" width="12.140625" customWidth="1"/>
    <col min="4330" max="4330" width="11" customWidth="1"/>
    <col min="4331" max="4331" width="12.5703125" customWidth="1"/>
    <col min="4332" max="4332" width="2" customWidth="1"/>
    <col min="4333" max="4334" width="12.5703125" customWidth="1"/>
    <col min="4335" max="4335" width="2.42578125" customWidth="1"/>
    <col min="4336" max="4336" width="3" customWidth="1"/>
    <col min="4337" max="4337" width="11.7109375" customWidth="1"/>
    <col min="4338" max="4339" width="11.85546875" customWidth="1"/>
    <col min="4340" max="4340" width="1.5703125" customWidth="1"/>
    <col min="4341" max="4341" width="12.140625" customWidth="1"/>
    <col min="4342" max="4342" width="9.42578125" customWidth="1"/>
    <col min="4343" max="4343" width="1.42578125" customWidth="1"/>
    <col min="4344" max="4344" width="1.85546875" customWidth="1"/>
    <col min="4345" max="4345" width="12.85546875" customWidth="1"/>
    <col min="4346" max="4346" width="12.140625" customWidth="1"/>
    <col min="4347" max="4347" width="12.7109375" customWidth="1"/>
    <col min="4348" max="4348" width="12.140625" customWidth="1"/>
    <col min="4349" max="4349" width="12.5703125" customWidth="1"/>
    <col min="4350" max="4350" width="13.28515625" customWidth="1"/>
    <col min="4351" max="4351" width="16" bestFit="1" customWidth="1"/>
    <col min="4582" max="4582" width="0.85546875" customWidth="1"/>
    <col min="4583" max="4583" width="3.28515625" customWidth="1"/>
    <col min="4584" max="4584" width="37.7109375" customWidth="1"/>
    <col min="4585" max="4585" width="12.140625" customWidth="1"/>
    <col min="4586" max="4586" width="11" customWidth="1"/>
    <col min="4587" max="4587" width="12.5703125" customWidth="1"/>
    <col min="4588" max="4588" width="2" customWidth="1"/>
    <col min="4589" max="4590" width="12.5703125" customWidth="1"/>
    <col min="4591" max="4591" width="2.42578125" customWidth="1"/>
    <col min="4592" max="4592" width="3" customWidth="1"/>
    <col min="4593" max="4593" width="11.7109375" customWidth="1"/>
    <col min="4594" max="4595" width="11.85546875" customWidth="1"/>
    <col min="4596" max="4596" width="1.5703125" customWidth="1"/>
    <col min="4597" max="4597" width="12.140625" customWidth="1"/>
    <col min="4598" max="4598" width="9.42578125" customWidth="1"/>
    <col min="4599" max="4599" width="1.42578125" customWidth="1"/>
    <col min="4600" max="4600" width="1.85546875" customWidth="1"/>
    <col min="4601" max="4601" width="12.85546875" customWidth="1"/>
    <col min="4602" max="4602" width="12.140625" customWidth="1"/>
    <col min="4603" max="4603" width="12.7109375" customWidth="1"/>
    <col min="4604" max="4604" width="12.140625" customWidth="1"/>
    <col min="4605" max="4605" width="12.5703125" customWidth="1"/>
    <col min="4606" max="4606" width="13.28515625" customWidth="1"/>
    <col min="4607" max="4607" width="16" bestFit="1" customWidth="1"/>
    <col min="4838" max="4838" width="0.85546875" customWidth="1"/>
    <col min="4839" max="4839" width="3.28515625" customWidth="1"/>
    <col min="4840" max="4840" width="37.7109375" customWidth="1"/>
    <col min="4841" max="4841" width="12.140625" customWidth="1"/>
    <col min="4842" max="4842" width="11" customWidth="1"/>
    <col min="4843" max="4843" width="12.5703125" customWidth="1"/>
    <col min="4844" max="4844" width="2" customWidth="1"/>
    <col min="4845" max="4846" width="12.5703125" customWidth="1"/>
    <col min="4847" max="4847" width="2.42578125" customWidth="1"/>
    <col min="4848" max="4848" width="3" customWidth="1"/>
    <col min="4849" max="4849" width="11.7109375" customWidth="1"/>
    <col min="4850" max="4851" width="11.85546875" customWidth="1"/>
    <col min="4852" max="4852" width="1.5703125" customWidth="1"/>
    <col min="4853" max="4853" width="12.140625" customWidth="1"/>
    <col min="4854" max="4854" width="9.42578125" customWidth="1"/>
    <col min="4855" max="4855" width="1.42578125" customWidth="1"/>
    <col min="4856" max="4856" width="1.85546875" customWidth="1"/>
    <col min="4857" max="4857" width="12.85546875" customWidth="1"/>
    <col min="4858" max="4858" width="12.140625" customWidth="1"/>
    <col min="4859" max="4859" width="12.7109375" customWidth="1"/>
    <col min="4860" max="4860" width="12.140625" customWidth="1"/>
    <col min="4861" max="4861" width="12.5703125" customWidth="1"/>
    <col min="4862" max="4862" width="13.28515625" customWidth="1"/>
    <col min="4863" max="4863" width="16" bestFit="1" customWidth="1"/>
    <col min="5094" max="5094" width="0.85546875" customWidth="1"/>
    <col min="5095" max="5095" width="3.28515625" customWidth="1"/>
    <col min="5096" max="5096" width="37.7109375" customWidth="1"/>
    <col min="5097" max="5097" width="12.140625" customWidth="1"/>
    <col min="5098" max="5098" width="11" customWidth="1"/>
    <col min="5099" max="5099" width="12.5703125" customWidth="1"/>
    <col min="5100" max="5100" width="2" customWidth="1"/>
    <col min="5101" max="5102" width="12.5703125" customWidth="1"/>
    <col min="5103" max="5103" width="2.42578125" customWidth="1"/>
    <col min="5104" max="5104" width="3" customWidth="1"/>
    <col min="5105" max="5105" width="11.7109375" customWidth="1"/>
    <col min="5106" max="5107" width="11.85546875" customWidth="1"/>
    <col min="5108" max="5108" width="1.5703125" customWidth="1"/>
    <col min="5109" max="5109" width="12.140625" customWidth="1"/>
    <col min="5110" max="5110" width="9.42578125" customWidth="1"/>
    <col min="5111" max="5111" width="1.42578125" customWidth="1"/>
    <col min="5112" max="5112" width="1.85546875" customWidth="1"/>
    <col min="5113" max="5113" width="12.85546875" customWidth="1"/>
    <col min="5114" max="5114" width="12.140625" customWidth="1"/>
    <col min="5115" max="5115" width="12.7109375" customWidth="1"/>
    <col min="5116" max="5116" width="12.140625" customWidth="1"/>
    <col min="5117" max="5117" width="12.5703125" customWidth="1"/>
    <col min="5118" max="5118" width="13.28515625" customWidth="1"/>
    <col min="5119" max="5119" width="16" bestFit="1" customWidth="1"/>
    <col min="5350" max="5350" width="0.85546875" customWidth="1"/>
    <col min="5351" max="5351" width="3.28515625" customWidth="1"/>
    <col min="5352" max="5352" width="37.7109375" customWidth="1"/>
    <col min="5353" max="5353" width="12.140625" customWidth="1"/>
    <col min="5354" max="5354" width="11" customWidth="1"/>
    <col min="5355" max="5355" width="12.5703125" customWidth="1"/>
    <col min="5356" max="5356" width="2" customWidth="1"/>
    <col min="5357" max="5358" width="12.5703125" customWidth="1"/>
    <col min="5359" max="5359" width="2.42578125" customWidth="1"/>
    <col min="5360" max="5360" width="3" customWidth="1"/>
    <col min="5361" max="5361" width="11.7109375" customWidth="1"/>
    <col min="5362" max="5363" width="11.85546875" customWidth="1"/>
    <col min="5364" max="5364" width="1.5703125" customWidth="1"/>
    <col min="5365" max="5365" width="12.140625" customWidth="1"/>
    <col min="5366" max="5366" width="9.42578125" customWidth="1"/>
    <col min="5367" max="5367" width="1.42578125" customWidth="1"/>
    <col min="5368" max="5368" width="1.85546875" customWidth="1"/>
    <col min="5369" max="5369" width="12.85546875" customWidth="1"/>
    <col min="5370" max="5370" width="12.140625" customWidth="1"/>
    <col min="5371" max="5371" width="12.7109375" customWidth="1"/>
    <col min="5372" max="5372" width="12.140625" customWidth="1"/>
    <col min="5373" max="5373" width="12.5703125" customWidth="1"/>
    <col min="5374" max="5374" width="13.28515625" customWidth="1"/>
    <col min="5375" max="5375" width="16" bestFit="1" customWidth="1"/>
    <col min="5606" max="5606" width="0.85546875" customWidth="1"/>
    <col min="5607" max="5607" width="3.28515625" customWidth="1"/>
    <col min="5608" max="5608" width="37.7109375" customWidth="1"/>
    <col min="5609" max="5609" width="12.140625" customWidth="1"/>
    <col min="5610" max="5610" width="11" customWidth="1"/>
    <col min="5611" max="5611" width="12.5703125" customWidth="1"/>
    <col min="5612" max="5612" width="2" customWidth="1"/>
    <col min="5613" max="5614" width="12.5703125" customWidth="1"/>
    <col min="5615" max="5615" width="2.42578125" customWidth="1"/>
    <col min="5616" max="5616" width="3" customWidth="1"/>
    <col min="5617" max="5617" width="11.7109375" customWidth="1"/>
    <col min="5618" max="5619" width="11.85546875" customWidth="1"/>
    <col min="5620" max="5620" width="1.5703125" customWidth="1"/>
    <col min="5621" max="5621" width="12.140625" customWidth="1"/>
    <col min="5622" max="5622" width="9.42578125" customWidth="1"/>
    <col min="5623" max="5623" width="1.42578125" customWidth="1"/>
    <col min="5624" max="5624" width="1.85546875" customWidth="1"/>
    <col min="5625" max="5625" width="12.85546875" customWidth="1"/>
    <col min="5626" max="5626" width="12.140625" customWidth="1"/>
    <col min="5627" max="5627" width="12.7109375" customWidth="1"/>
    <col min="5628" max="5628" width="12.140625" customWidth="1"/>
    <col min="5629" max="5629" width="12.5703125" customWidth="1"/>
    <col min="5630" max="5630" width="13.28515625" customWidth="1"/>
    <col min="5631" max="5631" width="16" bestFit="1" customWidth="1"/>
    <col min="5862" max="5862" width="0.85546875" customWidth="1"/>
    <col min="5863" max="5863" width="3.28515625" customWidth="1"/>
    <col min="5864" max="5864" width="37.7109375" customWidth="1"/>
    <col min="5865" max="5865" width="12.140625" customWidth="1"/>
    <col min="5866" max="5866" width="11" customWidth="1"/>
    <col min="5867" max="5867" width="12.5703125" customWidth="1"/>
    <col min="5868" max="5868" width="2" customWidth="1"/>
    <col min="5869" max="5870" width="12.5703125" customWidth="1"/>
    <col min="5871" max="5871" width="2.42578125" customWidth="1"/>
    <col min="5872" max="5872" width="3" customWidth="1"/>
    <col min="5873" max="5873" width="11.7109375" customWidth="1"/>
    <col min="5874" max="5875" width="11.85546875" customWidth="1"/>
    <col min="5876" max="5876" width="1.5703125" customWidth="1"/>
    <col min="5877" max="5877" width="12.140625" customWidth="1"/>
    <col min="5878" max="5878" width="9.42578125" customWidth="1"/>
    <col min="5879" max="5879" width="1.42578125" customWidth="1"/>
    <col min="5880" max="5880" width="1.85546875" customWidth="1"/>
    <col min="5881" max="5881" width="12.85546875" customWidth="1"/>
    <col min="5882" max="5882" width="12.140625" customWidth="1"/>
    <col min="5883" max="5883" width="12.7109375" customWidth="1"/>
    <col min="5884" max="5884" width="12.140625" customWidth="1"/>
    <col min="5885" max="5885" width="12.5703125" customWidth="1"/>
    <col min="5886" max="5886" width="13.28515625" customWidth="1"/>
    <col min="5887" max="5887" width="16" bestFit="1" customWidth="1"/>
    <col min="6118" max="6118" width="0.85546875" customWidth="1"/>
    <col min="6119" max="6119" width="3.28515625" customWidth="1"/>
    <col min="6120" max="6120" width="37.7109375" customWidth="1"/>
    <col min="6121" max="6121" width="12.140625" customWidth="1"/>
    <col min="6122" max="6122" width="11" customWidth="1"/>
    <col min="6123" max="6123" width="12.5703125" customWidth="1"/>
    <col min="6124" max="6124" width="2" customWidth="1"/>
    <col min="6125" max="6126" width="12.5703125" customWidth="1"/>
    <col min="6127" max="6127" width="2.42578125" customWidth="1"/>
    <col min="6128" max="6128" width="3" customWidth="1"/>
    <col min="6129" max="6129" width="11.7109375" customWidth="1"/>
    <col min="6130" max="6131" width="11.85546875" customWidth="1"/>
    <col min="6132" max="6132" width="1.5703125" customWidth="1"/>
    <col min="6133" max="6133" width="12.140625" customWidth="1"/>
    <col min="6134" max="6134" width="9.42578125" customWidth="1"/>
    <col min="6135" max="6135" width="1.42578125" customWidth="1"/>
    <col min="6136" max="6136" width="1.85546875" customWidth="1"/>
    <col min="6137" max="6137" width="12.85546875" customWidth="1"/>
    <col min="6138" max="6138" width="12.140625" customWidth="1"/>
    <col min="6139" max="6139" width="12.7109375" customWidth="1"/>
    <col min="6140" max="6140" width="12.140625" customWidth="1"/>
    <col min="6141" max="6141" width="12.5703125" customWidth="1"/>
    <col min="6142" max="6142" width="13.28515625" customWidth="1"/>
    <col min="6143" max="6143" width="16" bestFit="1" customWidth="1"/>
    <col min="6374" max="6374" width="0.85546875" customWidth="1"/>
    <col min="6375" max="6375" width="3.28515625" customWidth="1"/>
    <col min="6376" max="6376" width="37.7109375" customWidth="1"/>
    <col min="6377" max="6377" width="12.140625" customWidth="1"/>
    <col min="6378" max="6378" width="11" customWidth="1"/>
    <col min="6379" max="6379" width="12.5703125" customWidth="1"/>
    <col min="6380" max="6380" width="2" customWidth="1"/>
    <col min="6381" max="6382" width="12.5703125" customWidth="1"/>
    <col min="6383" max="6383" width="2.42578125" customWidth="1"/>
    <col min="6384" max="6384" width="3" customWidth="1"/>
    <col min="6385" max="6385" width="11.7109375" customWidth="1"/>
    <col min="6386" max="6387" width="11.85546875" customWidth="1"/>
    <col min="6388" max="6388" width="1.5703125" customWidth="1"/>
    <col min="6389" max="6389" width="12.140625" customWidth="1"/>
    <col min="6390" max="6390" width="9.42578125" customWidth="1"/>
    <col min="6391" max="6391" width="1.42578125" customWidth="1"/>
    <col min="6392" max="6392" width="1.85546875" customWidth="1"/>
    <col min="6393" max="6393" width="12.85546875" customWidth="1"/>
    <col min="6394" max="6394" width="12.140625" customWidth="1"/>
    <col min="6395" max="6395" width="12.7109375" customWidth="1"/>
    <col min="6396" max="6396" width="12.140625" customWidth="1"/>
    <col min="6397" max="6397" width="12.5703125" customWidth="1"/>
    <col min="6398" max="6398" width="13.28515625" customWidth="1"/>
    <col min="6399" max="6399" width="16" bestFit="1" customWidth="1"/>
    <col min="6630" max="6630" width="0.85546875" customWidth="1"/>
    <col min="6631" max="6631" width="3.28515625" customWidth="1"/>
    <col min="6632" max="6632" width="37.7109375" customWidth="1"/>
    <col min="6633" max="6633" width="12.140625" customWidth="1"/>
    <col min="6634" max="6634" width="11" customWidth="1"/>
    <col min="6635" max="6635" width="12.5703125" customWidth="1"/>
    <col min="6636" max="6636" width="2" customWidth="1"/>
    <col min="6637" max="6638" width="12.5703125" customWidth="1"/>
    <col min="6639" max="6639" width="2.42578125" customWidth="1"/>
    <col min="6640" max="6640" width="3" customWidth="1"/>
    <col min="6641" max="6641" width="11.7109375" customWidth="1"/>
    <col min="6642" max="6643" width="11.85546875" customWidth="1"/>
    <col min="6644" max="6644" width="1.5703125" customWidth="1"/>
    <col min="6645" max="6645" width="12.140625" customWidth="1"/>
    <col min="6646" max="6646" width="9.42578125" customWidth="1"/>
    <col min="6647" max="6647" width="1.42578125" customWidth="1"/>
    <col min="6648" max="6648" width="1.85546875" customWidth="1"/>
    <col min="6649" max="6649" width="12.85546875" customWidth="1"/>
    <col min="6650" max="6650" width="12.140625" customWidth="1"/>
    <col min="6651" max="6651" width="12.7109375" customWidth="1"/>
    <col min="6652" max="6652" width="12.140625" customWidth="1"/>
    <col min="6653" max="6653" width="12.5703125" customWidth="1"/>
    <col min="6654" max="6654" width="13.28515625" customWidth="1"/>
    <col min="6655" max="6655" width="16" bestFit="1" customWidth="1"/>
    <col min="6886" max="6886" width="0.85546875" customWidth="1"/>
    <col min="6887" max="6887" width="3.28515625" customWidth="1"/>
    <col min="6888" max="6888" width="37.7109375" customWidth="1"/>
    <col min="6889" max="6889" width="12.140625" customWidth="1"/>
    <col min="6890" max="6890" width="11" customWidth="1"/>
    <col min="6891" max="6891" width="12.5703125" customWidth="1"/>
    <col min="6892" max="6892" width="2" customWidth="1"/>
    <col min="6893" max="6894" width="12.5703125" customWidth="1"/>
    <col min="6895" max="6895" width="2.42578125" customWidth="1"/>
    <col min="6896" max="6896" width="3" customWidth="1"/>
    <col min="6897" max="6897" width="11.7109375" customWidth="1"/>
    <col min="6898" max="6899" width="11.85546875" customWidth="1"/>
    <col min="6900" max="6900" width="1.5703125" customWidth="1"/>
    <col min="6901" max="6901" width="12.140625" customWidth="1"/>
    <col min="6902" max="6902" width="9.42578125" customWidth="1"/>
    <col min="6903" max="6903" width="1.42578125" customWidth="1"/>
    <col min="6904" max="6904" width="1.85546875" customWidth="1"/>
    <col min="6905" max="6905" width="12.85546875" customWidth="1"/>
    <col min="6906" max="6906" width="12.140625" customWidth="1"/>
    <col min="6907" max="6907" width="12.7109375" customWidth="1"/>
    <col min="6908" max="6908" width="12.140625" customWidth="1"/>
    <col min="6909" max="6909" width="12.5703125" customWidth="1"/>
    <col min="6910" max="6910" width="13.28515625" customWidth="1"/>
    <col min="6911" max="6911" width="16" bestFit="1" customWidth="1"/>
    <col min="7142" max="7142" width="0.85546875" customWidth="1"/>
    <col min="7143" max="7143" width="3.28515625" customWidth="1"/>
    <col min="7144" max="7144" width="37.7109375" customWidth="1"/>
    <col min="7145" max="7145" width="12.140625" customWidth="1"/>
    <col min="7146" max="7146" width="11" customWidth="1"/>
    <col min="7147" max="7147" width="12.5703125" customWidth="1"/>
    <col min="7148" max="7148" width="2" customWidth="1"/>
    <col min="7149" max="7150" width="12.5703125" customWidth="1"/>
    <col min="7151" max="7151" width="2.42578125" customWidth="1"/>
    <col min="7152" max="7152" width="3" customWidth="1"/>
    <col min="7153" max="7153" width="11.7109375" customWidth="1"/>
    <col min="7154" max="7155" width="11.85546875" customWidth="1"/>
    <col min="7156" max="7156" width="1.5703125" customWidth="1"/>
    <col min="7157" max="7157" width="12.140625" customWidth="1"/>
    <col min="7158" max="7158" width="9.42578125" customWidth="1"/>
    <col min="7159" max="7159" width="1.42578125" customWidth="1"/>
    <col min="7160" max="7160" width="1.85546875" customWidth="1"/>
    <col min="7161" max="7161" width="12.85546875" customWidth="1"/>
    <col min="7162" max="7162" width="12.140625" customWidth="1"/>
    <col min="7163" max="7163" width="12.7109375" customWidth="1"/>
    <col min="7164" max="7164" width="12.140625" customWidth="1"/>
    <col min="7165" max="7165" width="12.5703125" customWidth="1"/>
    <col min="7166" max="7166" width="13.28515625" customWidth="1"/>
    <col min="7167" max="7167" width="16" bestFit="1" customWidth="1"/>
    <col min="7398" max="7398" width="0.85546875" customWidth="1"/>
    <col min="7399" max="7399" width="3.28515625" customWidth="1"/>
    <col min="7400" max="7400" width="37.7109375" customWidth="1"/>
    <col min="7401" max="7401" width="12.140625" customWidth="1"/>
    <col min="7402" max="7402" width="11" customWidth="1"/>
    <col min="7403" max="7403" width="12.5703125" customWidth="1"/>
    <col min="7404" max="7404" width="2" customWidth="1"/>
    <col min="7405" max="7406" width="12.5703125" customWidth="1"/>
    <col min="7407" max="7407" width="2.42578125" customWidth="1"/>
    <col min="7408" max="7408" width="3" customWidth="1"/>
    <col min="7409" max="7409" width="11.7109375" customWidth="1"/>
    <col min="7410" max="7411" width="11.85546875" customWidth="1"/>
    <col min="7412" max="7412" width="1.5703125" customWidth="1"/>
    <col min="7413" max="7413" width="12.140625" customWidth="1"/>
    <col min="7414" max="7414" width="9.42578125" customWidth="1"/>
    <col min="7415" max="7415" width="1.42578125" customWidth="1"/>
    <col min="7416" max="7416" width="1.85546875" customWidth="1"/>
    <col min="7417" max="7417" width="12.85546875" customWidth="1"/>
    <col min="7418" max="7418" width="12.140625" customWidth="1"/>
    <col min="7419" max="7419" width="12.7109375" customWidth="1"/>
    <col min="7420" max="7420" width="12.140625" customWidth="1"/>
    <col min="7421" max="7421" width="12.5703125" customWidth="1"/>
    <col min="7422" max="7422" width="13.28515625" customWidth="1"/>
    <col min="7423" max="7423" width="16" bestFit="1" customWidth="1"/>
    <col min="7654" max="7654" width="0.85546875" customWidth="1"/>
    <col min="7655" max="7655" width="3.28515625" customWidth="1"/>
    <col min="7656" max="7656" width="37.7109375" customWidth="1"/>
    <col min="7657" max="7657" width="12.140625" customWidth="1"/>
    <col min="7658" max="7658" width="11" customWidth="1"/>
    <col min="7659" max="7659" width="12.5703125" customWidth="1"/>
    <col min="7660" max="7660" width="2" customWidth="1"/>
    <col min="7661" max="7662" width="12.5703125" customWidth="1"/>
    <col min="7663" max="7663" width="2.42578125" customWidth="1"/>
    <col min="7664" max="7664" width="3" customWidth="1"/>
    <col min="7665" max="7665" width="11.7109375" customWidth="1"/>
    <col min="7666" max="7667" width="11.85546875" customWidth="1"/>
    <col min="7668" max="7668" width="1.5703125" customWidth="1"/>
    <col min="7669" max="7669" width="12.140625" customWidth="1"/>
    <col min="7670" max="7670" width="9.42578125" customWidth="1"/>
    <col min="7671" max="7671" width="1.42578125" customWidth="1"/>
    <col min="7672" max="7672" width="1.85546875" customWidth="1"/>
    <col min="7673" max="7673" width="12.85546875" customWidth="1"/>
    <col min="7674" max="7674" width="12.140625" customWidth="1"/>
    <col min="7675" max="7675" width="12.7109375" customWidth="1"/>
    <col min="7676" max="7676" width="12.140625" customWidth="1"/>
    <col min="7677" max="7677" width="12.5703125" customWidth="1"/>
    <col min="7678" max="7678" width="13.28515625" customWidth="1"/>
    <col min="7679" max="7679" width="16" bestFit="1" customWidth="1"/>
    <col min="7910" max="7910" width="0.85546875" customWidth="1"/>
    <col min="7911" max="7911" width="3.28515625" customWidth="1"/>
    <col min="7912" max="7912" width="37.7109375" customWidth="1"/>
    <col min="7913" max="7913" width="12.140625" customWidth="1"/>
    <col min="7914" max="7914" width="11" customWidth="1"/>
    <col min="7915" max="7915" width="12.5703125" customWidth="1"/>
    <col min="7916" max="7916" width="2" customWidth="1"/>
    <col min="7917" max="7918" width="12.5703125" customWidth="1"/>
    <col min="7919" max="7919" width="2.42578125" customWidth="1"/>
    <col min="7920" max="7920" width="3" customWidth="1"/>
    <col min="7921" max="7921" width="11.7109375" customWidth="1"/>
    <col min="7922" max="7923" width="11.85546875" customWidth="1"/>
    <col min="7924" max="7924" width="1.5703125" customWidth="1"/>
    <col min="7925" max="7925" width="12.140625" customWidth="1"/>
    <col min="7926" max="7926" width="9.42578125" customWidth="1"/>
    <col min="7927" max="7927" width="1.42578125" customWidth="1"/>
    <col min="7928" max="7928" width="1.85546875" customWidth="1"/>
    <col min="7929" max="7929" width="12.85546875" customWidth="1"/>
    <col min="7930" max="7930" width="12.140625" customWidth="1"/>
    <col min="7931" max="7931" width="12.7109375" customWidth="1"/>
    <col min="7932" max="7932" width="12.140625" customWidth="1"/>
    <col min="7933" max="7933" width="12.5703125" customWidth="1"/>
    <col min="7934" max="7934" width="13.28515625" customWidth="1"/>
    <col min="7935" max="7935" width="16" bestFit="1" customWidth="1"/>
    <col min="8166" max="8166" width="0.85546875" customWidth="1"/>
    <col min="8167" max="8167" width="3.28515625" customWidth="1"/>
    <col min="8168" max="8168" width="37.7109375" customWidth="1"/>
    <col min="8169" max="8169" width="12.140625" customWidth="1"/>
    <col min="8170" max="8170" width="11" customWidth="1"/>
    <col min="8171" max="8171" width="12.5703125" customWidth="1"/>
    <col min="8172" max="8172" width="2" customWidth="1"/>
    <col min="8173" max="8174" width="12.5703125" customWidth="1"/>
    <col min="8175" max="8175" width="2.42578125" customWidth="1"/>
    <col min="8176" max="8176" width="3" customWidth="1"/>
    <col min="8177" max="8177" width="11.7109375" customWidth="1"/>
    <col min="8178" max="8179" width="11.85546875" customWidth="1"/>
    <col min="8180" max="8180" width="1.5703125" customWidth="1"/>
    <col min="8181" max="8181" width="12.140625" customWidth="1"/>
    <col min="8182" max="8182" width="9.42578125" customWidth="1"/>
    <col min="8183" max="8183" width="1.42578125" customWidth="1"/>
    <col min="8184" max="8184" width="1.85546875" customWidth="1"/>
    <col min="8185" max="8185" width="12.85546875" customWidth="1"/>
    <col min="8186" max="8186" width="12.140625" customWidth="1"/>
    <col min="8187" max="8187" width="12.7109375" customWidth="1"/>
    <col min="8188" max="8188" width="12.140625" customWidth="1"/>
    <col min="8189" max="8189" width="12.5703125" customWidth="1"/>
    <col min="8190" max="8190" width="13.28515625" customWidth="1"/>
    <col min="8191" max="8191" width="16" bestFit="1" customWidth="1"/>
    <col min="8422" max="8422" width="0.85546875" customWidth="1"/>
    <col min="8423" max="8423" width="3.28515625" customWidth="1"/>
    <col min="8424" max="8424" width="37.7109375" customWidth="1"/>
    <col min="8425" max="8425" width="12.140625" customWidth="1"/>
    <col min="8426" max="8426" width="11" customWidth="1"/>
    <col min="8427" max="8427" width="12.5703125" customWidth="1"/>
    <col min="8428" max="8428" width="2" customWidth="1"/>
    <col min="8429" max="8430" width="12.5703125" customWidth="1"/>
    <col min="8431" max="8431" width="2.42578125" customWidth="1"/>
    <col min="8432" max="8432" width="3" customWidth="1"/>
    <col min="8433" max="8433" width="11.7109375" customWidth="1"/>
    <col min="8434" max="8435" width="11.85546875" customWidth="1"/>
    <col min="8436" max="8436" width="1.5703125" customWidth="1"/>
    <col min="8437" max="8437" width="12.140625" customWidth="1"/>
    <col min="8438" max="8438" width="9.42578125" customWidth="1"/>
    <col min="8439" max="8439" width="1.42578125" customWidth="1"/>
    <col min="8440" max="8440" width="1.85546875" customWidth="1"/>
    <col min="8441" max="8441" width="12.85546875" customWidth="1"/>
    <col min="8442" max="8442" width="12.140625" customWidth="1"/>
    <col min="8443" max="8443" width="12.7109375" customWidth="1"/>
    <col min="8444" max="8444" width="12.140625" customWidth="1"/>
    <col min="8445" max="8445" width="12.5703125" customWidth="1"/>
    <col min="8446" max="8446" width="13.28515625" customWidth="1"/>
    <col min="8447" max="8447" width="16" bestFit="1" customWidth="1"/>
    <col min="8678" max="8678" width="0.85546875" customWidth="1"/>
    <col min="8679" max="8679" width="3.28515625" customWidth="1"/>
    <col min="8680" max="8680" width="37.7109375" customWidth="1"/>
    <col min="8681" max="8681" width="12.140625" customWidth="1"/>
    <col min="8682" max="8682" width="11" customWidth="1"/>
    <col min="8683" max="8683" width="12.5703125" customWidth="1"/>
    <col min="8684" max="8684" width="2" customWidth="1"/>
    <col min="8685" max="8686" width="12.5703125" customWidth="1"/>
    <col min="8687" max="8687" width="2.42578125" customWidth="1"/>
    <col min="8688" max="8688" width="3" customWidth="1"/>
    <col min="8689" max="8689" width="11.7109375" customWidth="1"/>
    <col min="8690" max="8691" width="11.85546875" customWidth="1"/>
    <col min="8692" max="8692" width="1.5703125" customWidth="1"/>
    <col min="8693" max="8693" width="12.140625" customWidth="1"/>
    <col min="8694" max="8694" width="9.42578125" customWidth="1"/>
    <col min="8695" max="8695" width="1.42578125" customWidth="1"/>
    <col min="8696" max="8696" width="1.85546875" customWidth="1"/>
    <col min="8697" max="8697" width="12.85546875" customWidth="1"/>
    <col min="8698" max="8698" width="12.140625" customWidth="1"/>
    <col min="8699" max="8699" width="12.7109375" customWidth="1"/>
    <col min="8700" max="8700" width="12.140625" customWidth="1"/>
    <col min="8701" max="8701" width="12.5703125" customWidth="1"/>
    <col min="8702" max="8702" width="13.28515625" customWidth="1"/>
    <col min="8703" max="8703" width="16" bestFit="1" customWidth="1"/>
    <col min="8934" max="8934" width="0.85546875" customWidth="1"/>
    <col min="8935" max="8935" width="3.28515625" customWidth="1"/>
    <col min="8936" max="8936" width="37.7109375" customWidth="1"/>
    <col min="8937" max="8937" width="12.140625" customWidth="1"/>
    <col min="8938" max="8938" width="11" customWidth="1"/>
    <col min="8939" max="8939" width="12.5703125" customWidth="1"/>
    <col min="8940" max="8940" width="2" customWidth="1"/>
    <col min="8941" max="8942" width="12.5703125" customWidth="1"/>
    <col min="8943" max="8943" width="2.42578125" customWidth="1"/>
    <col min="8944" max="8944" width="3" customWidth="1"/>
    <col min="8945" max="8945" width="11.7109375" customWidth="1"/>
    <col min="8946" max="8947" width="11.85546875" customWidth="1"/>
    <col min="8948" max="8948" width="1.5703125" customWidth="1"/>
    <col min="8949" max="8949" width="12.140625" customWidth="1"/>
    <col min="8950" max="8950" width="9.42578125" customWidth="1"/>
    <col min="8951" max="8951" width="1.42578125" customWidth="1"/>
    <col min="8952" max="8952" width="1.85546875" customWidth="1"/>
    <col min="8953" max="8953" width="12.85546875" customWidth="1"/>
    <col min="8954" max="8954" width="12.140625" customWidth="1"/>
    <col min="8955" max="8955" width="12.7109375" customWidth="1"/>
    <col min="8956" max="8956" width="12.140625" customWidth="1"/>
    <col min="8957" max="8957" width="12.5703125" customWidth="1"/>
    <col min="8958" max="8958" width="13.28515625" customWidth="1"/>
    <col min="8959" max="8959" width="16" bestFit="1" customWidth="1"/>
    <col min="9190" max="9190" width="0.85546875" customWidth="1"/>
    <col min="9191" max="9191" width="3.28515625" customWidth="1"/>
    <col min="9192" max="9192" width="37.7109375" customWidth="1"/>
    <col min="9193" max="9193" width="12.140625" customWidth="1"/>
    <col min="9194" max="9194" width="11" customWidth="1"/>
    <col min="9195" max="9195" width="12.5703125" customWidth="1"/>
    <col min="9196" max="9196" width="2" customWidth="1"/>
    <col min="9197" max="9198" width="12.5703125" customWidth="1"/>
    <col min="9199" max="9199" width="2.42578125" customWidth="1"/>
    <col min="9200" max="9200" width="3" customWidth="1"/>
    <col min="9201" max="9201" width="11.7109375" customWidth="1"/>
    <col min="9202" max="9203" width="11.85546875" customWidth="1"/>
    <col min="9204" max="9204" width="1.5703125" customWidth="1"/>
    <col min="9205" max="9205" width="12.140625" customWidth="1"/>
    <col min="9206" max="9206" width="9.42578125" customWidth="1"/>
    <col min="9207" max="9207" width="1.42578125" customWidth="1"/>
    <col min="9208" max="9208" width="1.85546875" customWidth="1"/>
    <col min="9209" max="9209" width="12.85546875" customWidth="1"/>
    <col min="9210" max="9210" width="12.140625" customWidth="1"/>
    <col min="9211" max="9211" width="12.7109375" customWidth="1"/>
    <col min="9212" max="9212" width="12.140625" customWidth="1"/>
    <col min="9213" max="9213" width="12.5703125" customWidth="1"/>
    <col min="9214" max="9214" width="13.28515625" customWidth="1"/>
    <col min="9215" max="9215" width="16" bestFit="1" customWidth="1"/>
    <col min="9446" max="9446" width="0.85546875" customWidth="1"/>
    <col min="9447" max="9447" width="3.28515625" customWidth="1"/>
    <col min="9448" max="9448" width="37.7109375" customWidth="1"/>
    <col min="9449" max="9449" width="12.140625" customWidth="1"/>
    <col min="9450" max="9450" width="11" customWidth="1"/>
    <col min="9451" max="9451" width="12.5703125" customWidth="1"/>
    <col min="9452" max="9452" width="2" customWidth="1"/>
    <col min="9453" max="9454" width="12.5703125" customWidth="1"/>
    <col min="9455" max="9455" width="2.42578125" customWidth="1"/>
    <col min="9456" max="9456" width="3" customWidth="1"/>
    <col min="9457" max="9457" width="11.7109375" customWidth="1"/>
    <col min="9458" max="9459" width="11.85546875" customWidth="1"/>
    <col min="9460" max="9460" width="1.5703125" customWidth="1"/>
    <col min="9461" max="9461" width="12.140625" customWidth="1"/>
    <col min="9462" max="9462" width="9.42578125" customWidth="1"/>
    <col min="9463" max="9463" width="1.42578125" customWidth="1"/>
    <col min="9464" max="9464" width="1.85546875" customWidth="1"/>
    <col min="9465" max="9465" width="12.85546875" customWidth="1"/>
    <col min="9466" max="9466" width="12.140625" customWidth="1"/>
    <col min="9467" max="9467" width="12.7109375" customWidth="1"/>
    <col min="9468" max="9468" width="12.140625" customWidth="1"/>
    <col min="9469" max="9469" width="12.5703125" customWidth="1"/>
    <col min="9470" max="9470" width="13.28515625" customWidth="1"/>
    <col min="9471" max="9471" width="16" bestFit="1" customWidth="1"/>
    <col min="9702" max="9702" width="0.85546875" customWidth="1"/>
    <col min="9703" max="9703" width="3.28515625" customWidth="1"/>
    <col min="9704" max="9704" width="37.7109375" customWidth="1"/>
    <col min="9705" max="9705" width="12.140625" customWidth="1"/>
    <col min="9706" max="9706" width="11" customWidth="1"/>
    <col min="9707" max="9707" width="12.5703125" customWidth="1"/>
    <col min="9708" max="9708" width="2" customWidth="1"/>
    <col min="9709" max="9710" width="12.5703125" customWidth="1"/>
    <col min="9711" max="9711" width="2.42578125" customWidth="1"/>
    <col min="9712" max="9712" width="3" customWidth="1"/>
    <col min="9713" max="9713" width="11.7109375" customWidth="1"/>
    <col min="9714" max="9715" width="11.85546875" customWidth="1"/>
    <col min="9716" max="9716" width="1.5703125" customWidth="1"/>
    <col min="9717" max="9717" width="12.140625" customWidth="1"/>
    <col min="9718" max="9718" width="9.42578125" customWidth="1"/>
    <col min="9719" max="9719" width="1.42578125" customWidth="1"/>
    <col min="9720" max="9720" width="1.85546875" customWidth="1"/>
    <col min="9721" max="9721" width="12.85546875" customWidth="1"/>
    <col min="9722" max="9722" width="12.140625" customWidth="1"/>
    <col min="9723" max="9723" width="12.7109375" customWidth="1"/>
    <col min="9724" max="9724" width="12.140625" customWidth="1"/>
    <col min="9725" max="9725" width="12.5703125" customWidth="1"/>
    <col min="9726" max="9726" width="13.28515625" customWidth="1"/>
    <col min="9727" max="9727" width="16" bestFit="1" customWidth="1"/>
    <col min="9958" max="9958" width="0.85546875" customWidth="1"/>
    <col min="9959" max="9959" width="3.28515625" customWidth="1"/>
    <col min="9960" max="9960" width="37.7109375" customWidth="1"/>
    <col min="9961" max="9961" width="12.140625" customWidth="1"/>
    <col min="9962" max="9962" width="11" customWidth="1"/>
    <col min="9963" max="9963" width="12.5703125" customWidth="1"/>
    <col min="9964" max="9964" width="2" customWidth="1"/>
    <col min="9965" max="9966" width="12.5703125" customWidth="1"/>
    <col min="9967" max="9967" width="2.42578125" customWidth="1"/>
    <col min="9968" max="9968" width="3" customWidth="1"/>
    <col min="9969" max="9969" width="11.7109375" customWidth="1"/>
    <col min="9970" max="9971" width="11.85546875" customWidth="1"/>
    <col min="9972" max="9972" width="1.5703125" customWidth="1"/>
    <col min="9973" max="9973" width="12.140625" customWidth="1"/>
    <col min="9974" max="9974" width="9.42578125" customWidth="1"/>
    <col min="9975" max="9975" width="1.42578125" customWidth="1"/>
    <col min="9976" max="9976" width="1.85546875" customWidth="1"/>
    <col min="9977" max="9977" width="12.85546875" customWidth="1"/>
    <col min="9978" max="9978" width="12.140625" customWidth="1"/>
    <col min="9979" max="9979" width="12.7109375" customWidth="1"/>
    <col min="9980" max="9980" width="12.140625" customWidth="1"/>
    <col min="9981" max="9981" width="12.5703125" customWidth="1"/>
    <col min="9982" max="9982" width="13.28515625" customWidth="1"/>
    <col min="9983" max="9983" width="16" bestFit="1" customWidth="1"/>
    <col min="10214" max="10214" width="0.85546875" customWidth="1"/>
    <col min="10215" max="10215" width="3.28515625" customWidth="1"/>
    <col min="10216" max="10216" width="37.7109375" customWidth="1"/>
    <col min="10217" max="10217" width="12.140625" customWidth="1"/>
    <col min="10218" max="10218" width="11" customWidth="1"/>
    <col min="10219" max="10219" width="12.5703125" customWidth="1"/>
    <col min="10220" max="10220" width="2" customWidth="1"/>
    <col min="10221" max="10222" width="12.5703125" customWidth="1"/>
    <col min="10223" max="10223" width="2.42578125" customWidth="1"/>
    <col min="10224" max="10224" width="3" customWidth="1"/>
    <col min="10225" max="10225" width="11.7109375" customWidth="1"/>
    <col min="10226" max="10227" width="11.85546875" customWidth="1"/>
    <col min="10228" max="10228" width="1.5703125" customWidth="1"/>
    <col min="10229" max="10229" width="12.140625" customWidth="1"/>
    <col min="10230" max="10230" width="9.42578125" customWidth="1"/>
    <col min="10231" max="10231" width="1.42578125" customWidth="1"/>
    <col min="10232" max="10232" width="1.85546875" customWidth="1"/>
    <col min="10233" max="10233" width="12.85546875" customWidth="1"/>
    <col min="10234" max="10234" width="12.140625" customWidth="1"/>
    <col min="10235" max="10235" width="12.7109375" customWidth="1"/>
    <col min="10236" max="10236" width="12.140625" customWidth="1"/>
    <col min="10237" max="10237" width="12.5703125" customWidth="1"/>
    <col min="10238" max="10238" width="13.28515625" customWidth="1"/>
    <col min="10239" max="10239" width="16" bestFit="1" customWidth="1"/>
    <col min="10470" max="10470" width="0.85546875" customWidth="1"/>
    <col min="10471" max="10471" width="3.28515625" customWidth="1"/>
    <col min="10472" max="10472" width="37.7109375" customWidth="1"/>
    <col min="10473" max="10473" width="12.140625" customWidth="1"/>
    <col min="10474" max="10474" width="11" customWidth="1"/>
    <col min="10475" max="10475" width="12.5703125" customWidth="1"/>
    <col min="10476" max="10476" width="2" customWidth="1"/>
    <col min="10477" max="10478" width="12.5703125" customWidth="1"/>
    <col min="10479" max="10479" width="2.42578125" customWidth="1"/>
    <col min="10480" max="10480" width="3" customWidth="1"/>
    <col min="10481" max="10481" width="11.7109375" customWidth="1"/>
    <col min="10482" max="10483" width="11.85546875" customWidth="1"/>
    <col min="10484" max="10484" width="1.5703125" customWidth="1"/>
    <col min="10485" max="10485" width="12.140625" customWidth="1"/>
    <col min="10486" max="10486" width="9.42578125" customWidth="1"/>
    <col min="10487" max="10487" width="1.42578125" customWidth="1"/>
    <col min="10488" max="10488" width="1.85546875" customWidth="1"/>
    <col min="10489" max="10489" width="12.85546875" customWidth="1"/>
    <col min="10490" max="10490" width="12.140625" customWidth="1"/>
    <col min="10491" max="10491" width="12.7109375" customWidth="1"/>
    <col min="10492" max="10492" width="12.140625" customWidth="1"/>
    <col min="10493" max="10493" width="12.5703125" customWidth="1"/>
    <col min="10494" max="10494" width="13.28515625" customWidth="1"/>
    <col min="10495" max="10495" width="16" bestFit="1" customWidth="1"/>
    <col min="10726" max="10726" width="0.85546875" customWidth="1"/>
    <col min="10727" max="10727" width="3.28515625" customWidth="1"/>
    <col min="10728" max="10728" width="37.7109375" customWidth="1"/>
    <col min="10729" max="10729" width="12.140625" customWidth="1"/>
    <col min="10730" max="10730" width="11" customWidth="1"/>
    <col min="10731" max="10731" width="12.5703125" customWidth="1"/>
    <col min="10732" max="10732" width="2" customWidth="1"/>
    <col min="10733" max="10734" width="12.5703125" customWidth="1"/>
    <col min="10735" max="10735" width="2.42578125" customWidth="1"/>
    <col min="10736" max="10736" width="3" customWidth="1"/>
    <col min="10737" max="10737" width="11.7109375" customWidth="1"/>
    <col min="10738" max="10739" width="11.85546875" customWidth="1"/>
    <col min="10740" max="10740" width="1.5703125" customWidth="1"/>
    <col min="10741" max="10741" width="12.140625" customWidth="1"/>
    <col min="10742" max="10742" width="9.42578125" customWidth="1"/>
    <col min="10743" max="10743" width="1.42578125" customWidth="1"/>
    <col min="10744" max="10744" width="1.85546875" customWidth="1"/>
    <col min="10745" max="10745" width="12.85546875" customWidth="1"/>
    <col min="10746" max="10746" width="12.140625" customWidth="1"/>
    <col min="10747" max="10747" width="12.7109375" customWidth="1"/>
    <col min="10748" max="10748" width="12.140625" customWidth="1"/>
    <col min="10749" max="10749" width="12.5703125" customWidth="1"/>
    <col min="10750" max="10750" width="13.28515625" customWidth="1"/>
    <col min="10751" max="10751" width="16" bestFit="1" customWidth="1"/>
    <col min="10982" max="10982" width="0.85546875" customWidth="1"/>
    <col min="10983" max="10983" width="3.28515625" customWidth="1"/>
    <col min="10984" max="10984" width="37.7109375" customWidth="1"/>
    <col min="10985" max="10985" width="12.140625" customWidth="1"/>
    <col min="10986" max="10986" width="11" customWidth="1"/>
    <col min="10987" max="10987" width="12.5703125" customWidth="1"/>
    <col min="10988" max="10988" width="2" customWidth="1"/>
    <col min="10989" max="10990" width="12.5703125" customWidth="1"/>
    <col min="10991" max="10991" width="2.42578125" customWidth="1"/>
    <col min="10992" max="10992" width="3" customWidth="1"/>
    <col min="10993" max="10993" width="11.7109375" customWidth="1"/>
    <col min="10994" max="10995" width="11.85546875" customWidth="1"/>
    <col min="10996" max="10996" width="1.5703125" customWidth="1"/>
    <col min="10997" max="10997" width="12.140625" customWidth="1"/>
    <col min="10998" max="10998" width="9.42578125" customWidth="1"/>
    <col min="10999" max="10999" width="1.42578125" customWidth="1"/>
    <col min="11000" max="11000" width="1.85546875" customWidth="1"/>
    <col min="11001" max="11001" width="12.85546875" customWidth="1"/>
    <col min="11002" max="11002" width="12.140625" customWidth="1"/>
    <col min="11003" max="11003" width="12.7109375" customWidth="1"/>
    <col min="11004" max="11004" width="12.140625" customWidth="1"/>
    <col min="11005" max="11005" width="12.5703125" customWidth="1"/>
    <col min="11006" max="11006" width="13.28515625" customWidth="1"/>
    <col min="11007" max="11007" width="16" bestFit="1" customWidth="1"/>
    <col min="11238" max="11238" width="0.85546875" customWidth="1"/>
    <col min="11239" max="11239" width="3.28515625" customWidth="1"/>
    <col min="11240" max="11240" width="37.7109375" customWidth="1"/>
    <col min="11241" max="11241" width="12.140625" customWidth="1"/>
    <col min="11242" max="11242" width="11" customWidth="1"/>
    <col min="11243" max="11243" width="12.5703125" customWidth="1"/>
    <col min="11244" max="11244" width="2" customWidth="1"/>
    <col min="11245" max="11246" width="12.5703125" customWidth="1"/>
    <col min="11247" max="11247" width="2.42578125" customWidth="1"/>
    <col min="11248" max="11248" width="3" customWidth="1"/>
    <col min="11249" max="11249" width="11.7109375" customWidth="1"/>
    <col min="11250" max="11251" width="11.85546875" customWidth="1"/>
    <col min="11252" max="11252" width="1.5703125" customWidth="1"/>
    <col min="11253" max="11253" width="12.140625" customWidth="1"/>
    <col min="11254" max="11254" width="9.42578125" customWidth="1"/>
    <col min="11255" max="11255" width="1.42578125" customWidth="1"/>
    <col min="11256" max="11256" width="1.85546875" customWidth="1"/>
    <col min="11257" max="11257" width="12.85546875" customWidth="1"/>
    <col min="11258" max="11258" width="12.140625" customWidth="1"/>
    <col min="11259" max="11259" width="12.7109375" customWidth="1"/>
    <col min="11260" max="11260" width="12.140625" customWidth="1"/>
    <col min="11261" max="11261" width="12.5703125" customWidth="1"/>
    <col min="11262" max="11262" width="13.28515625" customWidth="1"/>
    <col min="11263" max="11263" width="16" bestFit="1" customWidth="1"/>
    <col min="11494" max="11494" width="0.85546875" customWidth="1"/>
    <col min="11495" max="11495" width="3.28515625" customWidth="1"/>
    <col min="11496" max="11496" width="37.7109375" customWidth="1"/>
    <col min="11497" max="11497" width="12.140625" customWidth="1"/>
    <col min="11498" max="11498" width="11" customWidth="1"/>
    <col min="11499" max="11499" width="12.5703125" customWidth="1"/>
    <col min="11500" max="11500" width="2" customWidth="1"/>
    <col min="11501" max="11502" width="12.5703125" customWidth="1"/>
    <col min="11503" max="11503" width="2.42578125" customWidth="1"/>
    <col min="11504" max="11504" width="3" customWidth="1"/>
    <col min="11505" max="11505" width="11.7109375" customWidth="1"/>
    <col min="11506" max="11507" width="11.85546875" customWidth="1"/>
    <col min="11508" max="11508" width="1.5703125" customWidth="1"/>
    <col min="11509" max="11509" width="12.140625" customWidth="1"/>
    <col min="11510" max="11510" width="9.42578125" customWidth="1"/>
    <col min="11511" max="11511" width="1.42578125" customWidth="1"/>
    <col min="11512" max="11512" width="1.85546875" customWidth="1"/>
    <col min="11513" max="11513" width="12.85546875" customWidth="1"/>
    <col min="11514" max="11514" width="12.140625" customWidth="1"/>
    <col min="11515" max="11515" width="12.7109375" customWidth="1"/>
    <col min="11516" max="11516" width="12.140625" customWidth="1"/>
    <col min="11517" max="11517" width="12.5703125" customWidth="1"/>
    <col min="11518" max="11518" width="13.28515625" customWidth="1"/>
    <col min="11519" max="11519" width="16" bestFit="1" customWidth="1"/>
    <col min="11750" max="11750" width="0.85546875" customWidth="1"/>
    <col min="11751" max="11751" width="3.28515625" customWidth="1"/>
    <col min="11752" max="11752" width="37.7109375" customWidth="1"/>
    <col min="11753" max="11753" width="12.140625" customWidth="1"/>
    <col min="11754" max="11754" width="11" customWidth="1"/>
    <col min="11755" max="11755" width="12.5703125" customWidth="1"/>
    <col min="11756" max="11756" width="2" customWidth="1"/>
    <col min="11757" max="11758" width="12.5703125" customWidth="1"/>
    <col min="11759" max="11759" width="2.42578125" customWidth="1"/>
    <col min="11760" max="11760" width="3" customWidth="1"/>
    <col min="11761" max="11761" width="11.7109375" customWidth="1"/>
    <col min="11762" max="11763" width="11.85546875" customWidth="1"/>
    <col min="11764" max="11764" width="1.5703125" customWidth="1"/>
    <col min="11765" max="11765" width="12.140625" customWidth="1"/>
    <col min="11766" max="11766" width="9.42578125" customWidth="1"/>
    <col min="11767" max="11767" width="1.42578125" customWidth="1"/>
    <col min="11768" max="11768" width="1.85546875" customWidth="1"/>
    <col min="11769" max="11769" width="12.85546875" customWidth="1"/>
    <col min="11770" max="11770" width="12.140625" customWidth="1"/>
    <col min="11771" max="11771" width="12.7109375" customWidth="1"/>
    <col min="11772" max="11772" width="12.140625" customWidth="1"/>
    <col min="11773" max="11773" width="12.5703125" customWidth="1"/>
    <col min="11774" max="11774" width="13.28515625" customWidth="1"/>
    <col min="11775" max="11775" width="16" bestFit="1" customWidth="1"/>
    <col min="12006" max="12006" width="0.85546875" customWidth="1"/>
    <col min="12007" max="12007" width="3.28515625" customWidth="1"/>
    <col min="12008" max="12008" width="37.7109375" customWidth="1"/>
    <col min="12009" max="12009" width="12.140625" customWidth="1"/>
    <col min="12010" max="12010" width="11" customWidth="1"/>
    <col min="12011" max="12011" width="12.5703125" customWidth="1"/>
    <col min="12012" max="12012" width="2" customWidth="1"/>
    <col min="12013" max="12014" width="12.5703125" customWidth="1"/>
    <col min="12015" max="12015" width="2.42578125" customWidth="1"/>
    <col min="12016" max="12016" width="3" customWidth="1"/>
    <col min="12017" max="12017" width="11.7109375" customWidth="1"/>
    <col min="12018" max="12019" width="11.85546875" customWidth="1"/>
    <col min="12020" max="12020" width="1.5703125" customWidth="1"/>
    <col min="12021" max="12021" width="12.140625" customWidth="1"/>
    <col min="12022" max="12022" width="9.42578125" customWidth="1"/>
    <col min="12023" max="12023" width="1.42578125" customWidth="1"/>
    <col min="12024" max="12024" width="1.85546875" customWidth="1"/>
    <col min="12025" max="12025" width="12.85546875" customWidth="1"/>
    <col min="12026" max="12026" width="12.140625" customWidth="1"/>
    <col min="12027" max="12027" width="12.7109375" customWidth="1"/>
    <col min="12028" max="12028" width="12.140625" customWidth="1"/>
    <col min="12029" max="12029" width="12.5703125" customWidth="1"/>
    <col min="12030" max="12030" width="13.28515625" customWidth="1"/>
    <col min="12031" max="12031" width="16" bestFit="1" customWidth="1"/>
    <col min="12262" max="12262" width="0.85546875" customWidth="1"/>
    <col min="12263" max="12263" width="3.28515625" customWidth="1"/>
    <col min="12264" max="12264" width="37.7109375" customWidth="1"/>
    <col min="12265" max="12265" width="12.140625" customWidth="1"/>
    <col min="12266" max="12266" width="11" customWidth="1"/>
    <col min="12267" max="12267" width="12.5703125" customWidth="1"/>
    <col min="12268" max="12268" width="2" customWidth="1"/>
    <col min="12269" max="12270" width="12.5703125" customWidth="1"/>
    <col min="12271" max="12271" width="2.42578125" customWidth="1"/>
    <col min="12272" max="12272" width="3" customWidth="1"/>
    <col min="12273" max="12273" width="11.7109375" customWidth="1"/>
    <col min="12274" max="12275" width="11.85546875" customWidth="1"/>
    <col min="12276" max="12276" width="1.5703125" customWidth="1"/>
    <col min="12277" max="12277" width="12.140625" customWidth="1"/>
    <col min="12278" max="12278" width="9.42578125" customWidth="1"/>
    <col min="12279" max="12279" width="1.42578125" customWidth="1"/>
    <col min="12280" max="12280" width="1.85546875" customWidth="1"/>
    <col min="12281" max="12281" width="12.85546875" customWidth="1"/>
    <col min="12282" max="12282" width="12.140625" customWidth="1"/>
    <col min="12283" max="12283" width="12.7109375" customWidth="1"/>
    <col min="12284" max="12284" width="12.140625" customWidth="1"/>
    <col min="12285" max="12285" width="12.5703125" customWidth="1"/>
    <col min="12286" max="12286" width="13.28515625" customWidth="1"/>
    <col min="12287" max="12287" width="16" bestFit="1" customWidth="1"/>
    <col min="12518" max="12518" width="0.85546875" customWidth="1"/>
    <col min="12519" max="12519" width="3.28515625" customWidth="1"/>
    <col min="12520" max="12520" width="37.7109375" customWidth="1"/>
    <col min="12521" max="12521" width="12.140625" customWidth="1"/>
    <col min="12522" max="12522" width="11" customWidth="1"/>
    <col min="12523" max="12523" width="12.5703125" customWidth="1"/>
    <col min="12524" max="12524" width="2" customWidth="1"/>
    <col min="12525" max="12526" width="12.5703125" customWidth="1"/>
    <col min="12527" max="12527" width="2.42578125" customWidth="1"/>
    <col min="12528" max="12528" width="3" customWidth="1"/>
    <col min="12529" max="12529" width="11.7109375" customWidth="1"/>
    <col min="12530" max="12531" width="11.85546875" customWidth="1"/>
    <col min="12532" max="12532" width="1.5703125" customWidth="1"/>
    <col min="12533" max="12533" width="12.140625" customWidth="1"/>
    <col min="12534" max="12534" width="9.42578125" customWidth="1"/>
    <col min="12535" max="12535" width="1.42578125" customWidth="1"/>
    <col min="12536" max="12536" width="1.85546875" customWidth="1"/>
    <col min="12537" max="12537" width="12.85546875" customWidth="1"/>
    <col min="12538" max="12538" width="12.140625" customWidth="1"/>
    <col min="12539" max="12539" width="12.7109375" customWidth="1"/>
    <col min="12540" max="12540" width="12.140625" customWidth="1"/>
    <col min="12541" max="12541" width="12.5703125" customWidth="1"/>
    <col min="12542" max="12542" width="13.28515625" customWidth="1"/>
    <col min="12543" max="12543" width="16" bestFit="1" customWidth="1"/>
    <col min="12774" max="12774" width="0.85546875" customWidth="1"/>
    <col min="12775" max="12775" width="3.28515625" customWidth="1"/>
    <col min="12776" max="12776" width="37.7109375" customWidth="1"/>
    <col min="12777" max="12777" width="12.140625" customWidth="1"/>
    <col min="12778" max="12778" width="11" customWidth="1"/>
    <col min="12779" max="12779" width="12.5703125" customWidth="1"/>
    <col min="12780" max="12780" width="2" customWidth="1"/>
    <col min="12781" max="12782" width="12.5703125" customWidth="1"/>
    <col min="12783" max="12783" width="2.42578125" customWidth="1"/>
    <col min="12784" max="12784" width="3" customWidth="1"/>
    <col min="12785" max="12785" width="11.7109375" customWidth="1"/>
    <col min="12786" max="12787" width="11.85546875" customWidth="1"/>
    <col min="12788" max="12788" width="1.5703125" customWidth="1"/>
    <col min="12789" max="12789" width="12.140625" customWidth="1"/>
    <col min="12790" max="12790" width="9.42578125" customWidth="1"/>
    <col min="12791" max="12791" width="1.42578125" customWidth="1"/>
    <col min="12792" max="12792" width="1.85546875" customWidth="1"/>
    <col min="12793" max="12793" width="12.85546875" customWidth="1"/>
    <col min="12794" max="12794" width="12.140625" customWidth="1"/>
    <col min="12795" max="12795" width="12.7109375" customWidth="1"/>
    <col min="12796" max="12796" width="12.140625" customWidth="1"/>
    <col min="12797" max="12797" width="12.5703125" customWidth="1"/>
    <col min="12798" max="12798" width="13.28515625" customWidth="1"/>
    <col min="12799" max="12799" width="16" bestFit="1" customWidth="1"/>
    <col min="13030" max="13030" width="0.85546875" customWidth="1"/>
    <col min="13031" max="13031" width="3.28515625" customWidth="1"/>
    <col min="13032" max="13032" width="37.7109375" customWidth="1"/>
    <col min="13033" max="13033" width="12.140625" customWidth="1"/>
    <col min="13034" max="13034" width="11" customWidth="1"/>
    <col min="13035" max="13035" width="12.5703125" customWidth="1"/>
    <col min="13036" max="13036" width="2" customWidth="1"/>
    <col min="13037" max="13038" width="12.5703125" customWidth="1"/>
    <col min="13039" max="13039" width="2.42578125" customWidth="1"/>
    <col min="13040" max="13040" width="3" customWidth="1"/>
    <col min="13041" max="13041" width="11.7109375" customWidth="1"/>
    <col min="13042" max="13043" width="11.85546875" customWidth="1"/>
    <col min="13044" max="13044" width="1.5703125" customWidth="1"/>
    <col min="13045" max="13045" width="12.140625" customWidth="1"/>
    <col min="13046" max="13046" width="9.42578125" customWidth="1"/>
    <col min="13047" max="13047" width="1.42578125" customWidth="1"/>
    <col min="13048" max="13048" width="1.85546875" customWidth="1"/>
    <col min="13049" max="13049" width="12.85546875" customWidth="1"/>
    <col min="13050" max="13050" width="12.140625" customWidth="1"/>
    <col min="13051" max="13051" width="12.7109375" customWidth="1"/>
    <col min="13052" max="13052" width="12.140625" customWidth="1"/>
    <col min="13053" max="13053" width="12.5703125" customWidth="1"/>
    <col min="13054" max="13054" width="13.28515625" customWidth="1"/>
    <col min="13055" max="13055" width="16" bestFit="1" customWidth="1"/>
    <col min="13286" max="13286" width="0.85546875" customWidth="1"/>
    <col min="13287" max="13287" width="3.28515625" customWidth="1"/>
    <col min="13288" max="13288" width="37.7109375" customWidth="1"/>
    <col min="13289" max="13289" width="12.140625" customWidth="1"/>
    <col min="13290" max="13290" width="11" customWidth="1"/>
    <col min="13291" max="13291" width="12.5703125" customWidth="1"/>
    <col min="13292" max="13292" width="2" customWidth="1"/>
    <col min="13293" max="13294" width="12.5703125" customWidth="1"/>
    <col min="13295" max="13295" width="2.42578125" customWidth="1"/>
    <col min="13296" max="13296" width="3" customWidth="1"/>
    <col min="13297" max="13297" width="11.7109375" customWidth="1"/>
    <col min="13298" max="13299" width="11.85546875" customWidth="1"/>
    <col min="13300" max="13300" width="1.5703125" customWidth="1"/>
    <col min="13301" max="13301" width="12.140625" customWidth="1"/>
    <col min="13302" max="13302" width="9.42578125" customWidth="1"/>
    <col min="13303" max="13303" width="1.42578125" customWidth="1"/>
    <col min="13304" max="13304" width="1.85546875" customWidth="1"/>
    <col min="13305" max="13305" width="12.85546875" customWidth="1"/>
    <col min="13306" max="13306" width="12.140625" customWidth="1"/>
    <col min="13307" max="13307" width="12.7109375" customWidth="1"/>
    <col min="13308" max="13308" width="12.140625" customWidth="1"/>
    <col min="13309" max="13309" width="12.5703125" customWidth="1"/>
    <col min="13310" max="13310" width="13.28515625" customWidth="1"/>
    <col min="13311" max="13311" width="16" bestFit="1" customWidth="1"/>
    <col min="13542" max="13542" width="0.85546875" customWidth="1"/>
    <col min="13543" max="13543" width="3.28515625" customWidth="1"/>
    <col min="13544" max="13544" width="37.7109375" customWidth="1"/>
    <col min="13545" max="13545" width="12.140625" customWidth="1"/>
    <col min="13546" max="13546" width="11" customWidth="1"/>
    <col min="13547" max="13547" width="12.5703125" customWidth="1"/>
    <col min="13548" max="13548" width="2" customWidth="1"/>
    <col min="13549" max="13550" width="12.5703125" customWidth="1"/>
    <col min="13551" max="13551" width="2.42578125" customWidth="1"/>
    <col min="13552" max="13552" width="3" customWidth="1"/>
    <col min="13553" max="13553" width="11.7109375" customWidth="1"/>
    <col min="13554" max="13555" width="11.85546875" customWidth="1"/>
    <col min="13556" max="13556" width="1.5703125" customWidth="1"/>
    <col min="13557" max="13557" width="12.140625" customWidth="1"/>
    <col min="13558" max="13558" width="9.42578125" customWidth="1"/>
    <col min="13559" max="13559" width="1.42578125" customWidth="1"/>
    <col min="13560" max="13560" width="1.85546875" customWidth="1"/>
    <col min="13561" max="13561" width="12.85546875" customWidth="1"/>
    <col min="13562" max="13562" width="12.140625" customWidth="1"/>
    <col min="13563" max="13563" width="12.7109375" customWidth="1"/>
    <col min="13564" max="13564" width="12.140625" customWidth="1"/>
    <col min="13565" max="13565" width="12.5703125" customWidth="1"/>
    <col min="13566" max="13566" width="13.28515625" customWidth="1"/>
    <col min="13567" max="13567" width="16" bestFit="1" customWidth="1"/>
    <col min="13798" max="13798" width="0.85546875" customWidth="1"/>
    <col min="13799" max="13799" width="3.28515625" customWidth="1"/>
    <col min="13800" max="13800" width="37.7109375" customWidth="1"/>
    <col min="13801" max="13801" width="12.140625" customWidth="1"/>
    <col min="13802" max="13802" width="11" customWidth="1"/>
    <col min="13803" max="13803" width="12.5703125" customWidth="1"/>
    <col min="13804" max="13804" width="2" customWidth="1"/>
    <col min="13805" max="13806" width="12.5703125" customWidth="1"/>
    <col min="13807" max="13807" width="2.42578125" customWidth="1"/>
    <col min="13808" max="13808" width="3" customWidth="1"/>
    <col min="13809" max="13809" width="11.7109375" customWidth="1"/>
    <col min="13810" max="13811" width="11.85546875" customWidth="1"/>
    <col min="13812" max="13812" width="1.5703125" customWidth="1"/>
    <col min="13813" max="13813" width="12.140625" customWidth="1"/>
    <col min="13814" max="13814" width="9.42578125" customWidth="1"/>
    <col min="13815" max="13815" width="1.42578125" customWidth="1"/>
    <col min="13816" max="13816" width="1.85546875" customWidth="1"/>
    <col min="13817" max="13817" width="12.85546875" customWidth="1"/>
    <col min="13818" max="13818" width="12.140625" customWidth="1"/>
    <col min="13819" max="13819" width="12.7109375" customWidth="1"/>
    <col min="13820" max="13820" width="12.140625" customWidth="1"/>
    <col min="13821" max="13821" width="12.5703125" customWidth="1"/>
    <col min="13822" max="13822" width="13.28515625" customWidth="1"/>
    <col min="13823" max="13823" width="16" bestFit="1" customWidth="1"/>
    <col min="14054" max="14054" width="0.85546875" customWidth="1"/>
    <col min="14055" max="14055" width="3.28515625" customWidth="1"/>
    <col min="14056" max="14056" width="37.7109375" customWidth="1"/>
    <col min="14057" max="14057" width="12.140625" customWidth="1"/>
    <col min="14058" max="14058" width="11" customWidth="1"/>
    <col min="14059" max="14059" width="12.5703125" customWidth="1"/>
    <col min="14060" max="14060" width="2" customWidth="1"/>
    <col min="14061" max="14062" width="12.5703125" customWidth="1"/>
    <col min="14063" max="14063" width="2.42578125" customWidth="1"/>
    <col min="14064" max="14064" width="3" customWidth="1"/>
    <col min="14065" max="14065" width="11.7109375" customWidth="1"/>
    <col min="14066" max="14067" width="11.85546875" customWidth="1"/>
    <col min="14068" max="14068" width="1.5703125" customWidth="1"/>
    <col min="14069" max="14069" width="12.140625" customWidth="1"/>
    <col min="14070" max="14070" width="9.42578125" customWidth="1"/>
    <col min="14071" max="14071" width="1.42578125" customWidth="1"/>
    <col min="14072" max="14072" width="1.85546875" customWidth="1"/>
    <col min="14073" max="14073" width="12.85546875" customWidth="1"/>
    <col min="14074" max="14074" width="12.140625" customWidth="1"/>
    <col min="14075" max="14075" width="12.7109375" customWidth="1"/>
    <col min="14076" max="14076" width="12.140625" customWidth="1"/>
    <col min="14077" max="14077" width="12.5703125" customWidth="1"/>
    <col min="14078" max="14078" width="13.28515625" customWidth="1"/>
    <col min="14079" max="14079" width="16" bestFit="1" customWidth="1"/>
    <col min="14310" max="14310" width="0.85546875" customWidth="1"/>
    <col min="14311" max="14311" width="3.28515625" customWidth="1"/>
    <col min="14312" max="14312" width="37.7109375" customWidth="1"/>
    <col min="14313" max="14313" width="12.140625" customWidth="1"/>
    <col min="14314" max="14314" width="11" customWidth="1"/>
    <col min="14315" max="14315" width="12.5703125" customWidth="1"/>
    <col min="14316" max="14316" width="2" customWidth="1"/>
    <col min="14317" max="14318" width="12.5703125" customWidth="1"/>
    <col min="14319" max="14319" width="2.42578125" customWidth="1"/>
    <col min="14320" max="14320" width="3" customWidth="1"/>
    <col min="14321" max="14321" width="11.7109375" customWidth="1"/>
    <col min="14322" max="14323" width="11.85546875" customWidth="1"/>
    <col min="14324" max="14324" width="1.5703125" customWidth="1"/>
    <col min="14325" max="14325" width="12.140625" customWidth="1"/>
    <col min="14326" max="14326" width="9.42578125" customWidth="1"/>
    <col min="14327" max="14327" width="1.42578125" customWidth="1"/>
    <col min="14328" max="14328" width="1.85546875" customWidth="1"/>
    <col min="14329" max="14329" width="12.85546875" customWidth="1"/>
    <col min="14330" max="14330" width="12.140625" customWidth="1"/>
    <col min="14331" max="14331" width="12.7109375" customWidth="1"/>
    <col min="14332" max="14332" width="12.140625" customWidth="1"/>
    <col min="14333" max="14333" width="12.5703125" customWidth="1"/>
    <col min="14334" max="14334" width="13.28515625" customWidth="1"/>
    <col min="14335" max="14335" width="16" bestFit="1" customWidth="1"/>
    <col min="14566" max="14566" width="0.85546875" customWidth="1"/>
    <col min="14567" max="14567" width="3.28515625" customWidth="1"/>
    <col min="14568" max="14568" width="37.7109375" customWidth="1"/>
    <col min="14569" max="14569" width="12.140625" customWidth="1"/>
    <col min="14570" max="14570" width="11" customWidth="1"/>
    <col min="14571" max="14571" width="12.5703125" customWidth="1"/>
    <col min="14572" max="14572" width="2" customWidth="1"/>
    <col min="14573" max="14574" width="12.5703125" customWidth="1"/>
    <col min="14575" max="14575" width="2.42578125" customWidth="1"/>
    <col min="14576" max="14576" width="3" customWidth="1"/>
    <col min="14577" max="14577" width="11.7109375" customWidth="1"/>
    <col min="14578" max="14579" width="11.85546875" customWidth="1"/>
    <col min="14580" max="14580" width="1.5703125" customWidth="1"/>
    <col min="14581" max="14581" width="12.140625" customWidth="1"/>
    <col min="14582" max="14582" width="9.42578125" customWidth="1"/>
    <col min="14583" max="14583" width="1.42578125" customWidth="1"/>
    <col min="14584" max="14584" width="1.85546875" customWidth="1"/>
    <col min="14585" max="14585" width="12.85546875" customWidth="1"/>
    <col min="14586" max="14586" width="12.140625" customWidth="1"/>
    <col min="14587" max="14587" width="12.7109375" customWidth="1"/>
    <col min="14588" max="14588" width="12.140625" customWidth="1"/>
    <col min="14589" max="14589" width="12.5703125" customWidth="1"/>
    <col min="14590" max="14590" width="13.28515625" customWidth="1"/>
    <col min="14591" max="14591" width="16" bestFit="1" customWidth="1"/>
    <col min="14822" max="14822" width="0.85546875" customWidth="1"/>
    <col min="14823" max="14823" width="3.28515625" customWidth="1"/>
    <col min="14824" max="14824" width="37.7109375" customWidth="1"/>
    <col min="14825" max="14825" width="12.140625" customWidth="1"/>
    <col min="14826" max="14826" width="11" customWidth="1"/>
    <col min="14827" max="14827" width="12.5703125" customWidth="1"/>
    <col min="14828" max="14828" width="2" customWidth="1"/>
    <col min="14829" max="14830" width="12.5703125" customWidth="1"/>
    <col min="14831" max="14831" width="2.42578125" customWidth="1"/>
    <col min="14832" max="14832" width="3" customWidth="1"/>
    <col min="14833" max="14833" width="11.7109375" customWidth="1"/>
    <col min="14834" max="14835" width="11.85546875" customWidth="1"/>
    <col min="14836" max="14836" width="1.5703125" customWidth="1"/>
    <col min="14837" max="14837" width="12.140625" customWidth="1"/>
    <col min="14838" max="14838" width="9.42578125" customWidth="1"/>
    <col min="14839" max="14839" width="1.42578125" customWidth="1"/>
    <col min="14840" max="14840" width="1.85546875" customWidth="1"/>
    <col min="14841" max="14841" width="12.85546875" customWidth="1"/>
    <col min="14842" max="14842" width="12.140625" customWidth="1"/>
    <col min="14843" max="14843" width="12.7109375" customWidth="1"/>
    <col min="14844" max="14844" width="12.140625" customWidth="1"/>
    <col min="14845" max="14845" width="12.5703125" customWidth="1"/>
    <col min="14846" max="14846" width="13.28515625" customWidth="1"/>
    <col min="14847" max="14847" width="16" bestFit="1" customWidth="1"/>
    <col min="15078" max="15078" width="0.85546875" customWidth="1"/>
    <col min="15079" max="15079" width="3.28515625" customWidth="1"/>
    <col min="15080" max="15080" width="37.7109375" customWidth="1"/>
    <col min="15081" max="15081" width="12.140625" customWidth="1"/>
    <col min="15082" max="15082" width="11" customWidth="1"/>
    <col min="15083" max="15083" width="12.5703125" customWidth="1"/>
    <col min="15084" max="15084" width="2" customWidth="1"/>
    <col min="15085" max="15086" width="12.5703125" customWidth="1"/>
    <col min="15087" max="15087" width="2.42578125" customWidth="1"/>
    <col min="15088" max="15088" width="3" customWidth="1"/>
    <col min="15089" max="15089" width="11.7109375" customWidth="1"/>
    <col min="15090" max="15091" width="11.85546875" customWidth="1"/>
    <col min="15092" max="15092" width="1.5703125" customWidth="1"/>
    <col min="15093" max="15093" width="12.140625" customWidth="1"/>
    <col min="15094" max="15094" width="9.42578125" customWidth="1"/>
    <col min="15095" max="15095" width="1.42578125" customWidth="1"/>
    <col min="15096" max="15096" width="1.85546875" customWidth="1"/>
    <col min="15097" max="15097" width="12.85546875" customWidth="1"/>
    <col min="15098" max="15098" width="12.140625" customWidth="1"/>
    <col min="15099" max="15099" width="12.7109375" customWidth="1"/>
    <col min="15100" max="15100" width="12.140625" customWidth="1"/>
    <col min="15101" max="15101" width="12.5703125" customWidth="1"/>
    <col min="15102" max="15102" width="13.28515625" customWidth="1"/>
    <col min="15103" max="15103" width="16" bestFit="1" customWidth="1"/>
    <col min="15334" max="15334" width="0.85546875" customWidth="1"/>
    <col min="15335" max="15335" width="3.28515625" customWidth="1"/>
    <col min="15336" max="15336" width="37.7109375" customWidth="1"/>
    <col min="15337" max="15337" width="12.140625" customWidth="1"/>
    <col min="15338" max="15338" width="11" customWidth="1"/>
    <col min="15339" max="15339" width="12.5703125" customWidth="1"/>
    <col min="15340" max="15340" width="2" customWidth="1"/>
    <col min="15341" max="15342" width="12.5703125" customWidth="1"/>
    <col min="15343" max="15343" width="2.42578125" customWidth="1"/>
    <col min="15344" max="15344" width="3" customWidth="1"/>
    <col min="15345" max="15345" width="11.7109375" customWidth="1"/>
    <col min="15346" max="15347" width="11.85546875" customWidth="1"/>
    <col min="15348" max="15348" width="1.5703125" customWidth="1"/>
    <col min="15349" max="15349" width="12.140625" customWidth="1"/>
    <col min="15350" max="15350" width="9.42578125" customWidth="1"/>
    <col min="15351" max="15351" width="1.42578125" customWidth="1"/>
    <col min="15352" max="15352" width="1.85546875" customWidth="1"/>
    <col min="15353" max="15353" width="12.85546875" customWidth="1"/>
    <col min="15354" max="15354" width="12.140625" customWidth="1"/>
    <col min="15355" max="15355" width="12.7109375" customWidth="1"/>
    <col min="15356" max="15356" width="12.140625" customWidth="1"/>
    <col min="15357" max="15357" width="12.5703125" customWidth="1"/>
    <col min="15358" max="15358" width="13.28515625" customWidth="1"/>
    <col min="15359" max="15359" width="16" bestFit="1" customWidth="1"/>
    <col min="15590" max="15590" width="0.85546875" customWidth="1"/>
    <col min="15591" max="15591" width="3.28515625" customWidth="1"/>
    <col min="15592" max="15592" width="37.7109375" customWidth="1"/>
    <col min="15593" max="15593" width="12.140625" customWidth="1"/>
    <col min="15594" max="15594" width="11" customWidth="1"/>
    <col min="15595" max="15595" width="12.5703125" customWidth="1"/>
    <col min="15596" max="15596" width="2" customWidth="1"/>
    <col min="15597" max="15598" width="12.5703125" customWidth="1"/>
    <col min="15599" max="15599" width="2.42578125" customWidth="1"/>
    <col min="15600" max="15600" width="3" customWidth="1"/>
    <col min="15601" max="15601" width="11.7109375" customWidth="1"/>
    <col min="15602" max="15603" width="11.85546875" customWidth="1"/>
    <col min="15604" max="15604" width="1.5703125" customWidth="1"/>
    <col min="15605" max="15605" width="12.140625" customWidth="1"/>
    <col min="15606" max="15606" width="9.42578125" customWidth="1"/>
    <col min="15607" max="15607" width="1.42578125" customWidth="1"/>
    <col min="15608" max="15608" width="1.85546875" customWidth="1"/>
    <col min="15609" max="15609" width="12.85546875" customWidth="1"/>
    <col min="15610" max="15610" width="12.140625" customWidth="1"/>
    <col min="15611" max="15611" width="12.7109375" customWidth="1"/>
    <col min="15612" max="15612" width="12.140625" customWidth="1"/>
    <col min="15613" max="15613" width="12.5703125" customWidth="1"/>
    <col min="15614" max="15614" width="13.28515625" customWidth="1"/>
    <col min="15615" max="15615" width="16" bestFit="1" customWidth="1"/>
    <col min="15846" max="15846" width="0.85546875" customWidth="1"/>
    <col min="15847" max="15847" width="3.28515625" customWidth="1"/>
    <col min="15848" max="15848" width="37.7109375" customWidth="1"/>
    <col min="15849" max="15849" width="12.140625" customWidth="1"/>
    <col min="15850" max="15850" width="11" customWidth="1"/>
    <col min="15851" max="15851" width="12.5703125" customWidth="1"/>
    <col min="15852" max="15852" width="2" customWidth="1"/>
    <col min="15853" max="15854" width="12.5703125" customWidth="1"/>
    <col min="15855" max="15855" width="2.42578125" customWidth="1"/>
    <col min="15856" max="15856" width="3" customWidth="1"/>
    <col min="15857" max="15857" width="11.7109375" customWidth="1"/>
    <col min="15858" max="15859" width="11.85546875" customWidth="1"/>
    <col min="15860" max="15860" width="1.5703125" customWidth="1"/>
    <col min="15861" max="15861" width="12.140625" customWidth="1"/>
    <col min="15862" max="15862" width="9.42578125" customWidth="1"/>
    <col min="15863" max="15863" width="1.42578125" customWidth="1"/>
    <col min="15864" max="15864" width="1.85546875" customWidth="1"/>
    <col min="15865" max="15865" width="12.85546875" customWidth="1"/>
    <col min="15866" max="15866" width="12.140625" customWidth="1"/>
    <col min="15867" max="15867" width="12.7109375" customWidth="1"/>
    <col min="15868" max="15868" width="12.140625" customWidth="1"/>
    <col min="15869" max="15869" width="12.5703125" customWidth="1"/>
    <col min="15870" max="15870" width="13.28515625" customWidth="1"/>
    <col min="15871" max="15871" width="16" bestFit="1" customWidth="1"/>
    <col min="16102" max="16102" width="0.85546875" customWidth="1"/>
    <col min="16103" max="16103" width="3.28515625" customWidth="1"/>
    <col min="16104" max="16104" width="37.7109375" customWidth="1"/>
    <col min="16105" max="16105" width="12.140625" customWidth="1"/>
    <col min="16106" max="16106" width="11" customWidth="1"/>
    <col min="16107" max="16107" width="12.5703125" customWidth="1"/>
    <col min="16108" max="16108" width="2" customWidth="1"/>
    <col min="16109" max="16110" width="12.5703125" customWidth="1"/>
    <col min="16111" max="16111" width="2.42578125" customWidth="1"/>
    <col min="16112" max="16112" width="3" customWidth="1"/>
    <col min="16113" max="16113" width="11.7109375" customWidth="1"/>
    <col min="16114" max="16115" width="11.85546875" customWidth="1"/>
    <col min="16116" max="16116" width="1.5703125" customWidth="1"/>
    <col min="16117" max="16117" width="12.140625" customWidth="1"/>
    <col min="16118" max="16118" width="9.42578125" customWidth="1"/>
    <col min="16119" max="16119" width="1.42578125" customWidth="1"/>
    <col min="16120" max="16120" width="1.85546875" customWidth="1"/>
    <col min="16121" max="16121" width="12.85546875" customWidth="1"/>
    <col min="16122" max="16122" width="12.140625" customWidth="1"/>
    <col min="16123" max="16123" width="12.7109375" customWidth="1"/>
    <col min="16124" max="16124" width="12.140625" customWidth="1"/>
    <col min="16125" max="16125" width="12.5703125" customWidth="1"/>
    <col min="16126" max="16126" width="13.28515625" customWidth="1"/>
    <col min="16127" max="16127" width="16" bestFit="1" customWidth="1"/>
  </cols>
  <sheetData>
    <row r="2" spans="2:13" ht="36" customHeight="1" x14ac:dyDescent="0.25">
      <c r="B2" s="256"/>
      <c r="C2" s="256"/>
      <c r="D2" s="175" t="s">
        <v>561</v>
      </c>
      <c r="E2" s="176" t="s">
        <v>635</v>
      </c>
      <c r="F2" s="177" t="s">
        <v>637</v>
      </c>
      <c r="G2" s="175" t="s">
        <v>562</v>
      </c>
      <c r="H2" s="176" t="s">
        <v>635</v>
      </c>
      <c r="I2" s="177" t="s">
        <v>638</v>
      </c>
      <c r="J2" s="175" t="s">
        <v>560</v>
      </c>
      <c r="K2" s="176" t="s">
        <v>635</v>
      </c>
      <c r="L2" s="176" t="s">
        <v>639</v>
      </c>
    </row>
    <row r="3" spans="2:13" ht="6" customHeight="1" x14ac:dyDescent="0.25">
      <c r="D3" s="50"/>
      <c r="E3" s="50"/>
      <c r="F3" s="50"/>
      <c r="G3" s="50"/>
      <c r="H3" s="50"/>
      <c r="I3" s="50"/>
    </row>
    <row r="4" spans="2:13" ht="15.75" x14ac:dyDescent="0.25">
      <c r="B4" s="51">
        <v>1</v>
      </c>
      <c r="C4" s="52" t="s">
        <v>581</v>
      </c>
      <c r="D4" s="54">
        <f>Príjmy!H448</f>
        <v>38216770</v>
      </c>
      <c r="E4" s="53">
        <f>Príjmy!I448</f>
        <v>37565</v>
      </c>
      <c r="F4" s="53">
        <f>D4+E4</f>
        <v>38254335</v>
      </c>
      <c r="G4" s="53">
        <f>Príjmy!H449</f>
        <v>774007</v>
      </c>
      <c r="H4" s="53">
        <f>Príjmy!I449</f>
        <v>-409007</v>
      </c>
      <c r="I4" s="53">
        <f>G4+H4</f>
        <v>365000</v>
      </c>
      <c r="J4" s="63">
        <f t="shared" ref="J4:J17" si="0">D4+G4</f>
        <v>38990777</v>
      </c>
      <c r="K4" s="63">
        <f t="shared" ref="K4:K17" si="1">E4+H4</f>
        <v>-371442</v>
      </c>
      <c r="L4" s="63">
        <f t="shared" ref="L4:L17" si="2">F4+I4</f>
        <v>38619335</v>
      </c>
      <c r="M4" s="11"/>
    </row>
    <row r="5" spans="2:13" ht="15.75" x14ac:dyDescent="0.25">
      <c r="B5" s="51">
        <v>2</v>
      </c>
      <c r="C5" s="52" t="s">
        <v>582</v>
      </c>
      <c r="D5" s="54">
        <f t="shared" ref="D5:F5" si="3">SUM(D6:D17)</f>
        <v>34732593</v>
      </c>
      <c r="E5" s="54">
        <f t="shared" si="3"/>
        <v>-151749</v>
      </c>
      <c r="F5" s="54">
        <f t="shared" si="3"/>
        <v>34580844</v>
      </c>
      <c r="G5" s="123">
        <f>SUM(G6:G17)</f>
        <v>11851633</v>
      </c>
      <c r="H5" s="123">
        <f t="shared" ref="H5:I5" si="4">SUM(H6:H17)</f>
        <v>1534662</v>
      </c>
      <c r="I5" s="123">
        <f t="shared" si="4"/>
        <v>13386295</v>
      </c>
      <c r="J5" s="63">
        <f t="shared" si="0"/>
        <v>46584226</v>
      </c>
      <c r="K5" s="63">
        <f t="shared" si="1"/>
        <v>1382913</v>
      </c>
      <c r="L5" s="63">
        <f t="shared" si="2"/>
        <v>47967139</v>
      </c>
    </row>
    <row r="6" spans="2:13" x14ac:dyDescent="0.25">
      <c r="B6" s="55">
        <v>3</v>
      </c>
      <c r="C6" s="56" t="s">
        <v>377</v>
      </c>
      <c r="D6" s="57">
        <f>Výdavky!I8</f>
        <v>477550</v>
      </c>
      <c r="E6" s="58">
        <f>Výdavky!J8</f>
        <v>0</v>
      </c>
      <c r="F6" s="58">
        <f>D6+E6</f>
        <v>477550</v>
      </c>
      <c r="G6" s="58">
        <f>Výdavky!M8</f>
        <v>387300</v>
      </c>
      <c r="H6" s="58">
        <f>Výdavky!N8</f>
        <v>0</v>
      </c>
      <c r="I6" s="58">
        <f>G6+H6</f>
        <v>387300</v>
      </c>
      <c r="J6" s="57">
        <f t="shared" si="0"/>
        <v>864850</v>
      </c>
      <c r="K6" s="57">
        <f t="shared" si="1"/>
        <v>0</v>
      </c>
      <c r="L6" s="57">
        <f t="shared" si="2"/>
        <v>864850</v>
      </c>
    </row>
    <row r="7" spans="2:13" x14ac:dyDescent="0.25">
      <c r="B7" s="55">
        <v>4</v>
      </c>
      <c r="C7" s="56" t="s">
        <v>378</v>
      </c>
      <c r="D7" s="57">
        <f>Výdavky!I77</f>
        <v>84020</v>
      </c>
      <c r="E7" s="58">
        <f>Výdavky!J77</f>
        <v>0</v>
      </c>
      <c r="F7" s="58">
        <f t="shared" ref="F7:F17" si="5">D7+E7</f>
        <v>84020</v>
      </c>
      <c r="G7" s="58">
        <f>Výdavky!M77</f>
        <v>0</v>
      </c>
      <c r="H7" s="58">
        <f>Výdavky!N77</f>
        <v>0</v>
      </c>
      <c r="I7" s="58">
        <f t="shared" ref="I7:I17" si="6">G7+H7</f>
        <v>0</v>
      </c>
      <c r="J7" s="57">
        <f t="shared" si="0"/>
        <v>84020</v>
      </c>
      <c r="K7" s="57">
        <f t="shared" si="1"/>
        <v>0</v>
      </c>
      <c r="L7" s="57">
        <f t="shared" si="2"/>
        <v>84020</v>
      </c>
    </row>
    <row r="8" spans="2:13" x14ac:dyDescent="0.25">
      <c r="B8" s="55">
        <v>5</v>
      </c>
      <c r="C8" s="56" t="s">
        <v>379</v>
      </c>
      <c r="D8" s="57">
        <f>Výdavky!I100</f>
        <v>3952320</v>
      </c>
      <c r="E8" s="58">
        <f>Výdavky!J100</f>
        <v>0</v>
      </c>
      <c r="F8" s="58">
        <f t="shared" si="5"/>
        <v>3952320</v>
      </c>
      <c r="G8" s="58">
        <f>Výdavky!M100</f>
        <v>973935</v>
      </c>
      <c r="H8" s="58">
        <f>Výdavky!N100</f>
        <v>667600</v>
      </c>
      <c r="I8" s="58">
        <f t="shared" si="6"/>
        <v>1641535</v>
      </c>
      <c r="J8" s="57">
        <f t="shared" si="0"/>
        <v>4926255</v>
      </c>
      <c r="K8" s="57">
        <f t="shared" si="1"/>
        <v>667600</v>
      </c>
      <c r="L8" s="57">
        <f t="shared" si="2"/>
        <v>5593855</v>
      </c>
    </row>
    <row r="9" spans="2:13" x14ac:dyDescent="0.25">
      <c r="B9" s="55">
        <v>6</v>
      </c>
      <c r="C9" s="56" t="s">
        <v>380</v>
      </c>
      <c r="D9" s="57">
        <f>Výdavky!I240</f>
        <v>548238</v>
      </c>
      <c r="E9" s="58">
        <f>Výdavky!J240</f>
        <v>4025</v>
      </c>
      <c r="F9" s="58">
        <f t="shared" si="5"/>
        <v>552263</v>
      </c>
      <c r="G9" s="58">
        <f>Výdavky!M240</f>
        <v>20962</v>
      </c>
      <c r="H9" s="58">
        <f>Výdavky!N240</f>
        <v>0</v>
      </c>
      <c r="I9" s="58">
        <f t="shared" si="6"/>
        <v>20962</v>
      </c>
      <c r="J9" s="57">
        <f t="shared" si="0"/>
        <v>569200</v>
      </c>
      <c r="K9" s="57">
        <f t="shared" si="1"/>
        <v>4025</v>
      </c>
      <c r="L9" s="57">
        <f t="shared" si="2"/>
        <v>573225</v>
      </c>
    </row>
    <row r="10" spans="2:13" x14ac:dyDescent="0.25">
      <c r="B10" s="55">
        <v>7</v>
      </c>
      <c r="C10" s="56" t="s">
        <v>381</v>
      </c>
      <c r="D10" s="57">
        <f>Výdavky!I336</f>
        <v>1667945</v>
      </c>
      <c r="E10" s="58">
        <f>Výdavky!J336</f>
        <v>68200</v>
      </c>
      <c r="F10" s="58">
        <f t="shared" si="5"/>
        <v>1736145</v>
      </c>
      <c r="G10" s="58">
        <f>Výdavky!M336</f>
        <v>45700</v>
      </c>
      <c r="H10" s="58">
        <f>Výdavky!N336</f>
        <v>50000</v>
      </c>
      <c r="I10" s="58">
        <f t="shared" si="6"/>
        <v>95700</v>
      </c>
      <c r="J10" s="57">
        <f t="shared" si="0"/>
        <v>1713645</v>
      </c>
      <c r="K10" s="57">
        <f t="shared" si="1"/>
        <v>118200</v>
      </c>
      <c r="L10" s="57">
        <f t="shared" si="2"/>
        <v>1831845</v>
      </c>
    </row>
    <row r="11" spans="2:13" x14ac:dyDescent="0.25">
      <c r="B11" s="55">
        <v>8</v>
      </c>
      <c r="C11" s="56" t="s">
        <v>382</v>
      </c>
      <c r="D11" s="57">
        <f>Výdavky!I431</f>
        <v>4143133</v>
      </c>
      <c r="E11" s="58">
        <f>Výdavky!J431</f>
        <v>1816</v>
      </c>
      <c r="F11" s="58">
        <f t="shared" si="5"/>
        <v>4144949</v>
      </c>
      <c r="G11" s="58">
        <f>Výdavky!M431</f>
        <v>5838617</v>
      </c>
      <c r="H11" s="58">
        <f>Výdavky!N431</f>
        <v>574062</v>
      </c>
      <c r="I11" s="58">
        <f t="shared" si="6"/>
        <v>6412679</v>
      </c>
      <c r="J11" s="57">
        <f t="shared" si="0"/>
        <v>9981750</v>
      </c>
      <c r="K11" s="57">
        <f t="shared" si="1"/>
        <v>575878</v>
      </c>
      <c r="L11" s="57">
        <f t="shared" si="2"/>
        <v>10557628</v>
      </c>
    </row>
    <row r="12" spans="2:13" x14ac:dyDescent="0.25">
      <c r="B12" s="55">
        <v>9</v>
      </c>
      <c r="C12" s="56" t="s">
        <v>383</v>
      </c>
      <c r="D12" s="57">
        <f>Výdavky!I576</f>
        <v>14938441</v>
      </c>
      <c r="E12" s="58">
        <f>Výdavky!J576</f>
        <v>39342</v>
      </c>
      <c r="F12" s="58">
        <f t="shared" si="5"/>
        <v>14977783</v>
      </c>
      <c r="G12" s="58">
        <f>Výdavky!M576</f>
        <v>876602</v>
      </c>
      <c r="H12" s="58">
        <f>Výdavky!N576</f>
        <v>45000</v>
      </c>
      <c r="I12" s="58">
        <f t="shared" si="6"/>
        <v>921602</v>
      </c>
      <c r="J12" s="57">
        <f t="shared" si="0"/>
        <v>15815043</v>
      </c>
      <c r="K12" s="57">
        <f t="shared" si="1"/>
        <v>84342</v>
      </c>
      <c r="L12" s="57">
        <f t="shared" si="2"/>
        <v>15899385</v>
      </c>
    </row>
    <row r="13" spans="2:13" x14ac:dyDescent="0.25">
      <c r="B13" s="55">
        <v>10</v>
      </c>
      <c r="C13" s="56" t="s">
        <v>384</v>
      </c>
      <c r="D13" s="57">
        <f>Výdavky!I1348</f>
        <v>1979144</v>
      </c>
      <c r="E13" s="58">
        <f>Výdavky!J1348</f>
        <v>58000</v>
      </c>
      <c r="F13" s="58">
        <f t="shared" si="5"/>
        <v>2037144</v>
      </c>
      <c r="G13" s="58">
        <f>Výdavky!M1348</f>
        <v>1088127</v>
      </c>
      <c r="H13" s="58">
        <f>Výdavky!N1348</f>
        <v>68000</v>
      </c>
      <c r="I13" s="58">
        <f t="shared" si="6"/>
        <v>1156127</v>
      </c>
      <c r="J13" s="57">
        <f t="shared" si="0"/>
        <v>3067271</v>
      </c>
      <c r="K13" s="57">
        <f t="shared" si="1"/>
        <v>126000</v>
      </c>
      <c r="L13" s="57">
        <f t="shared" si="2"/>
        <v>3193271</v>
      </c>
    </row>
    <row r="14" spans="2:13" x14ac:dyDescent="0.25">
      <c r="B14" s="55">
        <v>11</v>
      </c>
      <c r="C14" s="56" t="s">
        <v>385</v>
      </c>
      <c r="D14" s="57">
        <f>Výdavky!I1486</f>
        <v>411900</v>
      </c>
      <c r="E14" s="58">
        <f>Výdavky!J1486</f>
        <v>0</v>
      </c>
      <c r="F14" s="58">
        <f t="shared" si="5"/>
        <v>411900</v>
      </c>
      <c r="G14" s="58">
        <f>Výdavky!M1486</f>
        <v>57620</v>
      </c>
      <c r="H14" s="58">
        <f>Výdavky!N1486</f>
        <v>30000</v>
      </c>
      <c r="I14" s="58">
        <f t="shared" si="6"/>
        <v>87620</v>
      </c>
      <c r="J14" s="57">
        <f t="shared" si="0"/>
        <v>469520</v>
      </c>
      <c r="K14" s="57">
        <f t="shared" si="1"/>
        <v>30000</v>
      </c>
      <c r="L14" s="57">
        <f t="shared" si="2"/>
        <v>499520</v>
      </c>
    </row>
    <row r="15" spans="2:13" x14ac:dyDescent="0.25">
      <c r="B15" s="55">
        <v>12</v>
      </c>
      <c r="C15" s="56" t="s">
        <v>386</v>
      </c>
      <c r="D15" s="57">
        <f>Výdavky!I1536</f>
        <v>3642890</v>
      </c>
      <c r="E15" s="58">
        <f>Výdavky!J1536</f>
        <v>-323600</v>
      </c>
      <c r="F15" s="58">
        <f t="shared" si="5"/>
        <v>3319290</v>
      </c>
      <c r="G15" s="58">
        <f>Výdavky!M1536</f>
        <v>197770</v>
      </c>
      <c r="H15" s="58">
        <f>Výdavky!N1536</f>
        <v>100000</v>
      </c>
      <c r="I15" s="58">
        <f t="shared" si="6"/>
        <v>297770</v>
      </c>
      <c r="J15" s="57">
        <f t="shared" si="0"/>
        <v>3840660</v>
      </c>
      <c r="K15" s="57">
        <f t="shared" si="1"/>
        <v>-223600</v>
      </c>
      <c r="L15" s="57">
        <f t="shared" si="2"/>
        <v>3617060</v>
      </c>
    </row>
    <row r="16" spans="2:13" x14ac:dyDescent="0.25">
      <c r="B16" s="55">
        <v>13</v>
      </c>
      <c r="C16" s="56" t="s">
        <v>387</v>
      </c>
      <c r="D16" s="57">
        <f>Výdavky!I1678</f>
        <v>2684962</v>
      </c>
      <c r="E16" s="58">
        <f>Výdavky!J1678</f>
        <v>94</v>
      </c>
      <c r="F16" s="58">
        <f t="shared" si="5"/>
        <v>2685056</v>
      </c>
      <c r="G16" s="58">
        <f>Výdavky!M1678</f>
        <v>10000</v>
      </c>
      <c r="H16" s="58">
        <f>Výdavky!N1678</f>
        <v>0</v>
      </c>
      <c r="I16" s="58">
        <f t="shared" si="6"/>
        <v>10000</v>
      </c>
      <c r="J16" s="57">
        <f t="shared" si="0"/>
        <v>2694962</v>
      </c>
      <c r="K16" s="57">
        <f t="shared" si="1"/>
        <v>94</v>
      </c>
      <c r="L16" s="57">
        <f t="shared" si="2"/>
        <v>2695056</v>
      </c>
    </row>
    <row r="17" spans="2:12" x14ac:dyDescent="0.25">
      <c r="B17" s="55">
        <v>14</v>
      </c>
      <c r="C17" s="56" t="s">
        <v>388</v>
      </c>
      <c r="D17" s="57">
        <f>Výdavky!I1821</f>
        <v>202050</v>
      </c>
      <c r="E17" s="58">
        <f>Výdavky!J1821</f>
        <v>374</v>
      </c>
      <c r="F17" s="58">
        <f t="shared" si="5"/>
        <v>202424</v>
      </c>
      <c r="G17" s="58">
        <f>Výdavky!M1821</f>
        <v>2355000</v>
      </c>
      <c r="H17" s="58">
        <f>Výdavky!N1821</f>
        <v>0</v>
      </c>
      <c r="I17" s="58">
        <f t="shared" si="6"/>
        <v>2355000</v>
      </c>
      <c r="J17" s="57">
        <f t="shared" si="0"/>
        <v>2557050</v>
      </c>
      <c r="K17" s="57">
        <f t="shared" si="1"/>
        <v>374</v>
      </c>
      <c r="L17" s="57">
        <f t="shared" si="2"/>
        <v>2557424</v>
      </c>
    </row>
    <row r="18" spans="2:12" ht="15.75" x14ac:dyDescent="0.25">
      <c r="B18" s="51">
        <v>15</v>
      </c>
      <c r="C18" s="52" t="s">
        <v>389</v>
      </c>
      <c r="D18" s="54">
        <f t="shared" ref="D18:F18" si="7">D4-D5</f>
        <v>3484177</v>
      </c>
      <c r="E18" s="54">
        <f t="shared" si="7"/>
        <v>189314</v>
      </c>
      <c r="F18" s="54">
        <f t="shared" si="7"/>
        <v>3673491</v>
      </c>
      <c r="G18" s="53"/>
      <c r="H18" s="53"/>
      <c r="I18" s="53"/>
      <c r="J18" s="63"/>
      <c r="K18" s="63"/>
      <c r="L18" s="63"/>
    </row>
    <row r="19" spans="2:12" ht="15.75" x14ac:dyDescent="0.25">
      <c r="B19" s="51">
        <v>16</v>
      </c>
      <c r="C19" s="52" t="s">
        <v>390</v>
      </c>
      <c r="D19" s="54"/>
      <c r="E19" s="53"/>
      <c r="F19" s="53"/>
      <c r="G19" s="53">
        <f>G4-G5</f>
        <v>-11077626</v>
      </c>
      <c r="H19" s="53">
        <f t="shared" ref="H19:I19" si="8">H4-H5</f>
        <v>-1943669</v>
      </c>
      <c r="I19" s="53">
        <f t="shared" si="8"/>
        <v>-13021295</v>
      </c>
      <c r="J19" s="63"/>
      <c r="K19" s="63"/>
      <c r="L19" s="63"/>
    </row>
    <row r="20" spans="2:12" ht="15.75" x14ac:dyDescent="0.25">
      <c r="B20" s="51">
        <v>17</v>
      </c>
      <c r="C20" s="52" t="s">
        <v>391</v>
      </c>
      <c r="D20" s="54"/>
      <c r="E20" s="53"/>
      <c r="F20" s="53"/>
      <c r="G20" s="53"/>
      <c r="H20" s="53"/>
      <c r="I20" s="53"/>
      <c r="J20" s="63">
        <f t="shared" ref="J20:L20" si="9">J4-J5</f>
        <v>-7593449</v>
      </c>
      <c r="K20" s="63">
        <f>K4-K5</f>
        <v>-1754355</v>
      </c>
      <c r="L20" s="63">
        <f t="shared" si="9"/>
        <v>-9347804</v>
      </c>
    </row>
    <row r="21" spans="2:12" ht="6" customHeight="1" thickBot="1" x14ac:dyDescent="0.3"/>
    <row r="22" spans="2:12" ht="16.5" thickBot="1" x14ac:dyDescent="0.3">
      <c r="B22" s="264" t="s">
        <v>392</v>
      </c>
      <c r="C22" s="265"/>
      <c r="D22" s="265"/>
      <c r="E22" s="265"/>
      <c r="F22" s="265"/>
      <c r="G22" s="265"/>
      <c r="H22" s="265"/>
      <c r="I22" s="265"/>
      <c r="J22" s="265"/>
      <c r="K22" s="178"/>
      <c r="L22" s="179"/>
    </row>
    <row r="23" spans="2:12" ht="15.75" x14ac:dyDescent="0.25">
      <c r="B23" s="65">
        <v>1</v>
      </c>
      <c r="C23" s="257" t="s">
        <v>393</v>
      </c>
      <c r="D23" s="254"/>
      <c r="E23" s="254"/>
      <c r="F23" s="254"/>
      <c r="G23" s="254"/>
      <c r="H23" s="173"/>
      <c r="I23" s="173"/>
      <c r="J23" s="66">
        <f>SUM(J24:J30)</f>
        <v>10478149</v>
      </c>
      <c r="K23" s="66">
        <f>SUM(K24:K30)</f>
        <v>1754355</v>
      </c>
      <c r="L23" s="66">
        <f>K23+J23</f>
        <v>12232504</v>
      </c>
    </row>
    <row r="24" spans="2:12" x14ac:dyDescent="0.25">
      <c r="B24" s="59">
        <f>B23+1</f>
        <v>2</v>
      </c>
      <c r="C24" s="258" t="s">
        <v>435</v>
      </c>
      <c r="D24" s="259"/>
      <c r="E24" s="259"/>
      <c r="F24" s="259"/>
      <c r="G24" s="259"/>
      <c r="H24" s="172"/>
      <c r="I24" s="172"/>
      <c r="J24" s="60">
        <f>2000000+84339+86000+100000+1903105-540255+1500+48000+40700+2000+15000+94265-10000-2000+90000+154602</f>
        <v>4067256</v>
      </c>
      <c r="K24" s="60">
        <v>1261503</v>
      </c>
      <c r="L24" s="60">
        <f>K24+J24</f>
        <v>5328759</v>
      </c>
    </row>
    <row r="25" spans="2:12" x14ac:dyDescent="0.25">
      <c r="B25" s="59">
        <f>B24+1</f>
        <v>3</v>
      </c>
      <c r="C25" s="186" t="s">
        <v>658</v>
      </c>
      <c r="D25" s="187"/>
      <c r="E25" s="187"/>
      <c r="F25" s="187"/>
      <c r="G25" s="187"/>
      <c r="H25" s="187"/>
      <c r="I25" s="187"/>
      <c r="J25" s="60">
        <v>0</v>
      </c>
      <c r="K25" s="60">
        <v>132843</v>
      </c>
      <c r="L25" s="60">
        <f>K25+J25</f>
        <v>132843</v>
      </c>
    </row>
    <row r="26" spans="2:12" x14ac:dyDescent="0.25">
      <c r="B26" s="59">
        <f>B25+1</f>
        <v>4</v>
      </c>
      <c r="C26" s="186" t="s">
        <v>659</v>
      </c>
      <c r="D26" s="187"/>
      <c r="E26" s="187"/>
      <c r="F26" s="187"/>
      <c r="G26" s="187"/>
      <c r="H26" s="187"/>
      <c r="I26" s="187"/>
      <c r="J26" s="60">
        <v>0</v>
      </c>
      <c r="K26" s="60">
        <v>14290</v>
      </c>
      <c r="L26" s="60">
        <f>K26+J26</f>
        <v>14290</v>
      </c>
    </row>
    <row r="27" spans="2:12" x14ac:dyDescent="0.25">
      <c r="B27" s="59">
        <f>B26+1</f>
        <v>5</v>
      </c>
      <c r="C27" s="258" t="s">
        <v>436</v>
      </c>
      <c r="D27" s="259"/>
      <c r="E27" s="259"/>
      <c r="F27" s="259"/>
      <c r="G27" s="259"/>
      <c r="H27" s="172"/>
      <c r="I27" s="172"/>
      <c r="J27" s="60">
        <v>540255</v>
      </c>
      <c r="K27" s="60">
        <v>345719</v>
      </c>
      <c r="L27" s="60">
        <f t="shared" ref="L27:L37" si="10">K27+J27</f>
        <v>885974</v>
      </c>
    </row>
    <row r="28" spans="2:12" x14ac:dyDescent="0.25">
      <c r="B28" s="59">
        <f t="shared" ref="B28:B33" si="11">B27+1</f>
        <v>6</v>
      </c>
      <c r="C28" s="258" t="s">
        <v>437</v>
      </c>
      <c r="D28" s="259"/>
      <c r="E28" s="259"/>
      <c r="F28" s="259"/>
      <c r="G28" s="259"/>
      <c r="H28" s="172"/>
      <c r="I28" s="172"/>
      <c r="J28" s="60">
        <v>3120000</v>
      </c>
      <c r="K28" s="60"/>
      <c r="L28" s="60">
        <f t="shared" si="10"/>
        <v>3120000</v>
      </c>
    </row>
    <row r="29" spans="2:12" x14ac:dyDescent="0.25">
      <c r="B29" s="59">
        <f t="shared" si="11"/>
        <v>7</v>
      </c>
      <c r="C29" s="61" t="s">
        <v>442</v>
      </c>
      <c r="D29" s="62"/>
      <c r="E29" s="168"/>
      <c r="F29" s="168"/>
      <c r="G29" s="62"/>
      <c r="H29" s="168"/>
      <c r="I29" s="168"/>
      <c r="J29" s="60">
        <v>2355000</v>
      </c>
      <c r="K29" s="60"/>
      <c r="L29" s="60">
        <f t="shared" si="10"/>
        <v>2355000</v>
      </c>
    </row>
    <row r="30" spans="2:12" x14ac:dyDescent="0.25">
      <c r="B30" s="59">
        <f t="shared" si="11"/>
        <v>8</v>
      </c>
      <c r="C30" s="152" t="s">
        <v>616</v>
      </c>
      <c r="D30" s="151"/>
      <c r="E30" s="168"/>
      <c r="F30" s="168"/>
      <c r="G30" s="151"/>
      <c r="H30" s="168"/>
      <c r="I30" s="168"/>
      <c r="J30" s="60">
        <v>395638</v>
      </c>
      <c r="K30" s="60"/>
      <c r="L30" s="60">
        <f t="shared" si="10"/>
        <v>395638</v>
      </c>
    </row>
    <row r="31" spans="2:12" ht="15.75" x14ac:dyDescent="0.25">
      <c r="B31" s="59">
        <f t="shared" si="11"/>
        <v>9</v>
      </c>
      <c r="C31" s="266" t="s">
        <v>394</v>
      </c>
      <c r="D31" s="228"/>
      <c r="E31" s="228"/>
      <c r="F31" s="228"/>
      <c r="G31" s="228"/>
      <c r="H31" s="174"/>
      <c r="I31" s="174"/>
      <c r="J31" s="64">
        <f>SUM(J32:J37)</f>
        <v>2884700</v>
      </c>
      <c r="K31" s="64">
        <f t="shared" ref="K31" si="12">SUM(K32:K37)</f>
        <v>0</v>
      </c>
      <c r="L31" s="64">
        <f t="shared" si="10"/>
        <v>2884700</v>
      </c>
    </row>
    <row r="32" spans="2:12" x14ac:dyDescent="0.25">
      <c r="B32" s="59">
        <f t="shared" si="11"/>
        <v>10</v>
      </c>
      <c r="C32" s="258" t="s">
        <v>438</v>
      </c>
      <c r="D32" s="228"/>
      <c r="E32" s="228"/>
      <c r="F32" s="228"/>
      <c r="G32" s="228"/>
      <c r="H32" s="168"/>
      <c r="I32" s="168"/>
      <c r="J32" s="60">
        <v>1670000</v>
      </c>
      <c r="K32" s="60"/>
      <c r="L32" s="60">
        <f t="shared" si="10"/>
        <v>1670000</v>
      </c>
    </row>
    <row r="33" spans="2:13" x14ac:dyDescent="0.25">
      <c r="B33" s="59">
        <f t="shared" si="11"/>
        <v>11</v>
      </c>
      <c r="C33" s="258" t="s">
        <v>439</v>
      </c>
      <c r="D33" s="228"/>
      <c r="E33" s="228"/>
      <c r="F33" s="228"/>
      <c r="G33" s="228"/>
      <c r="H33" s="168"/>
      <c r="I33" s="168"/>
      <c r="J33" s="60">
        <v>925000</v>
      </c>
      <c r="K33" s="60"/>
      <c r="L33" s="60">
        <f t="shared" si="10"/>
        <v>925000</v>
      </c>
    </row>
    <row r="34" spans="2:13" x14ac:dyDescent="0.25">
      <c r="B34" s="59">
        <f t="shared" ref="B34:B38" si="13">B33+1</f>
        <v>12</v>
      </c>
      <c r="C34" s="258" t="s">
        <v>440</v>
      </c>
      <c r="D34" s="228"/>
      <c r="E34" s="228"/>
      <c r="F34" s="228"/>
      <c r="G34" s="228"/>
      <c r="H34" s="168"/>
      <c r="I34" s="168"/>
      <c r="J34" s="60">
        <v>58700</v>
      </c>
      <c r="K34" s="60"/>
      <c r="L34" s="60">
        <f t="shared" si="10"/>
        <v>58700</v>
      </c>
    </row>
    <row r="35" spans="2:13" x14ac:dyDescent="0.25">
      <c r="B35" s="59">
        <f t="shared" si="13"/>
        <v>13</v>
      </c>
      <c r="C35" s="258" t="s">
        <v>440</v>
      </c>
      <c r="D35" s="228"/>
      <c r="E35" s="228"/>
      <c r="F35" s="228"/>
      <c r="G35" s="228"/>
      <c r="H35" s="168"/>
      <c r="I35" s="168"/>
      <c r="J35" s="60">
        <v>126000</v>
      </c>
      <c r="K35" s="60"/>
      <c r="L35" s="60">
        <f t="shared" si="10"/>
        <v>126000</v>
      </c>
    </row>
    <row r="36" spans="2:13" x14ac:dyDescent="0.25">
      <c r="B36" s="59">
        <f t="shared" si="13"/>
        <v>14</v>
      </c>
      <c r="C36" s="258" t="s">
        <v>465</v>
      </c>
      <c r="D36" s="228"/>
      <c r="E36" s="228"/>
      <c r="F36" s="228"/>
      <c r="G36" s="228"/>
      <c r="H36" s="168"/>
      <c r="I36" s="168"/>
      <c r="J36" s="60">
        <v>25000</v>
      </c>
      <c r="K36" s="60"/>
      <c r="L36" s="60">
        <f t="shared" si="10"/>
        <v>25000</v>
      </c>
    </row>
    <row r="37" spans="2:13" ht="15.75" thickBot="1" x14ac:dyDescent="0.3">
      <c r="B37" s="59">
        <f t="shared" si="13"/>
        <v>15</v>
      </c>
      <c r="C37" s="258" t="s">
        <v>441</v>
      </c>
      <c r="D37" s="228"/>
      <c r="E37" s="228"/>
      <c r="F37" s="228"/>
      <c r="G37" s="228"/>
      <c r="H37" s="168"/>
      <c r="I37" s="168"/>
      <c r="J37" s="60">
        <v>80000</v>
      </c>
      <c r="K37" s="60"/>
      <c r="L37" s="60">
        <f t="shared" si="10"/>
        <v>80000</v>
      </c>
    </row>
    <row r="38" spans="2:13" ht="16.5" thickTop="1" x14ac:dyDescent="0.25">
      <c r="B38" s="59">
        <f t="shared" si="13"/>
        <v>16</v>
      </c>
      <c r="C38" s="262" t="s">
        <v>395</v>
      </c>
      <c r="D38" s="263"/>
      <c r="E38" s="263"/>
      <c r="F38" s="263"/>
      <c r="G38" s="263"/>
      <c r="H38" s="180"/>
      <c r="I38" s="180"/>
      <c r="J38" s="181">
        <f>J20+J23-J31</f>
        <v>0</v>
      </c>
      <c r="K38" s="181">
        <f t="shared" ref="K38" si="14">K20+K23-K31</f>
        <v>0</v>
      </c>
      <c r="L38" s="181">
        <f>K38+J38</f>
        <v>0</v>
      </c>
    </row>
    <row r="39" spans="2:13" ht="15.75" x14ac:dyDescent="0.25">
      <c r="B39" s="124"/>
      <c r="C39" s="125"/>
      <c r="D39" s="126"/>
      <c r="E39" s="126"/>
      <c r="F39" s="126"/>
      <c r="G39" s="126"/>
      <c r="H39" s="126"/>
      <c r="I39" s="126"/>
      <c r="J39" s="127"/>
    </row>
    <row r="40" spans="2:13" ht="24.75" customHeight="1" x14ac:dyDescent="0.25">
      <c r="B40" s="124"/>
      <c r="C40" s="260" t="s">
        <v>548</v>
      </c>
      <c r="D40" s="260"/>
      <c r="E40" s="260"/>
      <c r="F40" s="260"/>
      <c r="G40" s="260"/>
      <c r="H40" s="260"/>
      <c r="I40" s="260"/>
      <c r="J40" s="260"/>
    </row>
    <row r="41" spans="2:13" ht="24" customHeight="1" x14ac:dyDescent="0.25">
      <c r="B41" s="124"/>
      <c r="C41" s="261" t="s">
        <v>584</v>
      </c>
      <c r="D41" s="261"/>
      <c r="E41" s="261"/>
      <c r="F41" s="261"/>
      <c r="G41" s="261"/>
      <c r="H41" s="261"/>
      <c r="I41" s="261"/>
      <c r="J41" s="261"/>
    </row>
    <row r="42" spans="2:13" ht="15.75" x14ac:dyDescent="0.25">
      <c r="B42" s="124"/>
      <c r="C42" s="128"/>
      <c r="D42" s="128"/>
      <c r="E42" s="128"/>
      <c r="F42" s="128"/>
      <c r="G42" s="126"/>
      <c r="H42" s="126"/>
      <c r="I42" s="126"/>
      <c r="J42" s="127"/>
    </row>
    <row r="44" spans="2:13" x14ac:dyDescent="0.25">
      <c r="C44" s="144"/>
    </row>
    <row r="47" spans="2:13" x14ac:dyDescent="0.25">
      <c r="M47" s="11"/>
    </row>
    <row r="53" spans="3:10" x14ac:dyDescent="0.25">
      <c r="C53" s="145"/>
    </row>
    <row r="54" spans="3:10" x14ac:dyDescent="0.25">
      <c r="C54" s="145"/>
    </row>
    <row r="55" spans="3:10" x14ac:dyDescent="0.25">
      <c r="C55" s="145"/>
    </row>
    <row r="56" spans="3:10" x14ac:dyDescent="0.25">
      <c r="C56" s="145"/>
    </row>
    <row r="57" spans="3:10" x14ac:dyDescent="0.25">
      <c r="C57" s="145"/>
    </row>
    <row r="58" spans="3:10" x14ac:dyDescent="0.25">
      <c r="C58" s="145"/>
    </row>
    <row r="59" spans="3:10" x14ac:dyDescent="0.25">
      <c r="C59" s="145"/>
    </row>
    <row r="60" spans="3:10" x14ac:dyDescent="0.25">
      <c r="C60" s="145"/>
    </row>
    <row r="61" spans="3:10" x14ac:dyDescent="0.25">
      <c r="C61" s="144"/>
      <c r="D61" s="146"/>
      <c r="E61" s="146"/>
      <c r="F61" s="146"/>
      <c r="G61" s="146"/>
      <c r="H61" s="146"/>
      <c r="I61" s="146"/>
      <c r="J61" s="146"/>
    </row>
  </sheetData>
  <mergeCells count="16">
    <mergeCell ref="B2:C2"/>
    <mergeCell ref="C23:G23"/>
    <mergeCell ref="C24:G24"/>
    <mergeCell ref="C40:J40"/>
    <mergeCell ref="C41:J41"/>
    <mergeCell ref="C37:G37"/>
    <mergeCell ref="C38:G38"/>
    <mergeCell ref="B22:J22"/>
    <mergeCell ref="C33:G33"/>
    <mergeCell ref="C34:G34"/>
    <mergeCell ref="C35:G35"/>
    <mergeCell ref="C36:G36"/>
    <mergeCell ref="C32:G32"/>
    <mergeCell ref="C31:G31"/>
    <mergeCell ref="C28:G28"/>
    <mergeCell ref="C27:G27"/>
  </mergeCells>
  <pageMargins left="0.19685039370078741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Žilková Andrea, Ing.</cp:lastModifiedBy>
  <cp:lastPrinted>2017-04-26T07:41:51Z</cp:lastPrinted>
  <dcterms:created xsi:type="dcterms:W3CDTF">2016-08-17T12:35:47Z</dcterms:created>
  <dcterms:modified xsi:type="dcterms:W3CDTF">2017-04-26T07:51:56Z</dcterms:modified>
</cp:coreProperties>
</file>