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80" windowHeight="8205" tabRatio="910" activeTab="0"/>
  </bookViews>
  <sheets>
    <sheet name="Príjmy" sheetId="1" r:id="rId1"/>
    <sheet name="Výdavky" sheetId="2" r:id="rId2"/>
    <sheet name="Sumarizácia" sheetId="3" r:id="rId3"/>
  </sheets>
  <definedNames>
    <definedName name="_xlnm.Print_Area" localSheetId="0">'Príjmy'!$B$1:$J$389</definedName>
    <definedName name="_xlnm.Print_Area" localSheetId="2">'Sumarizácia'!$B$2:$O$50</definedName>
    <definedName name="_xlnm.Print_Area" localSheetId="1">'Výdavky'!$B$3:$R$1518</definedName>
  </definedNames>
  <calcPr fullCalcOnLoad="1"/>
</workbook>
</file>

<file path=xl/sharedStrings.xml><?xml version="1.0" encoding="utf-8"?>
<sst xmlns="http://schemas.openxmlformats.org/spreadsheetml/2006/main" count="2728" uniqueCount="808">
  <si>
    <t xml:space="preserve">         - za služby technickej dokumentácie</t>
  </si>
  <si>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</si>
  <si>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</si>
  <si>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</si>
  <si>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</si>
  <si>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</si>
  <si>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</si>
  <si>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</si>
  <si>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</si>
  <si>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</si>
  <si>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</si>
  <si>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</si>
  <si>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</si>
  <si>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</si>
  <si>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</si>
  <si>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</si>
  <si>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</si>
  <si>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</si>
  <si>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</si>
  <si>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</si>
  <si>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</si>
  <si>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</si>
  <si>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</si>
  <si>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</si>
  <si>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</si>
  <si>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</si>
  <si>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</si>
  <si>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</si>
  <si>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</si>
  <si>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</si>
  <si>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</si>
  <si>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</si>
  <si>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</si>
  <si>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</si>
  <si>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</si>
  <si>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</si>
  <si>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</si>
  <si>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</si>
  <si>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</si>
  <si>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</si>
  <si>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</si>
  <si>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</si>
  <si>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</si>
  <si>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</si>
  <si>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</si>
  <si>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</si>
  <si>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</si>
  <si>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</si>
  <si>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</si>
  <si>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</si>
  <si>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</si>
  <si>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</si>
  <si>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</si>
  <si>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</si>
  <si>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</si>
  <si>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</si>
  <si>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</si>
  <si>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</si>
  <si>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</si>
  <si>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</si>
  <si>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</si>
  <si>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</si>
  <si>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</si>
  <si>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</si>
  <si>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</si>
  <si>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</si>
  <si>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>MESTSKÉ HOSPODÁRSTVO A SPRÁVA LESOV m.r.o.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</si>
  <si>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</si>
  <si>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</si>
  <si>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</si>
  <si>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</si>
  <si>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</si>
  <si>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</si>
  <si>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</si>
  <si>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</si>
  <si>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</rPr>
      <t>.</t>
    </r>
  </si>
  <si>
    <t>Spoločný stavebný úrad</t>
  </si>
  <si>
    <t>z mestských lesov - stredisko Soblahov</t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</si>
  <si>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</si>
  <si>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</si>
  <si>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</si>
  <si>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</si>
  <si>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</si>
  <si>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</si>
  <si>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</si>
  <si>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</si>
  <si>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</si>
  <si>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</si>
  <si>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</si>
  <si>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</si>
  <si>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</si>
  <si>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</si>
  <si>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</si>
  <si>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</si>
  <si>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</si>
  <si>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</si>
  <si>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</si>
  <si>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</si>
  <si>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</si>
  <si>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 xml:space="preserve">   z toho:</t>
  </si>
  <si>
    <t xml:space="preserve">        Program 4:   Služby občanom</t>
  </si>
  <si>
    <t xml:space="preserve">        Program 3:   Interné služby mesta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</si>
  <si>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</si>
  <si>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</si>
  <si>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</si>
  <si>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</si>
  <si>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</si>
  <si>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</si>
  <si>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</si>
  <si>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</si>
  <si>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</si>
  <si>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</si>
  <si>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</si>
  <si>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</si>
  <si>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</si>
  <si>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</si>
  <si>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</si>
  <si>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Kultúrna spolupráca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</si>
  <si>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</si>
  <si>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</si>
  <si>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</si>
  <si>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</si>
  <si>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</si>
  <si>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</si>
  <si>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</si>
  <si>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</si>
  <si>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</si>
  <si>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</si>
  <si>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</si>
  <si>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</si>
  <si>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</si>
  <si>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</si>
  <si>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</si>
  <si>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</si>
  <si>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</si>
  <si>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</si>
  <si>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</si>
  <si>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</si>
  <si>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</si>
  <si>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</si>
  <si>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</si>
  <si>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Verejné obstarávanie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</si>
  <si>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</si>
  <si>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</si>
  <si>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</si>
  <si>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</si>
  <si>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</si>
  <si>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</si>
  <si>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</si>
  <si>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</si>
  <si>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</si>
  <si>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</si>
  <si>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</si>
  <si>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</si>
  <si>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</si>
  <si>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</si>
  <si>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</si>
  <si>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</si>
  <si>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</si>
  <si>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</si>
  <si>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</si>
  <si>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</si>
  <si>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</si>
  <si>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</si>
  <si>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Centrum seniorov Sihoť</t>
  </si>
  <si>
    <t>Dotácia - predškolský vek</t>
  </si>
  <si>
    <t>PROGRAM 1:  MANAŽMENT A PLÁNOVANIE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</si>
  <si>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</si>
  <si>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</si>
  <si>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</si>
  <si>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</si>
  <si>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</si>
  <si>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</si>
  <si>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</si>
  <si>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</si>
  <si>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Miestne médiá</t>
  </si>
  <si>
    <t>PROGRAM 8:  ŠPORT</t>
  </si>
  <si>
    <t xml:space="preserve">        Program 1:   Manažment a plánovanie</t>
  </si>
  <si>
    <t xml:space="preserve">        Program 2:   Propagácia a cestovný ruch </t>
  </si>
  <si>
    <t xml:space="preserve">        Program 5:   Bezpečnosť</t>
  </si>
  <si>
    <t xml:space="preserve">        Program 6:   Doprava</t>
  </si>
  <si>
    <t xml:space="preserve">        Program 7:   Vzdelávanie</t>
  </si>
  <si>
    <t xml:space="preserve">        Program 8: Šport</t>
  </si>
  <si>
    <t xml:space="preserve">        Program 9: Kultúra</t>
  </si>
  <si>
    <t>PROGRAM 9:  KULTÚRA</t>
  </si>
  <si>
    <t xml:space="preserve">        Program 10: Životné prostredie</t>
  </si>
  <si>
    <t>PROGRAM 11:  SOCIÁLNE  SLUŽBY</t>
  </si>
  <si>
    <t xml:space="preserve">        Program 11: Sociálne služby</t>
  </si>
  <si>
    <t xml:space="preserve">        Program 12: Rozvoj mesta a bývanie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</si>
  <si>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</si>
  <si>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</si>
  <si>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</si>
  <si>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</si>
  <si>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</si>
  <si>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</si>
  <si>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</si>
  <si>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</si>
  <si>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</si>
  <si>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</si>
  <si>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</si>
  <si>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</si>
  <si>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</si>
  <si>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</si>
  <si>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</si>
  <si>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231</t>
  </si>
  <si>
    <t>príjem z predaja kapitálových aktív</t>
  </si>
  <si>
    <t xml:space="preserve">  - budov</t>
  </si>
  <si>
    <t xml:space="preserve">  - byty </t>
  </si>
  <si>
    <t>233</t>
  </si>
  <si>
    <t>Príjem z predaja pozemkov a nehmotných aktív</t>
  </si>
  <si>
    <t xml:space="preserve"> - pozemkov</t>
  </si>
  <si>
    <t xml:space="preserve"> - pozemkov v priemyselnej zóne Zámostie</t>
  </si>
  <si>
    <t>GRANTY A TRANSFERY</t>
  </si>
  <si>
    <t>KAPITÁLOVÉ PRÍJMY SPOLU:</t>
  </si>
  <si>
    <t>PRÍJMY SPOLU:</t>
  </si>
  <si>
    <r>
      <t xml:space="preserve">F I N A N Č N É   O P E R Á C I E </t>
    </r>
    <r>
      <rPr>
        <b/>
        <i/>
        <vertAlign val="superscript"/>
        <sz val="12"/>
        <rFont val="Arial CE"/>
        <family val="0"/>
      </rPr>
      <t>*</t>
    </r>
  </si>
  <si>
    <t>Výsledok hospodárenia</t>
  </si>
  <si>
    <t>027</t>
  </si>
  <si>
    <t>finančná náhrada za vyrúbané dreviny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</si>
  <si>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</si>
  <si>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</si>
  <si>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</si>
  <si>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</si>
  <si>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</si>
  <si>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Prebytok kapitálového rozpočtu</t>
  </si>
  <si>
    <t>Prebytok rozpočtu spolu</t>
  </si>
  <si>
    <t xml:space="preserve"> - Nový most - pozemky </t>
  </si>
  <si>
    <t>Rekonštrukcia 3 Základných škôl - refundácia z EÚ</t>
  </si>
  <si>
    <t>Dexia banka Slovensko a.s. - istina z poskytnutých úverov</t>
  </si>
  <si>
    <t>Slovenská sporiteľňa a.s. - istina z poskytnutých úverov</t>
  </si>
  <si>
    <t xml:space="preserve">  - domov - Modernizácia železničnej trate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</si>
  <si>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</si>
  <si>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</si>
  <si>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</si>
  <si>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</si>
  <si>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</si>
  <si>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R O Z P O Č E T    2 0 1 2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</si>
  <si>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</si>
  <si>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</si>
  <si>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</si>
  <si>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</si>
  <si>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</si>
  <si>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</si>
  <si>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</si>
  <si>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</si>
  <si>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</si>
  <si>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</si>
  <si>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</si>
  <si>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</si>
  <si>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Civilná ochana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</si>
  <si>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</si>
  <si>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</si>
  <si>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</si>
  <si>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</si>
  <si>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</si>
  <si>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</si>
  <si>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</si>
  <si>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</si>
  <si>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</si>
  <si>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</si>
  <si>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</si>
  <si>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</si>
  <si>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</si>
  <si>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8:   Šport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</si>
  <si>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</si>
  <si>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</si>
  <si>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</si>
  <si>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</si>
  <si>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</si>
  <si>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</si>
  <si>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</si>
  <si>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</si>
  <si>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</si>
  <si>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</si>
  <si>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</si>
  <si>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</si>
  <si>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</si>
  <si>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01.1.1.6.</t>
  </si>
  <si>
    <t>poistenie</t>
  </si>
  <si>
    <t>Vzdelávanie zamestnancov mesta</t>
  </si>
  <si>
    <t>Elektrická energia</t>
  </si>
  <si>
    <t>06.4.0.</t>
  </si>
  <si>
    <t>Poistné</t>
  </si>
  <si>
    <t>06.2.0.</t>
  </si>
  <si>
    <t>údržba kamerového systému</t>
  </si>
  <si>
    <t>Aktualizácia softvéru</t>
  </si>
  <si>
    <t>Nový ÚPN - dokončenie, architektonické štúdie</t>
  </si>
  <si>
    <t>Doplatok straty za rok 2011</t>
  </si>
  <si>
    <t>záloha na rok 2012</t>
  </si>
  <si>
    <t>04.4.3.</t>
  </si>
  <si>
    <t>ZŠ Potočná - ŠZMT m.r.o.</t>
  </si>
  <si>
    <t>mzdy, platy, OOV</t>
  </si>
  <si>
    <t>poistné a príspevok do poisťovní</t>
  </si>
  <si>
    <t>Energie, voda a komunikácie</t>
  </si>
  <si>
    <t>Materiál</t>
  </si>
  <si>
    <t>Služby</t>
  </si>
  <si>
    <t>Vzdelávacie poukazy</t>
  </si>
  <si>
    <t>Tovary a služby, z toho:</t>
  </si>
  <si>
    <t>ŠKD Potočná - ŠZMT m.r.o.</t>
  </si>
  <si>
    <t xml:space="preserve"> - poplatky za školské kluby</t>
  </si>
  <si>
    <t>08.1.0</t>
  </si>
  <si>
    <t>Dotácie na činnosť</t>
  </si>
  <si>
    <t>Dotácie na reprezentáciu a výnim.akcie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</si>
  <si>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</si>
  <si>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</si>
  <si>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</si>
  <si>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</si>
  <si>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</si>
  <si>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</si>
  <si>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</si>
  <si>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</si>
  <si>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</si>
  <si>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</si>
  <si>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</si>
  <si>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 prenájmu krytej a letnej plavárne</t>
  </si>
  <si>
    <t>za vstupné: krytá plaváreň</t>
  </si>
  <si>
    <t>za vstupné: letná plaváreň</t>
  </si>
  <si>
    <t>za energie: krytá a letná plaváreň</t>
  </si>
  <si>
    <t>08.2.0.9.</t>
  </si>
  <si>
    <t>04.2.2.</t>
  </si>
  <si>
    <t>Transfery</t>
  </si>
  <si>
    <t>10.2.0.1.</t>
  </si>
  <si>
    <t>05.1.0.</t>
  </si>
  <si>
    <t>Rok 2011 - august-december</t>
  </si>
  <si>
    <t>Záväzky 2010: Dohoda o urovaní dlhu</t>
  </si>
  <si>
    <t>Rok 2012: január - november</t>
  </si>
  <si>
    <t>Rok 2012: jarné a jesenné upratovanie</t>
  </si>
  <si>
    <t>Skládka Zámoste - monitoring</t>
  </si>
  <si>
    <t>05.6.0.</t>
  </si>
  <si>
    <t>Deratizácia verejných plôch zelene</t>
  </si>
  <si>
    <t>01.3.3.</t>
  </si>
  <si>
    <t>03.2.0.</t>
  </si>
  <si>
    <t>Dobrovoľné has.zbory - dotácia</t>
  </si>
  <si>
    <t>Dotácia na prevádzku a činnosť</t>
  </si>
  <si>
    <t>Poštové a telekomunikačné služby</t>
  </si>
  <si>
    <t>Údržba budov Mestského úradu</t>
  </si>
  <si>
    <t>Trávniky - kosenie,hrabanie,postrek,...</t>
  </si>
  <si>
    <t>Dreviny - orez, výrub, výsadba,...</t>
  </si>
  <si>
    <t>Záhony kvetov</t>
  </si>
  <si>
    <t>Recertifikačný audit</t>
  </si>
  <si>
    <t>08.4.0.</t>
  </si>
  <si>
    <t>02.2.0.</t>
  </si>
  <si>
    <t>zákonné povinnosti na úseku CO</t>
  </si>
  <si>
    <t>Energie - CO kryt Ul. Turkovej</t>
  </si>
  <si>
    <t>daň za ubytovanie</t>
  </si>
  <si>
    <t>01.1.2.</t>
  </si>
  <si>
    <t>Poštovné (právnické osoby,predvolania, ...)</t>
  </si>
  <si>
    <t>10.7.0.1.</t>
  </si>
  <si>
    <t>Dávka sociálnej pomoci</t>
  </si>
  <si>
    <t>10.7.0.4.</t>
  </si>
  <si>
    <t>Grantový program</t>
  </si>
  <si>
    <t>Posudková činnosť</t>
  </si>
  <si>
    <t>Pohrebné služby</t>
  </si>
  <si>
    <t>10.4.0.3.</t>
  </si>
  <si>
    <t>Príspevky na dopravu do detského domova</t>
  </si>
  <si>
    <t>Príspevky na úpravu rodinných pomerov</t>
  </si>
  <si>
    <t>Tvorba úspor na dieťa</t>
  </si>
  <si>
    <t>Úroky a poplatky súvisiace s úrokmi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</si>
  <si>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</si>
  <si>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</si>
  <si>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</si>
  <si>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</si>
  <si>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</si>
  <si>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</si>
  <si>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</si>
  <si>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Ochrana pred povodňami - št.dotácia</t>
  </si>
  <si>
    <t>Ochrana pred povodňami</t>
  </si>
  <si>
    <t xml:space="preserve">Ruderálne porasty - kosenie </t>
  </si>
  <si>
    <t>Transfery - náhrada počas PN</t>
  </si>
  <si>
    <t>10.2.0.2.</t>
  </si>
  <si>
    <t>Energie, voda a komunikácie - telefón,poštovné</t>
  </si>
  <si>
    <t>Transfery - náhrada počas PN, odchodné</t>
  </si>
  <si>
    <t>Materiál (prac.odevy,obuv,ochr.prac.prostr.)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</si>
  <si>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</si>
  <si>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</si>
  <si>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</si>
  <si>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</si>
  <si>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</si>
  <si>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family val="0"/>
      </rPr>
      <t xml:space="preserve"> - poistenie</t>
    </r>
  </si>
  <si>
    <t>Poistné a prívpevky do poisťovní</t>
  </si>
  <si>
    <t>Cestovné výdavky</t>
  </si>
  <si>
    <t>Bežné transfery - členské ZNMaO polícií</t>
  </si>
  <si>
    <t>03.1.0.</t>
  </si>
  <si>
    <t>Vzdelávanie MsP - jazyková príprava, legisl.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</si>
  <si>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</si>
  <si>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</si>
  <si>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</si>
  <si>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</si>
  <si>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Vianočné trhy</t>
  </si>
  <si>
    <t xml:space="preserve">  - príležitostné menšie podujatia</t>
  </si>
  <si>
    <t>Organizácia kultúrnych podujatí</t>
  </si>
  <si>
    <t>Podpora kultúrnych podujatí a činností</t>
  </si>
  <si>
    <t xml:space="preserve">  - Festival Pohoda</t>
  </si>
  <si>
    <t xml:space="preserve">  - Trenčianske hradné slávnosti</t>
  </si>
  <si>
    <t xml:space="preserve">  - Trenčianske historické slávnosti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</si>
  <si>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</si>
  <si>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</si>
  <si>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</si>
  <si>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</si>
  <si>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10.1.2.3.</t>
  </si>
  <si>
    <t>Materiál (tlačivá)</t>
  </si>
  <si>
    <t>Nocľaháreň</t>
  </si>
  <si>
    <t>10.7.0.2.</t>
  </si>
  <si>
    <t>Materiál - všeobecný</t>
  </si>
  <si>
    <t xml:space="preserve">Služby </t>
  </si>
  <si>
    <t>Poplatky za nocľaháreň</t>
  </si>
  <si>
    <t>Dopravné - PH, servis, poistenie</t>
  </si>
  <si>
    <t>717</t>
  </si>
  <si>
    <t>Rutinná a štand.údržba - výp.tech.</t>
  </si>
  <si>
    <t>Prenájom plynových fľiaš</t>
  </si>
  <si>
    <t>Odmeňovanie učiteľov, žiakov, knihy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</si>
  <si>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</si>
  <si>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</si>
  <si>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</si>
  <si>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</si>
  <si>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</si>
  <si>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</si>
  <si>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Šafárikova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</si>
  <si>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</si>
  <si>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</si>
  <si>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</si>
  <si>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</si>
  <si>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</si>
  <si>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</si>
  <si>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</si>
  <si>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</si>
  <si>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</si>
  <si>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</si>
  <si>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family val="0"/>
      </rPr>
      <t>z toho:</t>
    </r>
  </si>
  <si>
    <t>MŠ Legionárska</t>
  </si>
  <si>
    <t>MŠ Považská</t>
  </si>
  <si>
    <t>MŠ Turkovej</t>
  </si>
  <si>
    <t>MŠ Soblahovská</t>
  </si>
  <si>
    <t>MŠ Šmidkeho</t>
  </si>
  <si>
    <t>MŠ Šafárikova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</si>
  <si>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</si>
  <si>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</si>
  <si>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</si>
  <si>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</si>
  <si>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</si>
  <si>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</si>
  <si>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</si>
  <si>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</si>
  <si>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</si>
  <si>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</si>
  <si>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</si>
  <si>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</si>
  <si>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</si>
  <si>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</si>
  <si>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</si>
  <si>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</si>
  <si>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</si>
  <si>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</si>
  <si>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</si>
  <si>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Súkromná MŠ Valachová</t>
  </si>
  <si>
    <t>Súkromná MŠ Slimáčik</t>
  </si>
  <si>
    <t>Súkromná MŠ Masariková</t>
  </si>
  <si>
    <t>ZŠ Novomeského</t>
  </si>
  <si>
    <t xml:space="preserve">Dopravné </t>
  </si>
  <si>
    <t>Transfery (odchodné + náhrada PN)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</si>
  <si>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</si>
  <si>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</si>
  <si>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</si>
  <si>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</si>
  <si>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</si>
  <si>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</si>
  <si>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</si>
  <si>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</si>
  <si>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</si>
  <si>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</si>
  <si>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Gymázium FUTURUM</t>
  </si>
  <si>
    <t>ŠJ ZŠ FUTURUM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</si>
  <si>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</si>
  <si>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</si>
  <si>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</si>
  <si>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</si>
  <si>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</si>
  <si>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</si>
  <si>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</si>
  <si>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</si>
  <si>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</si>
  <si>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</si>
  <si>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</si>
  <si>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</si>
  <si>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</si>
  <si>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</si>
  <si>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</si>
  <si>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</si>
  <si>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</si>
  <si>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ŠSZČ sv. Svorada a Benedikta</t>
  </si>
  <si>
    <t>ŠSZČ Piaristické gymnázium J.Braneckého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</si>
  <si>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</si>
  <si>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</si>
  <si>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</si>
  <si>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</si>
  <si>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</si>
  <si>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</si>
  <si>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</si>
  <si>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</si>
  <si>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</si>
  <si>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</si>
  <si>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</si>
  <si>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</si>
  <si>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</si>
  <si>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</si>
  <si>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</si>
  <si>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</si>
  <si>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</si>
  <si>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</si>
  <si>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</si>
  <si>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</si>
  <si>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</si>
  <si>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</si>
  <si>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</si>
  <si>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Záväzky 2010: Dohoda o urovnaní dlhu</t>
  </si>
  <si>
    <t>Rovnošaty</t>
  </si>
  <si>
    <t>Strategické plánovanie mesta</t>
  </si>
  <si>
    <t xml:space="preserve"> - Asociácia prednostov</t>
  </si>
  <si>
    <t xml:space="preserve">  - príjmy INFO</t>
  </si>
  <si>
    <t xml:space="preserve">  - Artfilm</t>
  </si>
  <si>
    <t>ZŠ Bezručova</t>
  </si>
  <si>
    <t>Poistenie (stará + nová letná)</t>
  </si>
  <si>
    <t>Mzdy, platy a OOV - krytá plaváreň</t>
  </si>
  <si>
    <t>Činnosti na úseku PO</t>
  </si>
  <si>
    <t>zimný štadión</t>
  </si>
  <si>
    <t>Vlastné príjmy</t>
  </si>
  <si>
    <t>Bežné transfery</t>
  </si>
  <si>
    <t>322</t>
  </si>
  <si>
    <t>04.7.3.</t>
  </si>
  <si>
    <t>08.3.0.</t>
  </si>
  <si>
    <t>09.5.0.</t>
  </si>
  <si>
    <t>09.1.2.1.</t>
  </si>
  <si>
    <t xml:space="preserve">09.1.2.1. </t>
  </si>
  <si>
    <t>09.5.0.1.</t>
  </si>
  <si>
    <t>09.5.0.2.</t>
  </si>
  <si>
    <t>06.1.0.</t>
  </si>
  <si>
    <t>Daňová povinnosť</t>
  </si>
  <si>
    <t>Dohoda o reštr.dlhu - záväzky 2010</t>
  </si>
  <si>
    <t>Nová letná plaváreň - energie+stráženie</t>
  </si>
  <si>
    <t>Dohoda o reštr.dlhu - záväzky 2010 - SLSP</t>
  </si>
  <si>
    <t>Dohoda o reštr.dlhu - záväzky 2010 - ČSOB</t>
  </si>
  <si>
    <t>Nová letná plaváreň -záväzky 2010 - SLSP</t>
  </si>
  <si>
    <t>Nová letná plaváreň - záväzky 2010 - SLSP</t>
  </si>
  <si>
    <t>Záväzky 2010  - Dohoda o reštr.dlhu - ČSOB</t>
  </si>
  <si>
    <t>Záväzky 2010  - Dohoda o reštr.dlhu - SLSP</t>
  </si>
  <si>
    <t>716</t>
  </si>
  <si>
    <t>Rekultivácia skládky Zámostie - splátka</t>
  </si>
  <si>
    <t>Záväzky 2010 - Dohoda o reštr.dlhu - ČSOB</t>
  </si>
  <si>
    <t>ERES - Dohoda o reštr.dlhu - kotolne</t>
  </si>
  <si>
    <t>711</t>
  </si>
  <si>
    <t>Nákup pozemkov</t>
  </si>
  <si>
    <t>Záväzky 2010 - Dohoda o reštr.dlhu - SLSP</t>
  </si>
  <si>
    <t>ČSOB - istina z poskytnutých úverov</t>
  </si>
  <si>
    <t>Združenie kresťanských seniorov</t>
  </si>
  <si>
    <t>Jednota dôchodcov</t>
  </si>
  <si>
    <t>Refugium o.z.</t>
  </si>
  <si>
    <t xml:space="preserve">Kľúčové podujatia </t>
  </si>
  <si>
    <t xml:space="preserve">  - Jazz pod hradom</t>
  </si>
  <si>
    <t xml:space="preserve">  - Považský Pohár</t>
  </si>
  <si>
    <t xml:space="preserve">  - Trenčianske Hradosti</t>
  </si>
  <si>
    <t xml:space="preserve">Návrh rozpočtu na rok 2012 </t>
  </si>
  <si>
    <t xml:space="preserve">ZŠ Potočná </t>
  </si>
  <si>
    <t>Telefóny, internet</t>
  </si>
  <si>
    <t xml:space="preserve">Odmeny </t>
  </si>
  <si>
    <t>Medz.spolupráca a zahraničné vzťahy</t>
  </si>
  <si>
    <t>Implementácia projektov</t>
  </si>
  <si>
    <t xml:space="preserve"> - Asociácia komunálnych ekonómov</t>
  </si>
  <si>
    <t>Komunikácia s verej.inštitúciami v mene mesta</t>
  </si>
  <si>
    <t xml:space="preserve">  - HoryZonty</t>
  </si>
  <si>
    <r>
      <t>MHSL m.r.o. - prevádzka budov</t>
    </r>
    <r>
      <rPr>
        <sz val="8"/>
        <rFont val="Arial CE"/>
        <family val="0"/>
      </rPr>
      <t>, z toho:</t>
    </r>
  </si>
  <si>
    <t>Záväzky 2010-Dohoda o reštr.dlhu - ČSOB</t>
  </si>
  <si>
    <t>MHSL m.r.o. , z toho:</t>
  </si>
  <si>
    <t>MHSL m.r.o., z toho:</t>
  </si>
  <si>
    <r>
      <t>Tovary a služby,</t>
    </r>
    <r>
      <rPr>
        <sz val="9"/>
        <rFont val="Arial CE"/>
        <family val="0"/>
      </rPr>
      <t xml:space="preserve"> z toho:</t>
    </r>
  </si>
  <si>
    <t>MHSL m.r.o. - vianočné osvetlenie, z toho:</t>
  </si>
  <si>
    <t>Oprava a doplnenie nových dopr.zariadení</t>
  </si>
  <si>
    <r>
      <t>Tovary a služby</t>
    </r>
    <r>
      <rPr>
        <sz val="8"/>
        <rFont val="Arial CE"/>
        <family val="0"/>
      </rPr>
      <t>, z toho:</t>
    </r>
  </si>
  <si>
    <t>Dotácia na prevádzku a činnosť - FŠ Na Sihoti</t>
  </si>
  <si>
    <t>Artkino Metro</t>
  </si>
  <si>
    <t>KS Hviezda</t>
  </si>
  <si>
    <t>Výstavba RD - Dorušinec a Hamaj</t>
  </si>
  <si>
    <r>
      <t>MHSL m.r.o. - údržba zelene</t>
    </r>
    <r>
      <rPr>
        <sz val="8"/>
        <rFont val="Arial CE"/>
        <family val="0"/>
      </rPr>
      <t>, z toho:</t>
    </r>
  </si>
  <si>
    <r>
      <t xml:space="preserve">Ostatné činnosti </t>
    </r>
    <r>
      <rPr>
        <sz val="8"/>
        <rFont val="Arial CE"/>
        <family val="0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</si>
  <si>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</si>
  <si>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</si>
  <si>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family val="0"/>
      </rPr>
      <t>, z toho:</t>
    </r>
  </si>
  <si>
    <r>
      <t>SSMT m.r.o.</t>
    </r>
    <r>
      <rPr>
        <sz val="8"/>
        <rFont val="Arial CE"/>
        <family val="0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</si>
  <si>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</si>
  <si>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</si>
  <si>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</si>
  <si>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</si>
  <si>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</si>
  <si>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</si>
  <si>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</si>
  <si>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</si>
  <si>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</si>
  <si>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</si>
  <si>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</si>
  <si>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</si>
  <si>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</si>
  <si>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</si>
  <si>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</si>
  <si>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</si>
  <si>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</si>
  <si>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</si>
  <si>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</si>
  <si>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Rekonštrukcia VO - splátky ČSOB</t>
  </si>
  <si>
    <t>* - na preklenutie časového nesúladu medzi príjmami a výdavkami rozpočtu sa môže čerpať kontokorentný úver spolu vo výške 3 000 tis. € z ČSOB a.s. s tým, že do konca roka 2012 bude predmetný úver splatený</t>
  </si>
  <si>
    <t xml:space="preserve">821 004 - Splácanie istín z bankových úverov strednodobých,    z toho: </t>
  </si>
  <si>
    <t>Artkino Metro - digitalizácia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</si>
  <si>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</si>
  <si>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</si>
  <si>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</si>
  <si>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</si>
  <si>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</si>
  <si>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</si>
  <si>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</si>
  <si>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</si>
  <si>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Preklady do cudzích jazykov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</si>
  <si>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</si>
  <si>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</si>
  <si>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</si>
  <si>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</si>
  <si>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Poštové a telekom.služby</t>
  </si>
  <si>
    <t>Výpočtová technicka do 1 700 €</t>
  </si>
  <si>
    <t>Údržba výpočtovej techniky</t>
  </si>
  <si>
    <t>Systémové a aplikačné licencie</t>
  </si>
  <si>
    <r>
      <t>R</t>
    </r>
    <r>
      <rPr>
        <b/>
        <sz val="9"/>
        <color indexed="9"/>
        <rFont val="Arial CE"/>
        <family val="0"/>
      </rPr>
      <t xml:space="preserve">ozpočet 2012 </t>
    </r>
    <r>
      <rPr>
        <b/>
        <sz val="12"/>
        <color indexed="9"/>
        <rFont val="Arial CE"/>
        <family val="0"/>
      </rPr>
      <t xml:space="preserve">     </t>
    </r>
    <r>
      <rPr>
        <b/>
        <sz val="8"/>
        <color indexed="9"/>
        <rFont val="Arial CE"/>
        <family val="0"/>
      </rPr>
      <t xml:space="preserve"> spolu</t>
    </r>
  </si>
  <si>
    <t>Energie</t>
  </si>
  <si>
    <t>Prevádza pohrebísk a cintorínov</t>
  </si>
  <si>
    <t>Prevádzka VO</t>
  </si>
  <si>
    <t>Splátka dlhu</t>
  </si>
  <si>
    <t>Poistenie VO</t>
  </si>
  <si>
    <t>Dopravné (PHM, opravy,známky,poistenie, ....)</t>
  </si>
  <si>
    <t>Služby: poistenie, reklama, štúdie, posudky a pod.</t>
  </si>
  <si>
    <t>Služby: posudky, reklama, kolky, poistenie a pod.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</si>
  <si>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</si>
  <si>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</si>
  <si>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</si>
  <si>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</si>
  <si>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Služby: Naviac paré PD</t>
  </si>
  <si>
    <t>Dopravné: autobus pri pietnych aktoch</t>
  </si>
  <si>
    <t>Materiál: Občerstvenie a pod.</t>
  </si>
  <si>
    <t>Kvety, vence, reprezentačné a pod.</t>
  </si>
  <si>
    <t>Tlmočenie, monitoring tlače</t>
  </si>
  <si>
    <t>Dary, kvety, pracovné obedy a pod.</t>
  </si>
  <si>
    <t>Materiál: Tlačivá, papier, etikety, obálky a pod.</t>
  </si>
  <si>
    <t>Služby: Auditorská činnosť, roznos výmerov, daň</t>
  </si>
  <si>
    <t>Propagácia kult.podujatí, produktov CR, kultúry</t>
  </si>
  <si>
    <t>modulov a infokioskov, technická podpora</t>
  </si>
  <si>
    <t xml:space="preserve">Odb.podujatia, networking, prieskumy, analýzy a p. </t>
  </si>
  <si>
    <t>Propagácia a prezent.mesta: Tlačoviny, suveníry, web a p.</t>
  </si>
  <si>
    <t>materiál, darčeky, kvety a p.</t>
  </si>
  <si>
    <t>ošatné, dohody</t>
  </si>
  <si>
    <t>Stavebná, bežná a zimná údržba</t>
  </si>
  <si>
    <t>Národné majstrovstvá SR vo vodnom motorizme</t>
  </si>
  <si>
    <t>Poistenie - FŠ Opatová a FŠ Na Sihoti</t>
  </si>
  <si>
    <t>Energie: Elektrická energia, plyn, vodné stočné a p.</t>
  </si>
  <si>
    <t>Služby (odborné prehliadky, poistenie a p.)</t>
  </si>
  <si>
    <t>Mestská galéria v Synagóge</t>
  </si>
  <si>
    <t>Materiál: farba, nálepky a p.</t>
  </si>
  <si>
    <t>Služby: zúčtovateľské služby, poplatky za správu a p.</t>
  </si>
  <si>
    <r>
      <rPr>
        <b/>
        <sz val="9"/>
        <color indexed="9"/>
        <rFont val="Arial CE"/>
        <family val="0"/>
      </rPr>
      <t xml:space="preserve">Rozpočet 2012                </t>
    </r>
    <r>
      <rPr>
        <b/>
        <sz val="11"/>
        <color indexed="9"/>
        <rFont val="Arial CE"/>
        <family val="0"/>
      </rPr>
      <t xml:space="preserve">                </t>
    </r>
    <r>
      <rPr>
        <b/>
        <sz val="7"/>
        <color indexed="9"/>
        <rFont val="Arial CE"/>
        <family val="0"/>
      </rPr>
      <t>bežné              výdavky</t>
    </r>
  </si>
  <si>
    <r>
      <t>R</t>
    </r>
    <r>
      <rPr>
        <b/>
        <sz val="9"/>
        <color indexed="9"/>
        <rFont val="Arial CE"/>
        <family val="0"/>
      </rPr>
      <t>ozpočet 2012</t>
    </r>
    <r>
      <rPr>
        <b/>
        <sz val="11"/>
        <color indexed="9"/>
        <rFont val="Arial CE"/>
        <family val="0"/>
      </rPr>
      <t xml:space="preserve">  </t>
    </r>
    <r>
      <rPr>
        <b/>
        <sz val="7"/>
        <color indexed="9"/>
        <rFont val="Arial CE"/>
        <family val="0"/>
      </rPr>
      <t xml:space="preserve"> kapitálové výdavky</t>
    </r>
  </si>
  <si>
    <t>Rozpočet          2012</t>
  </si>
  <si>
    <t>Prekrytie tržnice pri NS Družba</t>
  </si>
  <si>
    <t>Podchod pri Hoteli Tatra</t>
  </si>
  <si>
    <t>Komunikácie, križovatky, chodníky a p.</t>
  </si>
  <si>
    <t>Rozpočet na rok 2012</t>
  </si>
  <si>
    <t>PD plynovod areál MHSL</t>
  </si>
  <si>
    <t>Tovary a služby (MsÚ)</t>
  </si>
  <si>
    <t>Statika</t>
  </si>
  <si>
    <t>513 002: Dlhodobý účelový úver z ČSOB a.s.</t>
  </si>
  <si>
    <t>Predčasné splatenie úverov z Dexia banky Slovensko a.s.</t>
  </si>
  <si>
    <t>Materiál (krytá plaváreň MsÚ)</t>
  </si>
  <si>
    <t>Nájom VO</t>
  </si>
  <si>
    <t>Materiál (MsÚ)</t>
  </si>
  <si>
    <t>Akadémia III.veku</t>
  </si>
  <si>
    <t>3 ks kosačky</t>
  </si>
  <si>
    <t>poistenie (motorových vozidiel)</t>
  </si>
  <si>
    <t>Rutinná a štandardná údržba (MsÚ)</t>
  </si>
  <si>
    <t>714</t>
  </si>
  <si>
    <t>Maják na auto</t>
  </si>
  <si>
    <t>Kopírovací stroj</t>
  </si>
  <si>
    <t>Vrátenie finančnej náhrady</t>
  </si>
  <si>
    <t>Zhodnotenie zimného štadióna P.Demitru</t>
  </si>
  <si>
    <t>642</t>
  </si>
  <si>
    <t>projektové vyučovanie - spolufin. - mzdy</t>
  </si>
  <si>
    <t>projektové vyučovanie - spolufin. - poistné</t>
  </si>
  <si>
    <t>09.1.2.</t>
  </si>
  <si>
    <t>Projektové vyučovanie - spolufin. - materiál</t>
  </si>
  <si>
    <t>Projektové vyučovanie - spolufin. - služby</t>
  </si>
  <si>
    <t xml:space="preserve">633 </t>
  </si>
  <si>
    <t>knihy pre prvákov, vecné a knižné odmeny</t>
  </si>
  <si>
    <t>Projekty dopravného značenia v meste</t>
  </si>
  <si>
    <t>321</t>
  </si>
  <si>
    <t>Grant na rekonštrukciu podchodu Tatra</t>
  </si>
  <si>
    <t>Klimatizácia - serverovňa</t>
  </si>
  <si>
    <t>Hardvér</t>
  </si>
  <si>
    <t>Kúpa obchodných stánkov</t>
  </si>
  <si>
    <t xml:space="preserve"> - ZMOS</t>
  </si>
  <si>
    <t>zimný štadión - prenájom priestorov</t>
  </si>
  <si>
    <t>z mestských lesov - stredisko Brezina</t>
  </si>
  <si>
    <t>ostatné príjmy: vratky</t>
  </si>
  <si>
    <t>Údržba vojnových hrobov</t>
  </si>
  <si>
    <t>Geometrické zameranie reklamných zariadení</t>
  </si>
  <si>
    <t>Ploter</t>
  </si>
  <si>
    <t>Nevyčerpaná dotácia za rok 2011</t>
  </si>
  <si>
    <t>Skalka nad Váhom - refund.prostriedkov</t>
  </si>
  <si>
    <t>Záv.2011 - VO Nad Teheľňou</t>
  </si>
  <si>
    <t>Motorová kosačka</t>
  </si>
  <si>
    <t>TTZ Kino Hviezda</t>
  </si>
  <si>
    <t>Dotácia na prevádzku FŠ Opatová</t>
  </si>
  <si>
    <t>Služby - tepelný zdroj</t>
  </si>
  <si>
    <t>Dohody - prevádzka KS</t>
  </si>
  <si>
    <t>Materiál pre KS</t>
  </si>
  <si>
    <t>Nevyčerpaná dotácia z roku 2011</t>
  </si>
  <si>
    <t>SČK: Dom Humanity, Refugium,n.o.</t>
  </si>
  <si>
    <t>Nevyčerpaná dotácia za rok 2011 - prídavky na deti</t>
  </si>
  <si>
    <t>712</t>
  </si>
  <si>
    <t>Nákup budov</t>
  </si>
  <si>
    <t>454 001:  Prevod hospodárskeho výsledku za rok 2011</t>
  </si>
  <si>
    <t>453:         Nevyčerpané dotácie za rok 2011</t>
  </si>
  <si>
    <t>454 001: Použitie rezervného fondu</t>
  </si>
  <si>
    <t xml:space="preserve">  - NF Beňadik: Mariánske koncerty</t>
  </si>
  <si>
    <t>Kompenzačný rozvádzač - krytá plaváreň</t>
  </si>
  <si>
    <t>Vrátenie kúpnej ceny nehnuteľnosti HK Dukla</t>
  </si>
  <si>
    <t>Dukla Trenčín a.s. - zmluva o spolupráci</t>
  </si>
  <si>
    <t xml:space="preserve">Dukla Trenčín a.s. </t>
  </si>
  <si>
    <t>Nová letná plaváreň -záväzky 2010 - ČSOB</t>
  </si>
  <si>
    <t>Detské ihriská -záväzky 2010 - ČSOB</t>
  </si>
  <si>
    <t>stravné zamestnanci</t>
  </si>
  <si>
    <t>cudzí stravníci</t>
  </si>
  <si>
    <t>017</t>
  </si>
  <si>
    <t>vratky</t>
  </si>
  <si>
    <t>dobropisy</t>
  </si>
  <si>
    <t>311</t>
  </si>
  <si>
    <t>dary</t>
  </si>
  <si>
    <t>Granty</t>
  </si>
  <si>
    <t>Dar od Slovenských elektrární - Kráľovské dni - Pri trenč.bráne</t>
  </si>
  <si>
    <t>Dar od ČSOB a.s. - darčeky vítanie nových občanov do života</t>
  </si>
  <si>
    <t>MK SR - Farebná veža</t>
  </si>
  <si>
    <t>MK SR - Ora et ars</t>
  </si>
  <si>
    <t>Nájomné priestorov ODA</t>
  </si>
  <si>
    <t>Preložka VO - Jahodová ul.</t>
  </si>
  <si>
    <t>Dotácia pre FK SOS TTS Trenčín</t>
  </si>
  <si>
    <t xml:space="preserve"> - MK SR - Farebná veža</t>
  </si>
  <si>
    <t xml:space="preserve"> - Trenčianska palička</t>
  </si>
  <si>
    <t>MHSL m.r.o. - KS Hviezda</t>
  </si>
  <si>
    <t>MHSL m.r.o. - Stredisko Soblahov</t>
  </si>
  <si>
    <r>
      <t xml:space="preserve">MHSL m.r.o. - Stredisko Brezina </t>
    </r>
    <r>
      <rPr>
        <sz val="8"/>
        <rFont val="Arial CE"/>
        <family val="0"/>
      </rPr>
      <t>, z toho:</t>
    </r>
  </si>
  <si>
    <t>ZŠ Kubranská  - projektové vyučovanie - dotácia z EU</t>
  </si>
  <si>
    <t>Transfery - náhrady PN</t>
  </si>
  <si>
    <t>Aktualizácia TMM, katastrálnych máp</t>
  </si>
  <si>
    <t>Služby: Roznos výmerov</t>
  </si>
  <si>
    <t>Poistné: Roznos výmerov</t>
  </si>
  <si>
    <t>01.7.0.</t>
  </si>
  <si>
    <t>Poplatky banke</t>
  </si>
  <si>
    <t>Ostatné kapitálové výdavky</t>
  </si>
  <si>
    <t>Bežné transfery - náhrady PN</t>
  </si>
  <si>
    <t>projektové vyučovanie - z EU - mzdy</t>
  </si>
  <si>
    <t>projektové vyučovanie - z EU- poistné</t>
  </si>
  <si>
    <t xml:space="preserve">Projektové vyučovanie -z EU </t>
  </si>
  <si>
    <t>Poistné - posudková činnosť</t>
  </si>
  <si>
    <t xml:space="preserve"> - pozemkov - modernizácia železničnej trate</t>
  </si>
  <si>
    <t>prevádzka tepelného zdroja</t>
  </si>
  <si>
    <t>513 002: Strednodobý bankový úver</t>
  </si>
  <si>
    <t>Stavebný dozor</t>
  </si>
  <si>
    <t>Dar na organizáciu vianočných trhov</t>
  </si>
  <si>
    <t>Náhrada za VO Pod Komárky</t>
  </si>
  <si>
    <t>Cestovné</t>
  </si>
  <si>
    <t>Plnenie Programového rozpočtu Mesta Trenčín na rok 2012 k 31.12.2012</t>
  </si>
  <si>
    <t>Plnenie rozpočtu k 31.12.2012</t>
  </si>
  <si>
    <t>% Plnenia</t>
  </si>
  <si>
    <t>% plnenia</t>
  </si>
  <si>
    <t>Rodinné prídavky</t>
  </si>
  <si>
    <t>Manká a škody</t>
  </si>
  <si>
    <t>ZŠ internátna - hmotná núdza</t>
  </si>
  <si>
    <t>211</t>
  </si>
  <si>
    <t>príjmy z podnikania</t>
  </si>
  <si>
    <t>dividendy</t>
  </si>
  <si>
    <t>Centrum voľného času m.r.o.</t>
  </si>
  <si>
    <t>Voľby do NR SR 2012</t>
  </si>
  <si>
    <t xml:space="preserve"> - MHSL m.r.o.</t>
  </si>
  <si>
    <t>Plnenie bežného rozpočtu k 31.12.2012</t>
  </si>
  <si>
    <t>Plnenie kapitálového rozpočtu k 31.12.2012</t>
  </si>
  <si>
    <t>Plnenie rozpočtu spolu k 31.12.2012</t>
  </si>
  <si>
    <t>455: Odplata za postúpenú pohľadávku</t>
  </si>
  <si>
    <t>Schválený bežný rozpočet na rok 2012</t>
  </si>
  <si>
    <t>Upravený bežný rozpočet na rok 2012</t>
  </si>
  <si>
    <t>Schválený kapitálový rozpočet na rok 2012</t>
  </si>
  <si>
    <t>Upravený kapitálový rozpočet na rok 2012</t>
  </si>
  <si>
    <t>Schválený rozpočet na rok 2012 spolu</t>
  </si>
  <si>
    <t>Upravený rozpočet na rok 2012 spolu</t>
  </si>
  <si>
    <t>Hmotná núdza</t>
  </si>
  <si>
    <t>Z dobropisov</t>
  </si>
  <si>
    <t>Vratky</t>
  </si>
  <si>
    <t>006</t>
  </si>
  <si>
    <t>Z náhrad z poistného plnenia</t>
  </si>
  <si>
    <t xml:space="preserve">   - za prebytočný hnuteľný majetok</t>
  </si>
  <si>
    <t xml:space="preserve">   - za porušenie predpisov</t>
  </si>
  <si>
    <t>242</t>
  </si>
  <si>
    <t>Úroky z domácich úverov, pôžičiek a vkladov</t>
  </si>
  <si>
    <t>Dar na Čaro Vianoc pod hradom</t>
  </si>
  <si>
    <t>Dotácia pre deti v hmotnej núdzi na stravu a školské potreby</t>
  </si>
  <si>
    <t>Príspevok na aktivačnú činnosť formou menších obecných služieb pre obec</t>
  </si>
  <si>
    <t>Doplatok na činnosť Spoločného obecného úradu za rok 2011</t>
  </si>
  <si>
    <t>Dotácia z TSK - Môj domov región Biele Karpaty za rok 2011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</si>
</sst>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0.0;[Red]0.0"/>
    <numFmt numFmtId="174" formatCode="#,##0.0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 CE"/>
      <family val="0"/>
    </font>
    <font>
      <b/>
      <sz val="14"/>
      <color indexed="56"/>
      <name val="Arial Black"/>
      <family val="2"/>
    </font>
    <font>
      <b/>
      <sz val="14"/>
      <color indexed="9"/>
      <name val="Arial CE"/>
      <family val="0"/>
    </font>
    <font>
      <b/>
      <sz val="12"/>
      <name val="Arial CE"/>
      <family val="2"/>
    </font>
    <font>
      <sz val="8"/>
      <color indexed="9"/>
      <name val="Arial CE"/>
      <family val="0"/>
    </font>
    <font>
      <b/>
      <sz val="22"/>
      <color indexed="18"/>
      <name val="Tahoma"/>
      <family val="2"/>
    </font>
    <font>
      <sz val="9"/>
      <name val="Arial"/>
      <family val="2"/>
    </font>
    <font>
      <b/>
      <i/>
      <vertAlign val="superscript"/>
      <sz val="12"/>
      <name val="Arial CE"/>
      <family val="0"/>
    </font>
    <font>
      <b/>
      <sz val="12"/>
      <color indexed="9"/>
      <name val="Arial CE"/>
      <family val="0"/>
    </font>
    <font>
      <sz val="11"/>
      <name val="Arial"/>
      <family val="2"/>
    </font>
    <font>
      <b/>
      <i/>
      <sz val="14"/>
      <color indexed="9"/>
      <name val="Arial CE"/>
      <family val="2"/>
    </font>
    <font>
      <sz val="14"/>
      <color indexed="9"/>
      <name val="Arial"/>
      <family val="2"/>
    </font>
    <font>
      <sz val="11"/>
      <name val="Arial CE"/>
      <family val="0"/>
    </font>
    <font>
      <b/>
      <sz val="22"/>
      <color indexed="12"/>
      <name val="Tahoma"/>
      <family val="2"/>
    </font>
    <font>
      <b/>
      <i/>
      <sz val="12"/>
      <color indexed="9"/>
      <name val="Arial CE"/>
      <family val="0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b/>
      <sz val="10"/>
      <color indexed="18"/>
      <name val="Arial CE"/>
      <family val="0"/>
    </font>
    <font>
      <b/>
      <i/>
      <sz val="11"/>
      <color indexed="9"/>
      <name val="Arial CE"/>
      <family val="2"/>
    </font>
    <font>
      <b/>
      <i/>
      <sz val="11"/>
      <color indexed="56"/>
      <name val="Arial CE"/>
      <family val="2"/>
    </font>
    <font>
      <b/>
      <sz val="9"/>
      <color indexed="9"/>
      <name val="Arial CE"/>
      <family val="0"/>
    </font>
    <font>
      <b/>
      <sz val="10"/>
      <color indexed="9"/>
      <name val="Arial CE"/>
      <family val="2"/>
    </font>
    <font>
      <b/>
      <i/>
      <sz val="10"/>
      <color indexed="9"/>
      <name val="Arial CE"/>
      <family val="2"/>
    </font>
    <font>
      <b/>
      <i/>
      <sz val="16"/>
      <color indexed="9"/>
      <name val="Arial CE"/>
      <family val="2"/>
    </font>
    <font>
      <b/>
      <sz val="16"/>
      <color indexed="9"/>
      <name val="Arial CE"/>
      <family val="2"/>
    </font>
    <font>
      <b/>
      <sz val="20"/>
      <color indexed="18"/>
      <name val="Arial CE"/>
      <family val="2"/>
    </font>
    <font>
      <sz val="20"/>
      <color indexed="18"/>
      <name val="Arial CE"/>
      <family val="2"/>
    </font>
    <font>
      <b/>
      <sz val="18"/>
      <color indexed="30"/>
      <name val="Arial Black"/>
      <family val="2"/>
    </font>
    <font>
      <sz val="12"/>
      <color indexed="9"/>
      <name val="Arial"/>
      <family val="2"/>
    </font>
    <font>
      <i/>
      <sz val="11"/>
      <name val="Arial CE"/>
      <family val="2"/>
    </font>
    <font>
      <b/>
      <sz val="7"/>
      <color indexed="9"/>
      <name val="Arial CE"/>
      <family val="0"/>
    </font>
    <font>
      <b/>
      <i/>
      <sz val="9"/>
      <color indexed="56"/>
      <name val="Arial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sz val="8"/>
      <name val="Tahoma"/>
      <family val="2"/>
    </font>
    <font>
      <sz val="22"/>
      <name val="Tahoma"/>
      <family val="2"/>
    </font>
    <font>
      <b/>
      <sz val="8"/>
      <color indexed="56"/>
      <name val="Arial"/>
      <family val="2"/>
    </font>
    <font>
      <b/>
      <sz val="9"/>
      <color indexed="9"/>
      <name val="Arial"/>
      <family val="2"/>
    </font>
    <font>
      <sz val="9"/>
      <color indexed="9"/>
      <name val="Arial CE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7"/>
      <name val="Arial CE"/>
      <family val="0"/>
    </font>
    <font>
      <b/>
      <sz val="8"/>
      <color indexed="56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0"/>
    </font>
    <font>
      <b/>
      <sz val="11"/>
      <color theme="0"/>
      <name val="Arial CE"/>
      <family val="0"/>
    </font>
    <font>
      <b/>
      <sz val="9"/>
      <color theme="0"/>
      <name val="Arial CE"/>
      <family val="0"/>
    </font>
    <font>
      <sz val="9"/>
      <color theme="0"/>
      <name val="Arial CE"/>
      <family val="2"/>
    </font>
    <font>
      <sz val="8"/>
      <color theme="1"/>
      <name val="Calibri"/>
      <family val="2"/>
    </font>
    <font>
      <b/>
      <sz val="10"/>
      <color theme="0"/>
      <name val="Arial CE"/>
      <family val="0"/>
    </font>
    <font>
      <b/>
      <sz val="9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E7674"/>
        <bgColor indexed="64"/>
      </patternFill>
    </fill>
    <fill>
      <patternFill patternType="solid">
        <fgColor rgb="FF99CCFF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 style="medium"/>
      <top/>
      <bottom style="double"/>
    </border>
    <border>
      <left/>
      <right style="thin"/>
      <top style="double"/>
      <bottom style="double"/>
    </border>
    <border>
      <left style="medium"/>
      <right style="medium"/>
      <top/>
      <bottom/>
    </border>
    <border>
      <left style="medium"/>
      <right style="thin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double"/>
      <bottom style="thin"/>
    </border>
    <border>
      <left style="medium"/>
      <right>
        <color indexed="63"/>
      </right>
      <top/>
      <bottom style="double"/>
    </border>
    <border>
      <left style="medium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thin"/>
    </border>
    <border>
      <left/>
      <right style="medium"/>
      <top style="medium"/>
      <bottom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/>
      <bottom style="medium"/>
    </border>
    <border>
      <left style="double"/>
      <right style="thin"/>
      <top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/>
      <top style="medium"/>
      <bottom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double"/>
      <top style="thin"/>
      <bottom/>
    </border>
    <border>
      <left style="thin"/>
      <right/>
      <top style="double"/>
      <bottom style="medium"/>
    </border>
    <border>
      <left>
        <color indexed="63"/>
      </left>
      <right style="double"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0" applyNumberFormat="0" applyBorder="0" applyAlignment="0" applyProtection="0"/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9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4" borderId="8" applyNumberFormat="0" applyAlignment="0" applyProtection="0"/>
    <xf numFmtId="0" fontId="103" fillId="25" borderId="8" applyNumberFormat="0" applyAlignment="0" applyProtection="0"/>
    <xf numFmtId="0" fontId="104" fillId="25" borderId="9" applyNumberFormat="0" applyAlignment="0" applyProtection="0"/>
    <xf numFmtId="0" fontId="105" fillId="0" borderId="0" applyNumberFormat="0" applyFill="0" applyBorder="0" applyAlignment="0" applyProtection="0"/>
    <xf numFmtId="0" fontId="106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113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49" fontId="4" fillId="36" borderId="12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4" fillId="0" borderId="16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14" fillId="0" borderId="14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9" fillId="33" borderId="16" xfId="0" applyFont="1" applyFill="1" applyBorder="1" applyAlignment="1">
      <alignment/>
    </xf>
    <xf numFmtId="0" fontId="15" fillId="0" borderId="14" xfId="0" applyFont="1" applyBorder="1" applyAlignment="1">
      <alignment/>
    </xf>
    <xf numFmtId="49" fontId="5" fillId="33" borderId="23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33" borderId="0" xfId="0" applyFill="1" applyBorder="1" applyAlignment="1">
      <alignment/>
    </xf>
    <xf numFmtId="0" fontId="39" fillId="37" borderId="15" xfId="0" applyFont="1" applyFill="1" applyBorder="1" applyAlignment="1">
      <alignment/>
    </xf>
    <xf numFmtId="49" fontId="40" fillId="37" borderId="20" xfId="0" applyNumberFormat="1" applyFont="1" applyFill="1" applyBorder="1" applyAlignment="1">
      <alignment horizontal="center"/>
    </xf>
    <xf numFmtId="0" fontId="39" fillId="37" borderId="0" xfId="0" applyFont="1" applyFill="1" applyBorder="1" applyAlignment="1">
      <alignment/>
    </xf>
    <xf numFmtId="0" fontId="39" fillId="37" borderId="20" xfId="0" applyFont="1" applyFill="1" applyBorder="1" applyAlignment="1">
      <alignment/>
    </xf>
    <xf numFmtId="0" fontId="39" fillId="37" borderId="17" xfId="0" applyFont="1" applyFill="1" applyBorder="1" applyAlignment="1">
      <alignment/>
    </xf>
    <xf numFmtId="49" fontId="40" fillId="37" borderId="25" xfId="0" applyNumberFormat="1" applyFont="1" applyFill="1" applyBorder="1" applyAlignment="1">
      <alignment horizontal="center"/>
    </xf>
    <xf numFmtId="49" fontId="40" fillId="37" borderId="26" xfId="0" applyNumberFormat="1" applyFont="1" applyFill="1" applyBorder="1" applyAlignment="1">
      <alignment horizontal="center"/>
    </xf>
    <xf numFmtId="0" fontId="41" fillId="37" borderId="27" xfId="0" applyFont="1" applyFill="1" applyBorder="1" applyAlignment="1">
      <alignment/>
    </xf>
    <xf numFmtId="0" fontId="39" fillId="37" borderId="25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49" fontId="28" fillId="38" borderId="10" xfId="0" applyNumberFormat="1" applyFont="1" applyFill="1" applyBorder="1" applyAlignment="1">
      <alignment horizontal="center"/>
    </xf>
    <xf numFmtId="49" fontId="28" fillId="38" borderId="11" xfId="0" applyNumberFormat="1" applyFont="1" applyFill="1" applyBorder="1" applyAlignment="1">
      <alignment horizontal="center"/>
    </xf>
    <xf numFmtId="0" fontId="42" fillId="38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49" fontId="28" fillId="38" borderId="30" xfId="0" applyNumberFormat="1" applyFont="1" applyFill="1" applyBorder="1" applyAlignment="1">
      <alignment horizontal="center"/>
    </xf>
    <xf numFmtId="49" fontId="28" fillId="38" borderId="31" xfId="0" applyNumberFormat="1" applyFont="1" applyFill="1" applyBorder="1" applyAlignment="1">
      <alignment horizontal="center"/>
    </xf>
    <xf numFmtId="0" fontId="42" fillId="38" borderId="31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27" fillId="34" borderId="14" xfId="0" applyFont="1" applyFill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28" fillId="39" borderId="27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33" borderId="31" xfId="0" applyFont="1" applyFill="1" applyBorder="1" applyAlignment="1">
      <alignment/>
    </xf>
    <xf numFmtId="0" fontId="13" fillId="40" borderId="14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4" fontId="20" fillId="34" borderId="33" xfId="0" applyNumberFormat="1" applyFont="1" applyFill="1" applyBorder="1" applyAlignment="1">
      <alignment horizontal="right"/>
    </xf>
    <xf numFmtId="4" fontId="20" fillId="34" borderId="12" xfId="0" applyNumberFormat="1" applyFont="1" applyFill="1" applyBorder="1" applyAlignment="1">
      <alignment horizontal="right"/>
    </xf>
    <xf numFmtId="4" fontId="20" fillId="34" borderId="18" xfId="0" applyNumberFormat="1" applyFont="1" applyFill="1" applyBorder="1" applyAlignment="1">
      <alignment horizontal="right"/>
    </xf>
    <xf numFmtId="3" fontId="22" fillId="39" borderId="34" xfId="0" applyNumberFormat="1" applyFont="1" applyFill="1" applyBorder="1" applyAlignment="1">
      <alignment horizontal="right"/>
    </xf>
    <xf numFmtId="3" fontId="36" fillId="33" borderId="35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6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12" fillId="0" borderId="38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6" fillId="39" borderId="39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20" fillId="41" borderId="40" xfId="0" applyFont="1" applyFill="1" applyBorder="1" applyAlignment="1">
      <alignment/>
    </xf>
    <xf numFmtId="0" fontId="33" fillId="41" borderId="16" xfId="0" applyFont="1" applyFill="1" applyBorder="1" applyAlignment="1">
      <alignment/>
    </xf>
    <xf numFmtId="3" fontId="20" fillId="41" borderId="41" xfId="0" applyNumberFormat="1" applyFont="1" applyFill="1" applyBorder="1" applyAlignment="1">
      <alignment horizontal="right"/>
    </xf>
    <xf numFmtId="3" fontId="22" fillId="42" borderId="41" xfId="0" applyNumberFormat="1" applyFont="1" applyFill="1" applyBorder="1" applyAlignment="1">
      <alignment horizontal="right"/>
    </xf>
    <xf numFmtId="0" fontId="4" fillId="43" borderId="11" xfId="0" applyFont="1" applyFill="1" applyBorder="1" applyAlignment="1">
      <alignment horizontal="center"/>
    </xf>
    <xf numFmtId="49" fontId="4" fillId="43" borderId="12" xfId="0" applyNumberFormat="1" applyFont="1" applyFill="1" applyBorder="1" applyAlignment="1">
      <alignment horizontal="center"/>
    </xf>
    <xf numFmtId="3" fontId="7" fillId="43" borderId="12" xfId="0" applyNumberFormat="1" applyFont="1" applyFill="1" applyBorder="1" applyAlignment="1">
      <alignment horizontal="right"/>
    </xf>
    <xf numFmtId="3" fontId="4" fillId="43" borderId="0" xfId="0" applyNumberFormat="1" applyFont="1" applyFill="1" applyBorder="1" applyAlignment="1">
      <alignment horizontal="right"/>
    </xf>
    <xf numFmtId="0" fontId="0" fillId="43" borderId="0" xfId="0" applyFill="1" applyAlignment="1">
      <alignment/>
    </xf>
    <xf numFmtId="0" fontId="4" fillId="43" borderId="12" xfId="0" applyFont="1" applyFill="1" applyBorder="1" applyAlignment="1">
      <alignment horizontal="center"/>
    </xf>
    <xf numFmtId="0" fontId="4" fillId="43" borderId="13" xfId="0" applyFont="1" applyFill="1" applyBorder="1" applyAlignment="1">
      <alignment horizontal="center"/>
    </xf>
    <xf numFmtId="3" fontId="7" fillId="43" borderId="10" xfId="0" applyNumberFormat="1" applyFont="1" applyFill="1" applyBorder="1" applyAlignment="1">
      <alignment horizontal="right"/>
    </xf>
    <xf numFmtId="0" fontId="4" fillId="43" borderId="10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3" fontId="7" fillId="43" borderId="42" xfId="0" applyNumberFormat="1" applyFont="1" applyFill="1" applyBorder="1" applyAlignment="1">
      <alignment/>
    </xf>
    <xf numFmtId="3" fontId="7" fillId="43" borderId="43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4" fillId="43" borderId="38" xfId="0" applyFont="1" applyFill="1" applyBorder="1" applyAlignment="1">
      <alignment horizontal="center"/>
    </xf>
    <xf numFmtId="0" fontId="4" fillId="43" borderId="18" xfId="0" applyFont="1" applyFill="1" applyBorder="1" applyAlignment="1">
      <alignment horizontal="center"/>
    </xf>
    <xf numFmtId="3" fontId="4" fillId="43" borderId="19" xfId="0" applyNumberFormat="1" applyFont="1" applyFill="1" applyBorder="1" applyAlignment="1">
      <alignment horizontal="right"/>
    </xf>
    <xf numFmtId="3" fontId="7" fillId="43" borderId="44" xfId="0" applyNumberFormat="1" applyFont="1" applyFill="1" applyBorder="1" applyAlignment="1">
      <alignment/>
    </xf>
    <xf numFmtId="3" fontId="7" fillId="43" borderId="22" xfId="0" applyNumberFormat="1" applyFont="1" applyFill="1" applyBorder="1" applyAlignment="1">
      <alignment horizontal="right"/>
    </xf>
    <xf numFmtId="3" fontId="7" fillId="43" borderId="45" xfId="0" applyNumberFormat="1" applyFont="1" applyFill="1" applyBorder="1" applyAlignment="1">
      <alignment horizontal="right"/>
    </xf>
    <xf numFmtId="3" fontId="7" fillId="43" borderId="46" xfId="0" applyNumberFormat="1" applyFont="1" applyFill="1" applyBorder="1" applyAlignment="1">
      <alignment horizontal="right"/>
    </xf>
    <xf numFmtId="3" fontId="7" fillId="43" borderId="47" xfId="0" applyNumberFormat="1" applyFont="1" applyFill="1" applyBorder="1" applyAlignment="1">
      <alignment horizontal="right"/>
    </xf>
    <xf numFmtId="3" fontId="7" fillId="43" borderId="48" xfId="0" applyNumberFormat="1" applyFont="1" applyFill="1" applyBorder="1" applyAlignment="1">
      <alignment horizontal="right"/>
    </xf>
    <xf numFmtId="0" fontId="3" fillId="43" borderId="11" xfId="0" applyFont="1" applyFill="1" applyBorder="1" applyAlignment="1">
      <alignment horizontal="center"/>
    </xf>
    <xf numFmtId="49" fontId="3" fillId="43" borderId="12" xfId="0" applyNumberFormat="1" applyFont="1" applyFill="1" applyBorder="1" applyAlignment="1">
      <alignment horizontal="center"/>
    </xf>
    <xf numFmtId="3" fontId="6" fillId="43" borderId="22" xfId="0" applyNumberFormat="1" applyFont="1" applyFill="1" applyBorder="1" applyAlignment="1">
      <alignment horizontal="right"/>
    </xf>
    <xf numFmtId="3" fontId="6" fillId="43" borderId="10" xfId="0" applyNumberFormat="1" applyFont="1" applyFill="1" applyBorder="1" applyAlignment="1">
      <alignment horizontal="right"/>
    </xf>
    <xf numFmtId="3" fontId="3" fillId="43" borderId="0" xfId="0" applyNumberFormat="1" applyFont="1" applyFill="1" applyBorder="1" applyAlignment="1">
      <alignment horizontal="right"/>
    </xf>
    <xf numFmtId="3" fontId="6" fillId="43" borderId="48" xfId="0" applyNumberFormat="1" applyFont="1" applyFill="1" applyBorder="1" applyAlignment="1">
      <alignment horizontal="right"/>
    </xf>
    <xf numFmtId="49" fontId="3" fillId="43" borderId="16" xfId="0" applyNumberFormat="1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3" fontId="4" fillId="43" borderId="16" xfId="0" applyNumberFormat="1" applyFont="1" applyFill="1" applyBorder="1" applyAlignment="1">
      <alignment horizontal="right"/>
    </xf>
    <xf numFmtId="0" fontId="3" fillId="43" borderId="12" xfId="0" applyFont="1" applyFill="1" applyBorder="1" applyAlignment="1">
      <alignment horizontal="center"/>
    </xf>
    <xf numFmtId="3" fontId="6" fillId="43" borderId="43" xfId="0" applyNumberFormat="1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/>
    </xf>
    <xf numFmtId="0" fontId="4" fillId="43" borderId="12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3" fontId="7" fillId="43" borderId="13" xfId="0" applyNumberFormat="1" applyFont="1" applyFill="1" applyBorder="1" applyAlignment="1">
      <alignment horizontal="right"/>
    </xf>
    <xf numFmtId="3" fontId="6" fillId="43" borderId="13" xfId="0" applyNumberFormat="1" applyFont="1" applyFill="1" applyBorder="1" applyAlignment="1">
      <alignment horizontal="right"/>
    </xf>
    <xf numFmtId="3" fontId="7" fillId="43" borderId="21" xfId="0" applyNumberFormat="1" applyFont="1" applyFill="1" applyBorder="1" applyAlignment="1">
      <alignment horizontal="right"/>
    </xf>
    <xf numFmtId="0" fontId="4" fillId="43" borderId="16" xfId="0" applyFont="1" applyFill="1" applyBorder="1" applyAlignment="1">
      <alignment horizontal="center"/>
    </xf>
    <xf numFmtId="3" fontId="7" fillId="43" borderId="49" xfId="0" applyNumberFormat="1" applyFont="1" applyFill="1" applyBorder="1" applyAlignment="1">
      <alignment/>
    </xf>
    <xf numFmtId="3" fontId="7" fillId="43" borderId="11" xfId="0" applyNumberFormat="1" applyFont="1" applyFill="1" applyBorder="1" applyAlignment="1">
      <alignment horizontal="right"/>
    </xf>
    <xf numFmtId="3" fontId="7" fillId="43" borderId="50" xfId="0" applyNumberFormat="1" applyFont="1" applyFill="1" applyBorder="1" applyAlignment="1">
      <alignment horizontal="right"/>
    </xf>
    <xf numFmtId="0" fontId="4" fillId="43" borderId="40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49" fontId="3" fillId="43" borderId="40" xfId="0" applyNumberFormat="1" applyFont="1" applyFill="1" applyBorder="1" applyAlignment="1">
      <alignment horizontal="center"/>
    </xf>
    <xf numFmtId="3" fontId="8" fillId="43" borderId="42" xfId="0" applyNumberFormat="1" applyFont="1" applyFill="1" applyBorder="1" applyAlignment="1">
      <alignment/>
    </xf>
    <xf numFmtId="3" fontId="18" fillId="43" borderId="42" xfId="0" applyNumberFormat="1" applyFont="1" applyFill="1" applyBorder="1" applyAlignment="1">
      <alignment/>
    </xf>
    <xf numFmtId="3" fontId="8" fillId="36" borderId="42" xfId="0" applyNumberFormat="1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49" fontId="4" fillId="43" borderId="40" xfId="0" applyNumberFormat="1" applyFont="1" applyFill="1" applyBorder="1" applyAlignment="1">
      <alignment horizontal="center"/>
    </xf>
    <xf numFmtId="49" fontId="20" fillId="43" borderId="12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3" fontId="38" fillId="45" borderId="25" xfId="0" applyNumberFormat="1" applyFont="1" applyFill="1" applyBorder="1" applyAlignment="1">
      <alignment vertical="center"/>
    </xf>
    <xf numFmtId="3" fontId="22" fillId="45" borderId="51" xfId="0" applyNumberFormat="1" applyFont="1" applyFill="1" applyBorder="1" applyAlignment="1">
      <alignment/>
    </xf>
    <xf numFmtId="3" fontId="22" fillId="45" borderId="52" xfId="0" applyNumberFormat="1" applyFont="1" applyFill="1" applyBorder="1" applyAlignment="1">
      <alignment/>
    </xf>
    <xf numFmtId="3" fontId="22" fillId="45" borderId="13" xfId="0" applyNumberFormat="1" applyFont="1" applyFill="1" applyBorder="1" applyAlignment="1">
      <alignment/>
    </xf>
    <xf numFmtId="3" fontId="6" fillId="44" borderId="13" xfId="0" applyNumberFormat="1" applyFont="1" applyFill="1" applyBorder="1" applyAlignment="1">
      <alignment horizontal="right"/>
    </xf>
    <xf numFmtId="3" fontId="22" fillId="45" borderId="11" xfId="0" applyNumberFormat="1" applyFont="1" applyFill="1" applyBorder="1" applyAlignment="1">
      <alignment/>
    </xf>
    <xf numFmtId="3" fontId="8" fillId="36" borderId="13" xfId="0" applyNumberFormat="1" applyFont="1" applyFill="1" applyBorder="1" applyAlignment="1">
      <alignment horizontal="right"/>
    </xf>
    <xf numFmtId="3" fontId="20" fillId="36" borderId="13" xfId="0" applyNumberFormat="1" applyFont="1" applyFill="1" applyBorder="1" applyAlignment="1">
      <alignment horizontal="right"/>
    </xf>
    <xf numFmtId="3" fontId="22" fillId="45" borderId="13" xfId="0" applyNumberFormat="1" applyFont="1" applyFill="1" applyBorder="1" applyAlignment="1">
      <alignment/>
    </xf>
    <xf numFmtId="3" fontId="0" fillId="43" borderId="0" xfId="0" applyNumberFormat="1" applyFill="1" applyAlignment="1">
      <alignment/>
    </xf>
    <xf numFmtId="0" fontId="35" fillId="39" borderId="53" xfId="0" applyFont="1" applyFill="1" applyBorder="1" applyAlignment="1">
      <alignment horizontal="left" vertical="center"/>
    </xf>
    <xf numFmtId="0" fontId="52" fillId="42" borderId="16" xfId="0" applyFont="1" applyFill="1" applyBorder="1" applyAlignment="1">
      <alignment/>
    </xf>
    <xf numFmtId="3" fontId="6" fillId="43" borderId="33" xfId="0" applyNumberFormat="1" applyFont="1" applyFill="1" applyBorder="1" applyAlignment="1">
      <alignment horizontal="right"/>
    </xf>
    <xf numFmtId="3" fontId="7" fillId="43" borderId="33" xfId="0" applyNumberFormat="1" applyFont="1" applyFill="1" applyBorder="1" applyAlignment="1">
      <alignment horizontal="right"/>
    </xf>
    <xf numFmtId="0" fontId="6" fillId="36" borderId="37" xfId="0" applyFont="1" applyFill="1" applyBorder="1" applyAlignment="1">
      <alignment/>
    </xf>
    <xf numFmtId="0" fontId="8" fillId="36" borderId="3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44" borderId="12" xfId="0" applyNumberFormat="1" applyFont="1" applyFill="1" applyBorder="1" applyAlignment="1">
      <alignment horizontal="center"/>
    </xf>
    <xf numFmtId="3" fontId="7" fillId="44" borderId="13" xfId="0" applyNumberFormat="1" applyFont="1" applyFill="1" applyBorder="1" applyAlignment="1">
      <alignment horizontal="right"/>
    </xf>
    <xf numFmtId="49" fontId="4" fillId="43" borderId="16" xfId="0" applyNumberFormat="1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3" fontId="7" fillId="43" borderId="54" xfId="0" applyNumberFormat="1" applyFont="1" applyFill="1" applyBorder="1" applyAlignment="1">
      <alignment horizontal="right"/>
    </xf>
    <xf numFmtId="3" fontId="4" fillId="43" borderId="14" xfId="0" applyNumberFormat="1" applyFont="1" applyFill="1" applyBorder="1" applyAlignment="1">
      <alignment horizontal="right"/>
    </xf>
    <xf numFmtId="3" fontId="7" fillId="44" borderId="33" xfId="0" applyNumberFormat="1" applyFont="1" applyFill="1" applyBorder="1" applyAlignment="1">
      <alignment horizontal="right"/>
    </xf>
    <xf numFmtId="49" fontId="4" fillId="43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4" fillId="33" borderId="50" xfId="0" applyNumberFormat="1" applyFont="1" applyFill="1" applyBorder="1" applyAlignment="1">
      <alignment/>
    </xf>
    <xf numFmtId="3" fontId="6" fillId="40" borderId="47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 horizontal="right"/>
    </xf>
    <xf numFmtId="3" fontId="7" fillId="33" borderId="47" xfId="0" applyNumberFormat="1" applyFont="1" applyFill="1" applyBorder="1" applyAlignment="1">
      <alignment horizontal="right"/>
    </xf>
    <xf numFmtId="3" fontId="6" fillId="33" borderId="47" xfId="0" applyNumberFormat="1" applyFont="1" applyFill="1" applyBorder="1" applyAlignment="1">
      <alignment horizontal="right"/>
    </xf>
    <xf numFmtId="3" fontId="4" fillId="33" borderId="47" xfId="0" applyNumberFormat="1" applyFont="1" applyFill="1" applyBorder="1" applyAlignment="1">
      <alignment horizontal="right"/>
    </xf>
    <xf numFmtId="3" fontId="17" fillId="40" borderId="47" xfId="0" applyNumberFormat="1" applyFont="1" applyFill="1" applyBorder="1" applyAlignment="1">
      <alignment horizontal="right"/>
    </xf>
    <xf numFmtId="3" fontId="6" fillId="33" borderId="47" xfId="0" applyNumberFormat="1" applyFont="1" applyFill="1" applyBorder="1" applyAlignment="1">
      <alignment horizontal="right"/>
    </xf>
    <xf numFmtId="3" fontId="6" fillId="40" borderId="41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17" fillId="40" borderId="55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/>
    </xf>
    <xf numFmtId="3" fontId="7" fillId="33" borderId="57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/>
    </xf>
    <xf numFmtId="49" fontId="5" fillId="43" borderId="12" xfId="0" applyNumberFormat="1" applyFont="1" applyFill="1" applyBorder="1" applyAlignment="1">
      <alignment horizontal="center"/>
    </xf>
    <xf numFmtId="49" fontId="4" fillId="43" borderId="11" xfId="0" applyNumberFormat="1" applyFont="1" applyFill="1" applyBorder="1" applyAlignment="1">
      <alignment horizontal="center"/>
    </xf>
    <xf numFmtId="0" fontId="13" fillId="43" borderId="16" xfId="0" applyFont="1" applyFill="1" applyBorder="1" applyAlignment="1">
      <alignment/>
    </xf>
    <xf numFmtId="0" fontId="4" fillId="43" borderId="11" xfId="0" applyFont="1" applyFill="1" applyBorder="1" applyAlignment="1">
      <alignment/>
    </xf>
    <xf numFmtId="3" fontId="6" fillId="43" borderId="47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13" fillId="40" borderId="0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3" fontId="7" fillId="40" borderId="58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3" fontId="107" fillId="45" borderId="28" xfId="0" applyNumberFormat="1" applyFont="1" applyFill="1" applyBorder="1" applyAlignment="1">
      <alignment/>
    </xf>
    <xf numFmtId="3" fontId="107" fillId="45" borderId="10" xfId="0" applyNumberFormat="1" applyFont="1" applyFill="1" applyBorder="1" applyAlignment="1">
      <alignment/>
    </xf>
    <xf numFmtId="3" fontId="107" fillId="45" borderId="18" xfId="0" applyNumberFormat="1" applyFont="1" applyFill="1" applyBorder="1" applyAlignment="1">
      <alignment/>
    </xf>
    <xf numFmtId="0" fontId="4" fillId="35" borderId="59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28" fillId="39" borderId="2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7" fillId="43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3" fontId="38" fillId="46" borderId="17" xfId="0" applyNumberFormat="1" applyFont="1" applyFill="1" applyBorder="1" applyAlignment="1">
      <alignment vertical="center"/>
    </xf>
    <xf numFmtId="3" fontId="44" fillId="46" borderId="21" xfId="0" applyNumberFormat="1" applyFont="1" applyFill="1" applyBorder="1" applyAlignment="1">
      <alignment/>
    </xf>
    <xf numFmtId="3" fontId="22" fillId="46" borderId="21" xfId="0" applyNumberFormat="1" applyFont="1" applyFill="1" applyBorder="1" applyAlignment="1">
      <alignment/>
    </xf>
    <xf numFmtId="3" fontId="38" fillId="47" borderId="60" xfId="0" applyNumberFormat="1" applyFont="1" applyFill="1" applyBorder="1" applyAlignment="1">
      <alignment vertical="center"/>
    </xf>
    <xf numFmtId="3" fontId="45" fillId="47" borderId="49" xfId="0" applyNumberFormat="1" applyFont="1" applyFill="1" applyBorder="1" applyAlignment="1">
      <alignment/>
    </xf>
    <xf numFmtId="3" fontId="45" fillId="47" borderId="43" xfId="0" applyNumberFormat="1" applyFont="1" applyFill="1" applyBorder="1" applyAlignment="1">
      <alignment/>
    </xf>
    <xf numFmtId="3" fontId="45" fillId="47" borderId="44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49" fontId="4" fillId="13" borderId="12" xfId="0" applyNumberFormat="1" applyFont="1" applyFill="1" applyBorder="1" applyAlignment="1">
      <alignment horizontal="center"/>
    </xf>
    <xf numFmtId="3" fontId="7" fillId="13" borderId="48" xfId="0" applyNumberFormat="1" applyFont="1" applyFill="1" applyBorder="1" applyAlignment="1">
      <alignment horizontal="right"/>
    </xf>
    <xf numFmtId="3" fontId="22" fillId="46" borderId="22" xfId="0" applyNumberFormat="1" applyFont="1" applyFill="1" applyBorder="1" applyAlignment="1">
      <alignment/>
    </xf>
    <xf numFmtId="3" fontId="36" fillId="43" borderId="48" xfId="0" applyNumberFormat="1" applyFont="1" applyFill="1" applyBorder="1" applyAlignment="1">
      <alignment horizontal="right"/>
    </xf>
    <xf numFmtId="0" fontId="6" fillId="43" borderId="11" xfId="0" applyFont="1" applyFill="1" applyBorder="1" applyAlignment="1">
      <alignment/>
    </xf>
    <xf numFmtId="0" fontId="7" fillId="43" borderId="38" xfId="0" applyFont="1" applyFill="1" applyBorder="1" applyAlignment="1">
      <alignment/>
    </xf>
    <xf numFmtId="0" fontId="28" fillId="39" borderId="61" xfId="0" applyFont="1" applyFill="1" applyBorder="1" applyAlignment="1">
      <alignment/>
    </xf>
    <xf numFmtId="0" fontId="7" fillId="43" borderId="13" xfId="0" applyFont="1" applyFill="1" applyBorder="1" applyAlignment="1">
      <alignment/>
    </xf>
    <xf numFmtId="0" fontId="6" fillId="43" borderId="13" xfId="0" applyFont="1" applyFill="1" applyBorder="1" applyAlignment="1">
      <alignment/>
    </xf>
    <xf numFmtId="0" fontId="8" fillId="13" borderId="37" xfId="0" applyFont="1" applyFill="1" applyBorder="1" applyAlignment="1">
      <alignment horizontal="left"/>
    </xf>
    <xf numFmtId="0" fontId="8" fillId="13" borderId="14" xfId="0" applyFont="1" applyFill="1" applyBorder="1" applyAlignment="1">
      <alignment horizontal="left"/>
    </xf>
    <xf numFmtId="0" fontId="8" fillId="13" borderId="13" xfId="0" applyFont="1" applyFill="1" applyBorder="1" applyAlignment="1">
      <alignment horizontal="left"/>
    </xf>
    <xf numFmtId="3" fontId="8" fillId="13" borderId="13" xfId="0" applyNumberFormat="1" applyFont="1" applyFill="1" applyBorder="1" applyAlignment="1">
      <alignment horizontal="right"/>
    </xf>
    <xf numFmtId="3" fontId="8" fillId="13" borderId="11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6" fillId="13" borderId="42" xfId="0" applyNumberFormat="1" applyFont="1" applyFill="1" applyBorder="1" applyAlignment="1">
      <alignment/>
    </xf>
    <xf numFmtId="3" fontId="6" fillId="13" borderId="62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4" fillId="43" borderId="46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3" fontId="6" fillId="43" borderId="50" xfId="0" applyNumberFormat="1" applyFont="1" applyFill="1" applyBorder="1" applyAlignment="1">
      <alignment horizontal="right"/>
    </xf>
    <xf numFmtId="0" fontId="19" fillId="43" borderId="11" xfId="0" applyFont="1" applyFill="1" applyBorder="1" applyAlignment="1">
      <alignment/>
    </xf>
    <xf numFmtId="3" fontId="38" fillId="46" borderId="26" xfId="0" applyNumberFormat="1" applyFont="1" applyFill="1" applyBorder="1" applyAlignment="1">
      <alignment vertical="center"/>
    </xf>
    <xf numFmtId="3" fontId="22" fillId="46" borderId="28" xfId="0" applyNumberFormat="1" applyFont="1" applyFill="1" applyBorder="1" applyAlignment="1">
      <alignment/>
    </xf>
    <xf numFmtId="3" fontId="18" fillId="43" borderId="49" xfId="0" applyNumberFormat="1" applyFont="1" applyFill="1" applyBorder="1" applyAlignment="1">
      <alignment/>
    </xf>
    <xf numFmtId="3" fontId="22" fillId="47" borderId="49" xfId="0" applyNumberFormat="1" applyFont="1" applyFill="1" applyBorder="1" applyAlignment="1">
      <alignment/>
    </xf>
    <xf numFmtId="3" fontId="18" fillId="43" borderId="44" xfId="0" applyNumberFormat="1" applyFont="1" applyFill="1" applyBorder="1" applyAlignment="1">
      <alignment/>
    </xf>
    <xf numFmtId="0" fontId="3" fillId="13" borderId="37" xfId="0" applyFont="1" applyFill="1" applyBorder="1" applyAlignment="1">
      <alignment/>
    </xf>
    <xf numFmtId="0" fontId="8" fillId="13" borderId="37" xfId="0" applyFont="1" applyFill="1" applyBorder="1" applyAlignment="1">
      <alignment/>
    </xf>
    <xf numFmtId="0" fontId="8" fillId="13" borderId="13" xfId="0" applyFont="1" applyFill="1" applyBorder="1" applyAlignment="1">
      <alignment/>
    </xf>
    <xf numFmtId="3" fontId="108" fillId="46" borderId="21" xfId="0" applyNumberFormat="1" applyFont="1" applyFill="1" applyBorder="1" applyAlignment="1">
      <alignment/>
    </xf>
    <xf numFmtId="0" fontId="4" fillId="43" borderId="18" xfId="0" applyFont="1" applyFill="1" applyBorder="1" applyAlignment="1">
      <alignment horizontal="center"/>
    </xf>
    <xf numFmtId="0" fontId="24" fillId="39" borderId="63" xfId="0" applyFont="1" applyFill="1" applyBorder="1" applyAlignment="1">
      <alignment horizontal="center" vertical="center"/>
    </xf>
    <xf numFmtId="0" fontId="28" fillId="42" borderId="21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4" fillId="46" borderId="12" xfId="0" applyNumberFormat="1" applyFont="1" applyFill="1" applyBorder="1" applyAlignment="1">
      <alignment/>
    </xf>
    <xf numFmtId="0" fontId="7" fillId="43" borderId="20" xfId="0" applyFont="1" applyFill="1" applyBorder="1" applyAlignment="1">
      <alignment/>
    </xf>
    <xf numFmtId="0" fontId="6" fillId="44" borderId="11" xfId="0" applyFont="1" applyFill="1" applyBorder="1" applyAlignment="1">
      <alignment/>
    </xf>
    <xf numFmtId="0" fontId="3" fillId="44" borderId="12" xfId="0" applyFont="1" applyFill="1" applyBorder="1" applyAlignment="1">
      <alignment horizontal="center"/>
    </xf>
    <xf numFmtId="3" fontId="8" fillId="44" borderId="13" xfId="0" applyNumberFormat="1" applyFont="1" applyFill="1" applyBorder="1" applyAlignment="1">
      <alignment horizontal="right"/>
    </xf>
    <xf numFmtId="3" fontId="7" fillId="44" borderId="11" xfId="0" applyNumberFormat="1" applyFont="1" applyFill="1" applyBorder="1" applyAlignment="1">
      <alignment horizontal="right"/>
    </xf>
    <xf numFmtId="3" fontId="7" fillId="43" borderId="38" xfId="0" applyNumberFormat="1" applyFont="1" applyFill="1" applyBorder="1" applyAlignment="1">
      <alignment horizontal="right"/>
    </xf>
    <xf numFmtId="3" fontId="18" fillId="43" borderId="64" xfId="0" applyNumberFormat="1" applyFont="1" applyFill="1" applyBorder="1" applyAlignment="1">
      <alignment/>
    </xf>
    <xf numFmtId="3" fontId="22" fillId="46" borderId="65" xfId="0" applyNumberFormat="1" applyFont="1" applyFill="1" applyBorder="1" applyAlignment="1">
      <alignment/>
    </xf>
    <xf numFmtId="3" fontId="22" fillId="46" borderId="22" xfId="0" applyNumberFormat="1" applyFont="1" applyFill="1" applyBorder="1" applyAlignment="1">
      <alignment/>
    </xf>
    <xf numFmtId="3" fontId="22" fillId="46" borderId="21" xfId="0" applyNumberFormat="1" applyFont="1" applyFill="1" applyBorder="1" applyAlignment="1">
      <alignment/>
    </xf>
    <xf numFmtId="3" fontId="108" fillId="45" borderId="11" xfId="0" applyNumberFormat="1" applyFont="1" applyFill="1" applyBorder="1" applyAlignment="1">
      <alignment/>
    </xf>
    <xf numFmtId="0" fontId="4" fillId="44" borderId="37" xfId="0" applyFont="1" applyFill="1" applyBorder="1" applyAlignment="1">
      <alignment/>
    </xf>
    <xf numFmtId="0" fontId="8" fillId="44" borderId="37" xfId="0" applyFont="1" applyFill="1" applyBorder="1" applyAlignment="1">
      <alignment/>
    </xf>
    <xf numFmtId="0" fontId="8" fillId="44" borderId="13" xfId="0" applyFont="1" applyFill="1" applyBorder="1" applyAlignment="1">
      <alignment/>
    </xf>
    <xf numFmtId="3" fontId="18" fillId="44" borderId="42" xfId="0" applyNumberFormat="1" applyFont="1" applyFill="1" applyBorder="1" applyAlignment="1">
      <alignment/>
    </xf>
    <xf numFmtId="0" fontId="32" fillId="39" borderId="39" xfId="0" applyFont="1" applyFill="1" applyBorder="1" applyAlignment="1">
      <alignment horizontal="left" vertical="center"/>
    </xf>
    <xf numFmtId="3" fontId="8" fillId="44" borderId="10" xfId="0" applyNumberFormat="1" applyFont="1" applyFill="1" applyBorder="1" applyAlignment="1">
      <alignment horizontal="right"/>
    </xf>
    <xf numFmtId="3" fontId="8" fillId="44" borderId="33" xfId="0" applyNumberFormat="1" applyFont="1" applyFill="1" applyBorder="1" applyAlignment="1">
      <alignment horizontal="right"/>
    </xf>
    <xf numFmtId="3" fontId="8" fillId="44" borderId="43" xfId="0" applyNumberFormat="1" applyFont="1" applyFill="1" applyBorder="1" applyAlignment="1">
      <alignment/>
    </xf>
    <xf numFmtId="3" fontId="8" fillId="44" borderId="42" xfId="0" applyNumberFormat="1" applyFont="1" applyFill="1" applyBorder="1" applyAlignment="1">
      <alignment/>
    </xf>
    <xf numFmtId="3" fontId="7" fillId="44" borderId="48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8" fillId="36" borderId="13" xfId="0" applyFont="1" applyFill="1" applyBorder="1" applyAlignment="1">
      <alignment/>
    </xf>
    <xf numFmtId="3" fontId="22" fillId="45" borderId="5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9" fillId="43" borderId="38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09" fillId="47" borderId="42" xfId="0" applyNumberFormat="1" applyFont="1" applyFill="1" applyBorder="1" applyAlignment="1">
      <alignment/>
    </xf>
    <xf numFmtId="3" fontId="22" fillId="47" borderId="43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3" fillId="43" borderId="14" xfId="0" applyNumberFormat="1" applyFont="1" applyFill="1" applyBorder="1" applyAlignment="1">
      <alignment horizontal="right"/>
    </xf>
    <xf numFmtId="3" fontId="44" fillId="46" borderId="1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29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49" fontId="9" fillId="43" borderId="0" xfId="0" applyNumberFormat="1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/>
    </xf>
    <xf numFmtId="0" fontId="12" fillId="43" borderId="0" xfId="0" applyNumberFormat="1" applyFont="1" applyFill="1" applyBorder="1" applyAlignment="1">
      <alignment horizontal="center"/>
    </xf>
    <xf numFmtId="49" fontId="4" fillId="43" borderId="0" xfId="0" applyNumberFormat="1" applyFont="1" applyFill="1" applyBorder="1" applyAlignment="1">
      <alignment horizontal="center"/>
    </xf>
    <xf numFmtId="0" fontId="4" fillId="43" borderId="0" xfId="0" applyNumberFormat="1" applyFont="1" applyFill="1" applyBorder="1" applyAlignment="1">
      <alignment/>
    </xf>
    <xf numFmtId="3" fontId="7" fillId="43" borderId="0" xfId="0" applyNumberFormat="1" applyFont="1" applyFill="1" applyBorder="1" applyAlignment="1">
      <alignment horizontal="right"/>
    </xf>
    <xf numFmtId="49" fontId="5" fillId="43" borderId="0" xfId="0" applyNumberFormat="1" applyFont="1" applyFill="1" applyBorder="1" applyAlignment="1">
      <alignment horizontal="center"/>
    </xf>
    <xf numFmtId="49" fontId="4" fillId="43" borderId="0" xfId="0" applyNumberFormat="1" applyFont="1" applyFill="1" applyBorder="1" applyAlignment="1">
      <alignment horizontal="center"/>
    </xf>
    <xf numFmtId="49" fontId="3" fillId="43" borderId="0" xfId="0" applyNumberFormat="1" applyFont="1" applyFill="1" applyBorder="1" applyAlignment="1">
      <alignment horizontal="center"/>
    </xf>
    <xf numFmtId="0" fontId="4" fillId="43" borderId="0" xfId="0" applyFont="1" applyFill="1" applyBorder="1" applyAlignment="1">
      <alignment/>
    </xf>
    <xf numFmtId="0" fontId="4" fillId="43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3" fontId="16" fillId="43" borderId="0" xfId="0" applyNumberFormat="1" applyFont="1" applyFill="1" applyBorder="1" applyAlignment="1">
      <alignment/>
    </xf>
    <xf numFmtId="3" fontId="20" fillId="48" borderId="13" xfId="0" applyNumberFormat="1" applyFont="1" applyFill="1" applyBorder="1" applyAlignment="1">
      <alignment horizontal="right"/>
    </xf>
    <xf numFmtId="3" fontId="8" fillId="48" borderId="42" xfId="0" applyNumberFormat="1" applyFont="1" applyFill="1" applyBorder="1" applyAlignment="1">
      <alignment/>
    </xf>
    <xf numFmtId="3" fontId="8" fillId="43" borderId="43" xfId="0" applyNumberFormat="1" applyFont="1" applyFill="1" applyBorder="1" applyAlignment="1">
      <alignment/>
    </xf>
    <xf numFmtId="3" fontId="8" fillId="48" borderId="43" xfId="0" applyNumberFormat="1" applyFont="1" applyFill="1" applyBorder="1" applyAlignment="1">
      <alignment/>
    </xf>
    <xf numFmtId="49" fontId="4" fillId="48" borderId="12" xfId="0" applyNumberFormat="1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6" fillId="36" borderId="40" xfId="0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 horizontal="right"/>
    </xf>
    <xf numFmtId="3" fontId="8" fillId="48" borderId="62" xfId="0" applyNumberFormat="1" applyFont="1" applyFill="1" applyBorder="1" applyAlignment="1">
      <alignment/>
    </xf>
    <xf numFmtId="3" fontId="7" fillId="43" borderId="15" xfId="0" applyNumberFormat="1" applyFont="1" applyFill="1" applyBorder="1" applyAlignment="1">
      <alignment horizontal="right"/>
    </xf>
    <xf numFmtId="3" fontId="18" fillId="43" borderId="62" xfId="0" applyNumberFormat="1" applyFont="1" applyFill="1" applyBorder="1" applyAlignment="1">
      <alignment/>
    </xf>
    <xf numFmtId="3" fontId="6" fillId="43" borderId="54" xfId="0" applyNumberFormat="1" applyFont="1" applyFill="1" applyBorder="1" applyAlignment="1">
      <alignment horizontal="right"/>
    </xf>
    <xf numFmtId="3" fontId="8" fillId="36" borderId="62" xfId="0" applyNumberFormat="1" applyFont="1" applyFill="1" applyBorder="1" applyAlignment="1">
      <alignment/>
    </xf>
    <xf numFmtId="3" fontId="8" fillId="48" borderId="49" xfId="0" applyNumberFormat="1" applyFont="1" applyFill="1" applyBorder="1" applyAlignment="1">
      <alignment/>
    </xf>
    <xf numFmtId="3" fontId="6" fillId="43" borderId="11" xfId="0" applyNumberFormat="1" applyFont="1" applyFill="1" applyBorder="1" applyAlignment="1">
      <alignment horizontal="right"/>
    </xf>
    <xf numFmtId="0" fontId="8" fillId="36" borderId="40" xfId="0" applyFont="1" applyFill="1" applyBorder="1" applyAlignment="1">
      <alignment horizontal="center"/>
    </xf>
    <xf numFmtId="3" fontId="7" fillId="44" borderId="43" xfId="0" applyNumberFormat="1" applyFont="1" applyFill="1" applyBorder="1" applyAlignment="1">
      <alignment/>
    </xf>
    <xf numFmtId="3" fontId="6" fillId="44" borderId="42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0" fontId="16" fillId="43" borderId="0" xfId="0" applyFont="1" applyFill="1" applyBorder="1" applyAlignment="1">
      <alignment/>
    </xf>
    <xf numFmtId="3" fontId="8" fillId="43" borderId="0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/>
    </xf>
    <xf numFmtId="3" fontId="53" fillId="33" borderId="41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32" fillId="45" borderId="66" xfId="0" applyNumberFormat="1" applyFont="1" applyFill="1" applyBorder="1" applyAlignment="1">
      <alignment/>
    </xf>
    <xf numFmtId="3" fontId="42" fillId="47" borderId="60" xfId="0" applyNumberFormat="1" applyFont="1" applyFill="1" applyBorder="1" applyAlignment="1">
      <alignment vertical="center"/>
    </xf>
    <xf numFmtId="3" fontId="3" fillId="43" borderId="16" xfId="0" applyNumberFormat="1" applyFont="1" applyFill="1" applyBorder="1" applyAlignment="1">
      <alignment horizontal="right"/>
    </xf>
    <xf numFmtId="0" fontId="6" fillId="43" borderId="10" xfId="0" applyFont="1" applyFill="1" applyBorder="1" applyAlignment="1">
      <alignment/>
    </xf>
    <xf numFmtId="49" fontId="3" fillId="43" borderId="10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/>
    </xf>
    <xf numFmtId="3" fontId="6" fillId="6" borderId="13" xfId="0" applyNumberFormat="1" applyFont="1" applyFill="1" applyBorder="1" applyAlignment="1">
      <alignment horizontal="right"/>
    </xf>
    <xf numFmtId="3" fontId="8" fillId="6" borderId="43" xfId="0" applyNumberFormat="1" applyFont="1" applyFill="1" applyBorder="1" applyAlignment="1">
      <alignment/>
    </xf>
    <xf numFmtId="3" fontId="6" fillId="6" borderId="11" xfId="0" applyNumberFormat="1" applyFont="1" applyFill="1" applyBorder="1" applyAlignment="1">
      <alignment horizontal="right"/>
    </xf>
    <xf numFmtId="3" fontId="8" fillId="6" borderId="49" xfId="0" applyNumberFormat="1" applyFont="1" applyFill="1" applyBorder="1" applyAlignment="1">
      <alignment/>
    </xf>
    <xf numFmtId="0" fontId="3" fillId="43" borderId="13" xfId="0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/>
    </xf>
    <xf numFmtId="3" fontId="8" fillId="13" borderId="10" xfId="0" applyNumberFormat="1" applyFont="1" applyFill="1" applyBorder="1" applyAlignment="1">
      <alignment horizontal="right"/>
    </xf>
    <xf numFmtId="0" fontId="6" fillId="43" borderId="38" xfId="0" applyFont="1" applyFill="1" applyBorder="1" applyAlignment="1">
      <alignment/>
    </xf>
    <xf numFmtId="49" fontId="5" fillId="44" borderId="18" xfId="0" applyNumberFormat="1" applyFont="1" applyFill="1" applyBorder="1" applyAlignment="1">
      <alignment horizontal="center"/>
    </xf>
    <xf numFmtId="49" fontId="5" fillId="44" borderId="38" xfId="0" applyNumberFormat="1" applyFont="1" applyFill="1" applyBorder="1" applyAlignment="1">
      <alignment horizontal="center"/>
    </xf>
    <xf numFmtId="49" fontId="3" fillId="44" borderId="38" xfId="0" applyNumberFormat="1" applyFont="1" applyFill="1" applyBorder="1" applyAlignment="1">
      <alignment horizontal="center"/>
    </xf>
    <xf numFmtId="0" fontId="43" fillId="44" borderId="67" xfId="0" applyFont="1" applyFill="1" applyBorder="1" applyAlignment="1">
      <alignment/>
    </xf>
    <xf numFmtId="0" fontId="4" fillId="44" borderId="19" xfId="0" applyFont="1" applyFill="1" applyBorder="1" applyAlignment="1">
      <alignment/>
    </xf>
    <xf numFmtId="49" fontId="47" fillId="49" borderId="4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4" borderId="28" xfId="0" applyNumberFormat="1" applyFont="1" applyFill="1" applyBorder="1" applyAlignment="1">
      <alignment horizontal="center"/>
    </xf>
    <xf numFmtId="0" fontId="8" fillId="34" borderId="52" xfId="0" applyFont="1" applyFill="1" applyBorder="1" applyAlignment="1">
      <alignment/>
    </xf>
    <xf numFmtId="49" fontId="4" fillId="34" borderId="5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8" fillId="49" borderId="4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32" fillId="45" borderId="5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49" fontId="4" fillId="43" borderId="23" xfId="0" applyNumberFormat="1" applyFont="1" applyFill="1" applyBorder="1" applyAlignment="1">
      <alignment horizontal="center"/>
    </xf>
    <xf numFmtId="49" fontId="3" fillId="43" borderId="23" xfId="0" applyNumberFormat="1" applyFont="1" applyFill="1" applyBorder="1" applyAlignment="1">
      <alignment horizontal="center"/>
    </xf>
    <xf numFmtId="0" fontId="6" fillId="43" borderId="20" xfId="0" applyFont="1" applyFill="1" applyBorder="1" applyAlignment="1">
      <alignment/>
    </xf>
    <xf numFmtId="0" fontId="4" fillId="43" borderId="54" xfId="0" applyFont="1" applyFill="1" applyBorder="1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7" fillId="43" borderId="54" xfId="0" applyFont="1" applyFill="1" applyBorder="1" applyAlignment="1">
      <alignment/>
    </xf>
    <xf numFmtId="3" fontId="32" fillId="45" borderId="47" xfId="0" applyNumberFormat="1" applyFont="1" applyFill="1" applyBorder="1" applyAlignment="1">
      <alignment horizontal="right" vertical="center"/>
    </xf>
    <xf numFmtId="3" fontId="7" fillId="43" borderId="47" xfId="0" applyNumberFormat="1" applyFont="1" applyFill="1" applyBorder="1" applyAlignment="1">
      <alignment horizontal="right"/>
    </xf>
    <xf numFmtId="3" fontId="110" fillId="43" borderId="47" xfId="0" applyNumberFormat="1" applyFont="1" applyFill="1" applyBorder="1" applyAlignment="1">
      <alignment horizontal="right"/>
    </xf>
    <xf numFmtId="3" fontId="45" fillId="45" borderId="55" xfId="0" applyNumberFormat="1" applyFont="1" applyFill="1" applyBorder="1" applyAlignment="1">
      <alignment horizontal="right" vertical="center"/>
    </xf>
    <xf numFmtId="3" fontId="32" fillId="45" borderId="41" xfId="0" applyNumberFormat="1" applyFont="1" applyFill="1" applyBorder="1" applyAlignment="1">
      <alignment horizontal="right" vertical="center"/>
    </xf>
    <xf numFmtId="3" fontId="20" fillId="33" borderId="41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107" fillId="45" borderId="4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4" fillId="50" borderId="12" xfId="0" applyFont="1" applyFill="1" applyBorder="1" applyAlignment="1">
      <alignment horizontal="center"/>
    </xf>
    <xf numFmtId="0" fontId="6" fillId="50" borderId="11" xfId="0" applyFont="1" applyFill="1" applyBorder="1" applyAlignment="1">
      <alignment/>
    </xf>
    <xf numFmtId="3" fontId="6" fillId="50" borderId="13" xfId="0" applyNumberFormat="1" applyFont="1" applyFill="1" applyBorder="1" applyAlignment="1">
      <alignment horizontal="right"/>
    </xf>
    <xf numFmtId="3" fontId="4" fillId="50" borderId="0" xfId="0" applyNumberFormat="1" applyFont="1" applyFill="1" applyBorder="1" applyAlignment="1">
      <alignment horizontal="right"/>
    </xf>
    <xf numFmtId="3" fontId="7" fillId="50" borderId="22" xfId="0" applyNumberFormat="1" applyFont="1" applyFill="1" applyBorder="1" applyAlignment="1">
      <alignment horizontal="right"/>
    </xf>
    <xf numFmtId="3" fontId="7" fillId="50" borderId="43" xfId="0" applyNumberFormat="1" applyFont="1" applyFill="1" applyBorder="1" applyAlignment="1">
      <alignment/>
    </xf>
    <xf numFmtId="0" fontId="3" fillId="50" borderId="12" xfId="0" applyFont="1" applyFill="1" applyBorder="1" applyAlignment="1">
      <alignment horizontal="center"/>
    </xf>
    <xf numFmtId="0" fontId="6" fillId="50" borderId="13" xfId="0" applyFont="1" applyFill="1" applyBorder="1" applyAlignment="1">
      <alignment/>
    </xf>
    <xf numFmtId="0" fontId="3" fillId="50" borderId="10" xfId="0" applyFont="1" applyFill="1" applyBorder="1" applyAlignment="1">
      <alignment horizontal="center"/>
    </xf>
    <xf numFmtId="3" fontId="8" fillId="50" borderId="13" xfId="0" applyNumberFormat="1" applyFont="1" applyFill="1" applyBorder="1" applyAlignment="1">
      <alignment horizontal="right"/>
    </xf>
    <xf numFmtId="3" fontId="7" fillId="50" borderId="10" xfId="0" applyNumberFormat="1" applyFont="1" applyFill="1" applyBorder="1" applyAlignment="1">
      <alignment horizontal="right"/>
    </xf>
    <xf numFmtId="3" fontId="18" fillId="50" borderId="43" xfId="0" applyNumberFormat="1" applyFont="1" applyFill="1" applyBorder="1" applyAlignment="1">
      <alignment/>
    </xf>
    <xf numFmtId="0" fontId="8" fillId="50" borderId="40" xfId="0" applyFont="1" applyFill="1" applyBorder="1" applyAlignment="1">
      <alignment/>
    </xf>
    <xf numFmtId="0" fontId="8" fillId="50" borderId="11" xfId="0" applyFont="1" applyFill="1" applyBorder="1" applyAlignment="1">
      <alignment/>
    </xf>
    <xf numFmtId="3" fontId="6" fillId="50" borderId="43" xfId="0" applyNumberFormat="1" applyFont="1" applyFill="1" applyBorder="1" applyAlignment="1">
      <alignment/>
    </xf>
    <xf numFmtId="3" fontId="8" fillId="50" borderId="10" xfId="0" applyNumberFormat="1" applyFont="1" applyFill="1" applyBorder="1" applyAlignment="1">
      <alignment horizontal="right"/>
    </xf>
    <xf numFmtId="3" fontId="3" fillId="50" borderId="0" xfId="0" applyNumberFormat="1" applyFont="1" applyFill="1" applyBorder="1" applyAlignment="1">
      <alignment horizontal="right"/>
    </xf>
    <xf numFmtId="49" fontId="3" fillId="50" borderId="12" xfId="0" applyNumberFormat="1" applyFont="1" applyFill="1" applyBorder="1" applyAlignment="1">
      <alignment horizontal="center"/>
    </xf>
    <xf numFmtId="3" fontId="6" fillId="50" borderId="48" xfId="0" applyNumberFormat="1" applyFont="1" applyFill="1" applyBorder="1" applyAlignment="1">
      <alignment horizontal="right"/>
    </xf>
    <xf numFmtId="3" fontId="8" fillId="50" borderId="42" xfId="0" applyNumberFormat="1" applyFont="1" applyFill="1" applyBorder="1" applyAlignment="1">
      <alignment/>
    </xf>
    <xf numFmtId="3" fontId="6" fillId="50" borderId="20" xfId="0" applyNumberFormat="1" applyFont="1" applyFill="1" applyBorder="1" applyAlignment="1">
      <alignment horizontal="right"/>
    </xf>
    <xf numFmtId="0" fontId="4" fillId="50" borderId="13" xfId="0" applyFont="1" applyFill="1" applyBorder="1" applyAlignment="1">
      <alignment horizontal="center"/>
    </xf>
    <xf numFmtId="0" fontId="4" fillId="51" borderId="12" xfId="0" applyFont="1" applyFill="1" applyBorder="1" applyAlignment="1">
      <alignment horizontal="center"/>
    </xf>
    <xf numFmtId="0" fontId="6" fillId="51" borderId="11" xfId="0" applyFont="1" applyFill="1" applyBorder="1" applyAlignment="1">
      <alignment/>
    </xf>
    <xf numFmtId="3" fontId="6" fillId="51" borderId="13" xfId="0" applyNumberFormat="1" applyFont="1" applyFill="1" applyBorder="1" applyAlignment="1">
      <alignment horizontal="right"/>
    </xf>
    <xf numFmtId="3" fontId="7" fillId="51" borderId="10" xfId="0" applyNumberFormat="1" applyFont="1" applyFill="1" applyBorder="1" applyAlignment="1">
      <alignment horizontal="right"/>
    </xf>
    <xf numFmtId="3" fontId="8" fillId="51" borderId="43" xfId="0" applyNumberFormat="1" applyFont="1" applyFill="1" applyBorder="1" applyAlignment="1">
      <alignment/>
    </xf>
    <xf numFmtId="3" fontId="6" fillId="51" borderId="33" xfId="0" applyNumberFormat="1" applyFont="1" applyFill="1" applyBorder="1" applyAlignment="1">
      <alignment horizontal="right"/>
    </xf>
    <xf numFmtId="3" fontId="8" fillId="51" borderId="42" xfId="0" applyNumberFormat="1" applyFont="1" applyFill="1" applyBorder="1" applyAlignment="1">
      <alignment/>
    </xf>
    <xf numFmtId="3" fontId="7" fillId="43" borderId="20" xfId="0" applyNumberFormat="1" applyFont="1" applyFill="1" applyBorder="1" applyAlignment="1">
      <alignment horizontal="right"/>
    </xf>
    <xf numFmtId="0" fontId="2" fillId="43" borderId="45" xfId="0" applyFont="1" applyFill="1" applyBorder="1" applyAlignment="1">
      <alignment horizontal="center"/>
    </xf>
    <xf numFmtId="0" fontId="4" fillId="43" borderId="50" xfId="0" applyFont="1" applyFill="1" applyBorder="1" applyAlignment="1">
      <alignment horizontal="center"/>
    </xf>
    <xf numFmtId="0" fontId="7" fillId="43" borderId="50" xfId="0" applyFont="1" applyFill="1" applyBorder="1" applyAlignment="1">
      <alignment/>
    </xf>
    <xf numFmtId="3" fontId="4" fillId="43" borderId="68" xfId="0" applyNumberFormat="1" applyFont="1" applyFill="1" applyBorder="1" applyAlignment="1">
      <alignment horizontal="right"/>
    </xf>
    <xf numFmtId="0" fontId="3" fillId="43" borderId="16" xfId="0" applyFont="1" applyFill="1" applyBorder="1" applyAlignment="1">
      <alignment horizontal="center"/>
    </xf>
    <xf numFmtId="3" fontId="6" fillId="43" borderId="12" xfId="0" applyNumberFormat="1" applyFont="1" applyFill="1" applyBorder="1" applyAlignment="1">
      <alignment horizontal="right"/>
    </xf>
    <xf numFmtId="3" fontId="8" fillId="43" borderId="49" xfId="0" applyNumberFormat="1" applyFont="1" applyFill="1" applyBorder="1" applyAlignment="1">
      <alignment/>
    </xf>
    <xf numFmtId="3" fontId="38" fillId="45" borderId="26" xfId="0" applyNumberFormat="1" applyFont="1" applyFill="1" applyBorder="1" applyAlignment="1">
      <alignment vertical="center"/>
    </xf>
    <xf numFmtId="0" fontId="8" fillId="33" borderId="4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36" fillId="33" borderId="41" xfId="0" applyNumberFormat="1" applyFont="1" applyFill="1" applyBorder="1" applyAlignment="1">
      <alignment horizontal="right"/>
    </xf>
    <xf numFmtId="3" fontId="22" fillId="46" borderId="45" xfId="0" applyNumberFormat="1" applyFont="1" applyFill="1" applyBorder="1" applyAlignment="1">
      <alignment/>
    </xf>
    <xf numFmtId="0" fontId="4" fillId="43" borderId="40" xfId="0" applyFont="1" applyFill="1" applyBorder="1" applyAlignment="1">
      <alignment horizontal="center"/>
    </xf>
    <xf numFmtId="0" fontId="4" fillId="43" borderId="69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4" fillId="43" borderId="12" xfId="0" applyFont="1" applyFill="1" applyBorder="1" applyAlignment="1">
      <alignment horizontal="center"/>
    </xf>
    <xf numFmtId="3" fontId="7" fillId="43" borderId="62" xfId="0" applyNumberFormat="1" applyFont="1" applyFill="1" applyBorder="1" applyAlignment="1">
      <alignment/>
    </xf>
    <xf numFmtId="3" fontId="20" fillId="36" borderId="10" xfId="0" applyNumberFormat="1" applyFont="1" applyFill="1" applyBorder="1" applyAlignment="1">
      <alignment horizontal="right"/>
    </xf>
    <xf numFmtId="0" fontId="19" fillId="43" borderId="10" xfId="0" applyFont="1" applyFill="1" applyBorder="1" applyAlignment="1">
      <alignment/>
    </xf>
    <xf numFmtId="0" fontId="19" fillId="43" borderId="12" xfId="0" applyFont="1" applyFill="1" applyBorder="1" applyAlignment="1">
      <alignment/>
    </xf>
    <xf numFmtId="3" fontId="44" fillId="46" borderId="22" xfId="0" applyNumberFormat="1" applyFont="1" applyFill="1" applyBorder="1" applyAlignment="1">
      <alignment/>
    </xf>
    <xf numFmtId="49" fontId="3" fillId="43" borderId="46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3" fontId="7" fillId="33" borderId="7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4" fillId="0" borderId="71" xfId="0" applyFont="1" applyBorder="1" applyAlignment="1">
      <alignment/>
    </xf>
    <xf numFmtId="3" fontId="20" fillId="0" borderId="35" xfId="0" applyNumberFormat="1" applyFont="1" applyFill="1" applyBorder="1" applyAlignment="1">
      <alignment/>
    </xf>
    <xf numFmtId="0" fontId="4" fillId="43" borderId="1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30" fillId="0" borderId="45" xfId="0" applyFont="1" applyBorder="1" applyAlignment="1">
      <alignment horizontal="center"/>
    </xf>
    <xf numFmtId="3" fontId="44" fillId="46" borderId="15" xfId="0" applyNumberFormat="1" applyFont="1" applyFill="1" applyBorder="1" applyAlignment="1">
      <alignment/>
    </xf>
    <xf numFmtId="3" fontId="45" fillId="47" borderId="62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6" fillId="43" borderId="50" xfId="0" applyFont="1" applyFill="1" applyBorder="1" applyAlignment="1">
      <alignment/>
    </xf>
    <xf numFmtId="0" fontId="0" fillId="0" borderId="46" xfId="0" applyBorder="1" applyAlignment="1">
      <alignment/>
    </xf>
    <xf numFmtId="3" fontId="6" fillId="43" borderId="46" xfId="0" applyNumberFormat="1" applyFont="1" applyFill="1" applyBorder="1" applyAlignment="1">
      <alignment horizontal="right"/>
    </xf>
    <xf numFmtId="3" fontId="8" fillId="43" borderId="66" xfId="0" applyNumberFormat="1" applyFont="1" applyFill="1" applyBorder="1" applyAlignment="1">
      <alignment/>
    </xf>
    <xf numFmtId="3" fontId="4" fillId="43" borderId="50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/>
    </xf>
    <xf numFmtId="0" fontId="4" fillId="43" borderId="71" xfId="0" applyFont="1" applyFill="1" applyBorder="1" applyAlignment="1">
      <alignment horizontal="center"/>
    </xf>
    <xf numFmtId="3" fontId="22" fillId="45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6" fillId="43" borderId="47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3" fontId="7" fillId="33" borderId="58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center"/>
    </xf>
    <xf numFmtId="0" fontId="4" fillId="43" borderId="37" xfId="0" applyFont="1" applyFill="1" applyBorder="1" applyAlignment="1">
      <alignment horizontal="center"/>
    </xf>
    <xf numFmtId="0" fontId="4" fillId="43" borderId="40" xfId="0" applyFont="1" applyFill="1" applyBorder="1" applyAlignment="1">
      <alignment horizontal="center" vertical="center"/>
    </xf>
    <xf numFmtId="3" fontId="7" fillId="44" borderId="12" xfId="0" applyNumberFormat="1" applyFont="1" applyFill="1" applyBorder="1" applyAlignment="1">
      <alignment horizontal="right"/>
    </xf>
    <xf numFmtId="3" fontId="8" fillId="43" borderId="44" xfId="0" applyNumberFormat="1" applyFont="1" applyFill="1" applyBorder="1" applyAlignment="1">
      <alignment/>
    </xf>
    <xf numFmtId="3" fontId="3" fillId="43" borderId="71" xfId="0" applyNumberFormat="1" applyFont="1" applyFill="1" applyBorder="1" applyAlignment="1">
      <alignment horizontal="right"/>
    </xf>
    <xf numFmtId="3" fontId="8" fillId="43" borderId="62" xfId="0" applyNumberFormat="1" applyFont="1" applyFill="1" applyBorder="1" applyAlignment="1">
      <alignment/>
    </xf>
    <xf numFmtId="49" fontId="4" fillId="48" borderId="10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0" fontId="4" fillId="33" borderId="54" xfId="0" applyFont="1" applyFill="1" applyBorder="1" applyAlignment="1">
      <alignment/>
    </xf>
    <xf numFmtId="3" fontId="7" fillId="33" borderId="72" xfId="0" applyNumberFormat="1" applyFont="1" applyFill="1" applyBorder="1" applyAlignment="1">
      <alignment horizontal="right"/>
    </xf>
    <xf numFmtId="3" fontId="6" fillId="43" borderId="49" xfId="0" applyNumberFormat="1" applyFont="1" applyFill="1" applyBorder="1" applyAlignment="1">
      <alignment/>
    </xf>
    <xf numFmtId="3" fontId="6" fillId="43" borderId="21" xfId="0" applyNumberFormat="1" applyFont="1" applyFill="1" applyBorder="1" applyAlignment="1">
      <alignment horizontal="right"/>
    </xf>
    <xf numFmtId="0" fontId="3" fillId="43" borderId="10" xfId="0" applyFont="1" applyFill="1" applyBorder="1" applyAlignment="1">
      <alignment horizontal="center"/>
    </xf>
    <xf numFmtId="3" fontId="8" fillId="50" borderId="43" xfId="0" applyNumberFormat="1" applyFont="1" applyFill="1" applyBorder="1" applyAlignment="1">
      <alignment/>
    </xf>
    <xf numFmtId="49" fontId="4" fillId="43" borderId="37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3" fontId="4" fillId="0" borderId="4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 vertical="center"/>
    </xf>
    <xf numFmtId="49" fontId="46" fillId="38" borderId="18" xfId="0" applyNumberFormat="1" applyFont="1" applyFill="1" applyBorder="1" applyAlignment="1">
      <alignment horizontal="center" vertical="center"/>
    </xf>
    <xf numFmtId="49" fontId="46" fillId="38" borderId="38" xfId="0" applyNumberFormat="1" applyFont="1" applyFill="1" applyBorder="1" applyAlignment="1">
      <alignment horizontal="center" vertical="center"/>
    </xf>
    <xf numFmtId="49" fontId="45" fillId="38" borderId="38" xfId="0" applyNumberFormat="1" applyFont="1" applyFill="1" applyBorder="1" applyAlignment="1">
      <alignment horizontal="center" vertical="center"/>
    </xf>
    <xf numFmtId="0" fontId="45" fillId="38" borderId="38" xfId="0" applyFont="1" applyFill="1" applyBorder="1" applyAlignment="1">
      <alignment vertical="center"/>
    </xf>
    <xf numFmtId="3" fontId="32" fillId="45" borderId="5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55" fillId="41" borderId="36" xfId="0" applyNumberFormat="1" applyFont="1" applyFill="1" applyBorder="1" applyAlignment="1">
      <alignment horizontal="center"/>
    </xf>
    <xf numFmtId="3" fontId="38" fillId="52" borderId="26" xfId="0" applyNumberFormat="1" applyFont="1" applyFill="1" applyBorder="1" applyAlignment="1">
      <alignment vertical="center"/>
    </xf>
    <xf numFmtId="3" fontId="22" fillId="52" borderId="28" xfId="0" applyNumberFormat="1" applyFont="1" applyFill="1" applyBorder="1" applyAlignment="1">
      <alignment/>
    </xf>
    <xf numFmtId="3" fontId="32" fillId="52" borderId="47" xfId="0" applyNumberFormat="1" applyFont="1" applyFill="1" applyBorder="1" applyAlignment="1">
      <alignment horizontal="right" vertical="center"/>
    </xf>
    <xf numFmtId="3" fontId="107" fillId="52" borderId="55" xfId="0" applyNumberFormat="1" applyFont="1" applyFill="1" applyBorder="1" applyAlignment="1">
      <alignment horizontal="right" vertical="center"/>
    </xf>
    <xf numFmtId="3" fontId="45" fillId="52" borderId="55" xfId="0" applyNumberFormat="1" applyFont="1" applyFill="1" applyBorder="1" applyAlignment="1">
      <alignment horizontal="right" vertical="center"/>
    </xf>
    <xf numFmtId="3" fontId="32" fillId="52" borderId="57" xfId="0" applyNumberFormat="1" applyFont="1" applyFill="1" applyBorder="1" applyAlignment="1">
      <alignment horizontal="right" vertical="center"/>
    </xf>
    <xf numFmtId="3" fontId="32" fillId="52" borderId="41" xfId="0" applyNumberFormat="1" applyFont="1" applyFill="1" applyBorder="1" applyAlignment="1">
      <alignment horizontal="right" vertical="center"/>
    </xf>
    <xf numFmtId="3" fontId="107" fillId="52" borderId="41" xfId="0" applyNumberFormat="1" applyFont="1" applyFill="1" applyBorder="1" applyAlignment="1">
      <alignment/>
    </xf>
    <xf numFmtId="3" fontId="32" fillId="52" borderId="66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38" fillId="52" borderId="60" xfId="0" applyNumberFormat="1" applyFont="1" applyFill="1" applyBorder="1" applyAlignment="1">
      <alignment vertical="center"/>
    </xf>
    <xf numFmtId="3" fontId="45" fillId="52" borderId="49" xfId="0" applyNumberFormat="1" applyFont="1" applyFill="1" applyBorder="1" applyAlignment="1">
      <alignment/>
    </xf>
    <xf numFmtId="3" fontId="45" fillId="52" borderId="43" xfId="0" applyNumberFormat="1" applyFont="1" applyFill="1" applyBorder="1" applyAlignment="1">
      <alignment/>
    </xf>
    <xf numFmtId="3" fontId="22" fillId="52" borderId="22" xfId="0" applyNumberFormat="1" applyFont="1" applyFill="1" applyBorder="1" applyAlignment="1">
      <alignment/>
    </xf>
    <xf numFmtId="3" fontId="22" fillId="52" borderId="21" xfId="0" applyNumberFormat="1" applyFont="1" applyFill="1" applyBorder="1" applyAlignment="1">
      <alignment/>
    </xf>
    <xf numFmtId="3" fontId="22" fillId="52" borderId="45" xfId="0" applyNumberFormat="1" applyFont="1" applyFill="1" applyBorder="1" applyAlignment="1">
      <alignment/>
    </xf>
    <xf numFmtId="3" fontId="45" fillId="52" borderId="44" xfId="0" applyNumberFormat="1" applyFont="1" applyFill="1" applyBorder="1" applyAlignment="1">
      <alignment/>
    </xf>
    <xf numFmtId="3" fontId="109" fillId="52" borderId="42" xfId="0" applyNumberFormat="1" applyFont="1" applyFill="1" applyBorder="1" applyAlignment="1">
      <alignment/>
    </xf>
    <xf numFmtId="3" fontId="22" fillId="52" borderId="13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22" fillId="52" borderId="13" xfId="0" applyNumberFormat="1" applyFont="1" applyFill="1" applyBorder="1" applyAlignment="1">
      <alignment/>
    </xf>
    <xf numFmtId="3" fontId="22" fillId="52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44" fillId="52" borderId="22" xfId="0" applyNumberFormat="1" applyFont="1" applyFill="1" applyBorder="1" applyAlignment="1">
      <alignment/>
    </xf>
    <xf numFmtId="3" fontId="44" fillId="52" borderId="21" xfId="0" applyNumberFormat="1" applyFont="1" applyFill="1" applyBorder="1" applyAlignment="1">
      <alignment/>
    </xf>
    <xf numFmtId="3" fontId="44" fillId="52" borderId="15" xfId="0" applyNumberFormat="1" applyFont="1" applyFill="1" applyBorder="1" applyAlignment="1">
      <alignment/>
    </xf>
    <xf numFmtId="3" fontId="45" fillId="52" borderId="62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44" xfId="0" applyNumberFormat="1" applyFont="1" applyFill="1" applyBorder="1" applyAlignment="1">
      <alignment/>
    </xf>
    <xf numFmtId="3" fontId="4" fillId="43" borderId="58" xfId="0" applyNumberFormat="1" applyFont="1" applyFill="1" applyBorder="1" applyAlignment="1">
      <alignment horizontal="right"/>
    </xf>
    <xf numFmtId="3" fontId="38" fillId="46" borderId="74" xfId="0" applyNumberFormat="1" applyFont="1" applyFill="1" applyBorder="1" applyAlignment="1">
      <alignment vertical="center"/>
    </xf>
    <xf numFmtId="3" fontId="44" fillId="46" borderId="75" xfId="0" applyNumberFormat="1" applyFont="1" applyFill="1" applyBorder="1" applyAlignment="1">
      <alignment/>
    </xf>
    <xf numFmtId="3" fontId="7" fillId="43" borderId="76" xfId="0" applyNumberFormat="1" applyFont="1" applyFill="1" applyBorder="1" applyAlignment="1">
      <alignment horizontal="right"/>
    </xf>
    <xf numFmtId="3" fontId="44" fillId="46" borderId="77" xfId="0" applyNumberFormat="1" applyFont="1" applyFill="1" applyBorder="1" applyAlignment="1">
      <alignment/>
    </xf>
    <xf numFmtId="3" fontId="7" fillId="43" borderId="77" xfId="0" applyNumberFormat="1" applyFont="1" applyFill="1" applyBorder="1" applyAlignment="1">
      <alignment horizontal="right"/>
    </xf>
    <xf numFmtId="3" fontId="7" fillId="43" borderId="75" xfId="0" applyNumberFormat="1" applyFont="1" applyFill="1" applyBorder="1" applyAlignment="1">
      <alignment horizontal="right"/>
    </xf>
    <xf numFmtId="3" fontId="22" fillId="46" borderId="75" xfId="0" applyNumberFormat="1" applyFont="1" applyFill="1" applyBorder="1" applyAlignment="1">
      <alignment/>
    </xf>
    <xf numFmtId="3" fontId="7" fillId="43" borderId="78" xfId="0" applyNumberFormat="1" applyFont="1" applyFill="1" applyBorder="1" applyAlignment="1">
      <alignment horizontal="right"/>
    </xf>
    <xf numFmtId="3" fontId="7" fillId="43" borderId="79" xfId="0" applyNumberFormat="1" applyFont="1" applyFill="1" applyBorder="1" applyAlignment="1">
      <alignment horizontal="right"/>
    </xf>
    <xf numFmtId="3" fontId="7" fillId="43" borderId="23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4" fillId="52" borderId="10" xfId="0" applyNumberFormat="1" applyFont="1" applyFill="1" applyBorder="1" applyAlignment="1">
      <alignment/>
    </xf>
    <xf numFmtId="3" fontId="22" fillId="52" borderId="12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49" fontId="3" fillId="43" borderId="14" xfId="0" applyNumberFormat="1" applyFont="1" applyFill="1" applyBorder="1" applyAlignment="1">
      <alignment horizontal="center"/>
    </xf>
    <xf numFmtId="49" fontId="3" fillId="43" borderId="37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/>
    </xf>
    <xf numFmtId="3" fontId="8" fillId="36" borderId="43" xfId="0" applyNumberFormat="1" applyFont="1" applyFill="1" applyBorder="1" applyAlignment="1">
      <alignment/>
    </xf>
    <xf numFmtId="49" fontId="3" fillId="48" borderId="10" xfId="0" applyNumberFormat="1" applyFont="1" applyFill="1" applyBorder="1" applyAlignment="1">
      <alignment horizontal="center"/>
    </xf>
    <xf numFmtId="49" fontId="4" fillId="43" borderId="14" xfId="0" applyNumberFormat="1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6" fillId="6" borderId="13" xfId="0" applyFont="1" applyFill="1" applyBorder="1" applyAlignment="1">
      <alignment/>
    </xf>
    <xf numFmtId="0" fontId="4" fillId="6" borderId="37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3" fontId="22" fillId="52" borderId="11" xfId="0" applyNumberFormat="1" applyFont="1" applyFill="1" applyBorder="1" applyAlignment="1">
      <alignment/>
    </xf>
    <xf numFmtId="3" fontId="44" fillId="52" borderId="12" xfId="0" applyNumberFormat="1" applyFont="1" applyFill="1" applyBorder="1" applyAlignment="1">
      <alignment/>
    </xf>
    <xf numFmtId="0" fontId="2" fillId="35" borderId="80" xfId="0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3" fontId="22" fillId="45" borderId="38" xfId="0" applyNumberFormat="1" applyFont="1" applyFill="1" applyBorder="1" applyAlignment="1">
      <alignment/>
    </xf>
    <xf numFmtId="3" fontId="22" fillId="52" borderId="38" xfId="0" applyNumberFormat="1" applyFont="1" applyFill="1" applyBorder="1" applyAlignment="1">
      <alignment/>
    </xf>
    <xf numFmtId="3" fontId="22" fillId="46" borderId="81" xfId="0" applyNumberFormat="1" applyFont="1" applyFill="1" applyBorder="1" applyAlignment="1">
      <alignment/>
    </xf>
    <xf numFmtId="3" fontId="7" fillId="44" borderId="21" xfId="0" applyNumberFormat="1" applyFont="1" applyFill="1" applyBorder="1" applyAlignment="1">
      <alignment horizontal="right"/>
    </xf>
    <xf numFmtId="3" fontId="22" fillId="46" borderId="24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108" fillId="52" borderId="11" xfId="0" applyNumberFormat="1" applyFont="1" applyFill="1" applyBorder="1" applyAlignment="1">
      <alignment/>
    </xf>
    <xf numFmtId="3" fontId="8" fillId="44" borderId="48" xfId="0" applyNumberFormat="1" applyFont="1" applyFill="1" applyBorder="1" applyAlignment="1">
      <alignment horizontal="right"/>
    </xf>
    <xf numFmtId="3" fontId="8" fillId="44" borderId="22" xfId="0" applyNumberFormat="1" applyFont="1" applyFill="1" applyBorder="1" applyAlignment="1">
      <alignment horizontal="right"/>
    </xf>
    <xf numFmtId="3" fontId="22" fillId="52" borderId="10" xfId="0" applyNumberFormat="1" applyFont="1" applyFill="1" applyBorder="1" applyAlignment="1">
      <alignment/>
    </xf>
    <xf numFmtId="0" fontId="9" fillId="40" borderId="82" xfId="0" applyFont="1" applyFill="1" applyBorder="1" applyAlignment="1">
      <alignment/>
    </xf>
    <xf numFmtId="0" fontId="9" fillId="40" borderId="83" xfId="0" applyFont="1" applyFill="1" applyBorder="1" applyAlignment="1">
      <alignment/>
    </xf>
    <xf numFmtId="0" fontId="9" fillId="40" borderId="84" xfId="0" applyFont="1" applyFill="1" applyBorder="1" applyAlignment="1">
      <alignment/>
    </xf>
    <xf numFmtId="3" fontId="32" fillId="52" borderId="12" xfId="0" applyNumberFormat="1" applyFont="1" applyFill="1" applyBorder="1" applyAlignment="1">
      <alignment horizontal="right"/>
    </xf>
    <xf numFmtId="174" fontId="4" fillId="0" borderId="73" xfId="0" applyNumberFormat="1" applyFont="1" applyFill="1" applyBorder="1" applyAlignment="1">
      <alignment/>
    </xf>
    <xf numFmtId="174" fontId="4" fillId="0" borderId="35" xfId="0" applyNumberFormat="1" applyFont="1" applyFill="1" applyBorder="1" applyAlignment="1">
      <alignment/>
    </xf>
    <xf numFmtId="174" fontId="4" fillId="0" borderId="66" xfId="0" applyNumberFormat="1" applyFont="1" applyFill="1" applyBorder="1" applyAlignment="1">
      <alignment/>
    </xf>
    <xf numFmtId="174" fontId="4" fillId="0" borderId="85" xfId="0" applyNumberFormat="1" applyFont="1" applyFill="1" applyBorder="1" applyAlignment="1">
      <alignment/>
    </xf>
    <xf numFmtId="0" fontId="29" fillId="43" borderId="0" xfId="0" applyFont="1" applyFill="1" applyBorder="1" applyAlignment="1">
      <alignment horizontal="left"/>
    </xf>
    <xf numFmtId="0" fontId="58" fillId="4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4" fontId="4" fillId="0" borderId="86" xfId="0" applyNumberFormat="1" applyFont="1" applyFill="1" applyBorder="1" applyAlignment="1">
      <alignment vertical="center"/>
    </xf>
    <xf numFmtId="3" fontId="38" fillId="47" borderId="60" xfId="0" applyNumberFormat="1" applyFont="1" applyFill="1" applyBorder="1" applyAlignment="1">
      <alignment vertical="center"/>
    </xf>
    <xf numFmtId="3" fontId="38" fillId="52" borderId="60" xfId="0" applyNumberFormat="1" applyFont="1" applyFill="1" applyBorder="1" applyAlignment="1">
      <alignment vertical="center"/>
    </xf>
    <xf numFmtId="174" fontId="4" fillId="0" borderId="60" xfId="0" applyNumberFormat="1" applyFont="1" applyFill="1" applyBorder="1" applyAlignment="1">
      <alignment vertical="center"/>
    </xf>
    <xf numFmtId="3" fontId="22" fillId="45" borderId="28" xfId="0" applyNumberFormat="1" applyFont="1" applyFill="1" applyBorder="1" applyAlignment="1">
      <alignment/>
    </xf>
    <xf numFmtId="3" fontId="22" fillId="52" borderId="28" xfId="0" applyNumberFormat="1" applyFont="1" applyFill="1" applyBorder="1" applyAlignment="1">
      <alignment/>
    </xf>
    <xf numFmtId="174" fontId="4" fillId="0" borderId="49" xfId="0" applyNumberFormat="1" applyFont="1" applyFill="1" applyBorder="1" applyAlignment="1">
      <alignment/>
    </xf>
    <xf numFmtId="174" fontId="4" fillId="0" borderId="35" xfId="0" applyNumberFormat="1" applyFont="1" applyFill="1" applyBorder="1" applyAlignment="1">
      <alignment horizontal="right"/>
    </xf>
    <xf numFmtId="174" fontId="4" fillId="0" borderId="42" xfId="0" applyNumberFormat="1" applyFont="1" applyFill="1" applyBorder="1" applyAlignment="1">
      <alignment horizontal="right"/>
    </xf>
    <xf numFmtId="174" fontId="4" fillId="0" borderId="42" xfId="0" applyNumberFormat="1" applyFont="1" applyFill="1" applyBorder="1" applyAlignment="1">
      <alignment/>
    </xf>
    <xf numFmtId="174" fontId="4" fillId="0" borderId="43" xfId="0" applyNumberFormat="1" applyFont="1" applyFill="1" applyBorder="1" applyAlignment="1">
      <alignment horizontal="right"/>
    </xf>
    <xf numFmtId="3" fontId="22" fillId="45" borderId="10" xfId="0" applyNumberFormat="1" applyFont="1" applyFill="1" applyBorder="1" applyAlignment="1">
      <alignment/>
    </xf>
    <xf numFmtId="174" fontId="4" fillId="0" borderId="43" xfId="0" applyNumberFormat="1" applyFont="1" applyFill="1" applyBorder="1" applyAlignment="1">
      <alignment/>
    </xf>
    <xf numFmtId="174" fontId="4" fillId="0" borderId="49" xfId="0" applyNumberFormat="1" applyFont="1" applyFill="1" applyBorder="1" applyAlignment="1">
      <alignment horizontal="right"/>
    </xf>
    <xf numFmtId="174" fontId="4" fillId="0" borderId="43" xfId="0" applyNumberFormat="1" applyFont="1" applyFill="1" applyBorder="1" applyAlignment="1">
      <alignment/>
    </xf>
    <xf numFmtId="3" fontId="22" fillId="45" borderId="18" xfId="0" applyNumberFormat="1" applyFont="1" applyFill="1" applyBorder="1" applyAlignment="1">
      <alignment/>
    </xf>
    <xf numFmtId="3" fontId="22" fillId="52" borderId="18" xfId="0" applyNumberFormat="1" applyFont="1" applyFill="1" applyBorder="1" applyAlignment="1">
      <alignment/>
    </xf>
    <xf numFmtId="174" fontId="4" fillId="0" borderId="87" xfId="0" applyNumberFormat="1" applyFont="1" applyFill="1" applyBorder="1" applyAlignment="1">
      <alignment/>
    </xf>
    <xf numFmtId="174" fontId="4" fillId="0" borderId="44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59" fillId="43" borderId="0" xfId="0" applyFont="1" applyFill="1" applyBorder="1" applyAlignment="1">
      <alignment/>
    </xf>
    <xf numFmtId="0" fontId="111" fillId="0" borderId="0" xfId="0" applyFont="1" applyFill="1" applyAlignment="1">
      <alignment/>
    </xf>
    <xf numFmtId="3" fontId="112" fillId="52" borderId="49" xfId="0" applyNumberFormat="1" applyFont="1" applyFill="1" applyBorder="1" applyAlignment="1">
      <alignment/>
    </xf>
    <xf numFmtId="3" fontId="112" fillId="52" borderId="43" xfId="0" applyNumberFormat="1" applyFont="1" applyFill="1" applyBorder="1" applyAlignment="1">
      <alignment/>
    </xf>
    <xf numFmtId="174" fontId="4" fillId="0" borderId="66" xfId="0" applyNumberFormat="1" applyFont="1" applyFill="1" applyBorder="1" applyAlignment="1">
      <alignment horizontal="right"/>
    </xf>
    <xf numFmtId="3" fontId="38" fillId="52" borderId="39" xfId="0" applyNumberFormat="1" applyFont="1" applyFill="1" applyBorder="1" applyAlignment="1">
      <alignment vertical="center"/>
    </xf>
    <xf numFmtId="174" fontId="4" fillId="0" borderId="85" xfId="0" applyNumberFormat="1" applyFont="1" applyFill="1" applyBorder="1" applyAlignment="1">
      <alignment horizontal="right"/>
    </xf>
    <xf numFmtId="174" fontId="4" fillId="0" borderId="41" xfId="0" applyNumberFormat="1" applyFont="1" applyFill="1" applyBorder="1" applyAlignment="1">
      <alignment/>
    </xf>
    <xf numFmtId="3" fontId="7" fillId="13" borderId="76" xfId="0" applyNumberFormat="1" applyFont="1" applyFill="1" applyBorder="1" applyAlignment="1">
      <alignment horizontal="right"/>
    </xf>
    <xf numFmtId="3" fontId="7" fillId="13" borderId="33" xfId="0" applyNumberFormat="1" applyFont="1" applyFill="1" applyBorder="1" applyAlignment="1">
      <alignment horizontal="right"/>
    </xf>
    <xf numFmtId="174" fontId="4" fillId="0" borderId="41" xfId="0" applyNumberFormat="1" applyFont="1" applyFill="1" applyBorder="1" applyAlignment="1">
      <alignment horizontal="right"/>
    </xf>
    <xf numFmtId="3" fontId="7" fillId="13" borderId="78" xfId="0" applyNumberFormat="1" applyFont="1" applyFill="1" applyBorder="1" applyAlignment="1">
      <alignment horizontal="right"/>
    </xf>
    <xf numFmtId="3" fontId="7" fillId="13" borderId="23" xfId="0" applyNumberFormat="1" applyFont="1" applyFill="1" applyBorder="1" applyAlignment="1">
      <alignment horizontal="right"/>
    </xf>
    <xf numFmtId="174" fontId="4" fillId="0" borderId="70" xfId="0" applyNumberFormat="1" applyFont="1" applyFill="1" applyBorder="1" applyAlignment="1">
      <alignment horizontal="right"/>
    </xf>
    <xf numFmtId="174" fontId="4" fillId="0" borderId="62" xfId="0" applyNumberFormat="1" applyFont="1" applyFill="1" applyBorder="1" applyAlignment="1">
      <alignment/>
    </xf>
    <xf numFmtId="3" fontId="36" fillId="43" borderId="77" xfId="0" applyNumberFormat="1" applyFont="1" applyFill="1" applyBorder="1" applyAlignment="1">
      <alignment horizontal="right"/>
    </xf>
    <xf numFmtId="3" fontId="36" fillId="43" borderId="10" xfId="0" applyNumberFormat="1" applyFont="1" applyFill="1" applyBorder="1" applyAlignment="1">
      <alignment horizontal="right"/>
    </xf>
    <xf numFmtId="3" fontId="7" fillId="50" borderId="77" xfId="0" applyNumberFormat="1" applyFont="1" applyFill="1" applyBorder="1" applyAlignment="1">
      <alignment horizontal="right"/>
    </xf>
    <xf numFmtId="3" fontId="6" fillId="43" borderId="77" xfId="0" applyNumberFormat="1" applyFont="1" applyFill="1" applyBorder="1" applyAlignment="1">
      <alignment horizontal="right"/>
    </xf>
    <xf numFmtId="174" fontId="4" fillId="0" borderId="49" xfId="0" applyNumberFormat="1" applyFont="1" applyFill="1" applyBorder="1" applyAlignment="1">
      <alignment/>
    </xf>
    <xf numFmtId="174" fontId="4" fillId="0" borderId="44" xfId="0" applyNumberFormat="1" applyFont="1" applyFill="1" applyBorder="1" applyAlignment="1">
      <alignment/>
    </xf>
    <xf numFmtId="3" fontId="22" fillId="45" borderId="54" xfId="0" applyNumberFormat="1" applyFont="1" applyFill="1" applyBorder="1" applyAlignment="1">
      <alignment/>
    </xf>
    <xf numFmtId="3" fontId="22" fillId="52" borderId="54" xfId="0" applyNumberFormat="1" applyFont="1" applyFill="1" applyBorder="1" applyAlignment="1">
      <alignment/>
    </xf>
    <xf numFmtId="174" fontId="4" fillId="0" borderId="62" xfId="0" applyNumberFormat="1" applyFont="1" applyFill="1" applyBorder="1" applyAlignment="1">
      <alignment/>
    </xf>
    <xf numFmtId="174" fontId="4" fillId="0" borderId="44" xfId="0" applyNumberFormat="1" applyFont="1" applyFill="1" applyBorder="1" applyAlignment="1">
      <alignment horizontal="right"/>
    </xf>
    <xf numFmtId="0" fontId="87" fillId="0" borderId="0" xfId="0" applyFont="1" applyFill="1" applyAlignment="1">
      <alignment/>
    </xf>
    <xf numFmtId="49" fontId="2" fillId="41" borderId="84" xfId="0" applyNumberFormat="1" applyFont="1" applyFill="1" applyBorder="1" applyAlignment="1">
      <alignment horizontal="center"/>
    </xf>
    <xf numFmtId="174" fontId="4" fillId="0" borderId="88" xfId="0" applyNumberFormat="1" applyFont="1" applyFill="1" applyBorder="1" applyAlignment="1">
      <alignment vertical="center"/>
    </xf>
    <xf numFmtId="3" fontId="22" fillId="46" borderId="28" xfId="0" applyNumberFormat="1" applyFont="1" applyFill="1" applyBorder="1" applyAlignment="1">
      <alignment/>
    </xf>
    <xf numFmtId="174" fontId="4" fillId="43" borderId="85" xfId="0" applyNumberFormat="1" applyFont="1" applyFill="1" applyBorder="1" applyAlignment="1">
      <alignment horizontal="right"/>
    </xf>
    <xf numFmtId="3" fontId="22" fillId="46" borderId="10" xfId="0" applyNumberFormat="1" applyFont="1" applyFill="1" applyBorder="1" applyAlignment="1">
      <alignment/>
    </xf>
    <xf numFmtId="3" fontId="22" fillId="52" borderId="43" xfId="0" applyNumberFormat="1" applyFont="1" applyFill="1" applyBorder="1" applyAlignment="1">
      <alignment/>
    </xf>
    <xf numFmtId="3" fontId="22" fillId="52" borderId="49" xfId="0" applyNumberFormat="1" applyFont="1" applyFill="1" applyBorder="1" applyAlignment="1">
      <alignment/>
    </xf>
    <xf numFmtId="174" fontId="4" fillId="0" borderId="13" xfId="0" applyNumberFormat="1" applyFont="1" applyFill="1" applyBorder="1" applyAlignment="1">
      <alignment horizontal="right"/>
    </xf>
    <xf numFmtId="174" fontId="4" fillId="0" borderId="1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74" fontId="4" fillId="0" borderId="47" xfId="0" applyNumberFormat="1" applyFont="1" applyFill="1" applyBorder="1" applyAlignment="1">
      <alignment/>
    </xf>
    <xf numFmtId="174" fontId="4" fillId="0" borderId="55" xfId="0" applyNumberFormat="1" applyFont="1" applyFill="1" applyBorder="1" applyAlignment="1">
      <alignment horizontal="right"/>
    </xf>
    <xf numFmtId="174" fontId="4" fillId="43" borderId="55" xfId="0" applyNumberFormat="1" applyFont="1" applyFill="1" applyBorder="1" applyAlignment="1">
      <alignment horizontal="right"/>
    </xf>
    <xf numFmtId="174" fontId="4" fillId="43" borderId="47" xfId="0" applyNumberFormat="1" applyFont="1" applyFill="1" applyBorder="1" applyAlignment="1">
      <alignment horizontal="right"/>
    </xf>
    <xf numFmtId="174" fontId="4" fillId="43" borderId="58" xfId="0" applyNumberFormat="1" applyFont="1" applyFill="1" applyBorder="1" applyAlignment="1">
      <alignment horizontal="right"/>
    </xf>
    <xf numFmtId="174" fontId="4" fillId="43" borderId="89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/>
    </xf>
    <xf numFmtId="3" fontId="38" fillId="52" borderId="90" xfId="0" applyNumberFormat="1" applyFont="1" applyFill="1" applyBorder="1" applyAlignment="1">
      <alignment vertical="center"/>
    </xf>
    <xf numFmtId="3" fontId="7" fillId="36" borderId="76" xfId="0" applyNumberFormat="1" applyFont="1" applyFill="1" applyBorder="1" applyAlignment="1">
      <alignment horizontal="right"/>
    </xf>
    <xf numFmtId="3" fontId="7" fillId="36" borderId="33" xfId="0" applyNumberFormat="1" applyFont="1" applyFill="1" applyBorder="1" applyAlignment="1">
      <alignment horizontal="right"/>
    </xf>
    <xf numFmtId="3" fontId="6" fillId="43" borderId="76" xfId="0" applyNumberFormat="1" applyFont="1" applyFill="1" applyBorder="1" applyAlignment="1">
      <alignment horizontal="right"/>
    </xf>
    <xf numFmtId="3" fontId="7" fillId="48" borderId="76" xfId="0" applyNumberFormat="1" applyFont="1" applyFill="1" applyBorder="1" applyAlignment="1">
      <alignment horizontal="right"/>
    </xf>
    <xf numFmtId="3" fontId="7" fillId="48" borderId="33" xfId="0" applyNumberFormat="1" applyFont="1" applyFill="1" applyBorder="1" applyAlignment="1">
      <alignment horizontal="right"/>
    </xf>
    <xf numFmtId="3" fontId="7" fillId="48" borderId="78" xfId="0" applyNumberFormat="1" applyFont="1" applyFill="1" applyBorder="1" applyAlignment="1">
      <alignment horizontal="right"/>
    </xf>
    <xf numFmtId="3" fontId="7" fillId="48" borderId="23" xfId="0" applyNumberFormat="1" applyFont="1" applyFill="1" applyBorder="1" applyAlignment="1">
      <alignment horizontal="right"/>
    </xf>
    <xf numFmtId="3" fontId="7" fillId="48" borderId="77" xfId="0" applyNumberFormat="1" applyFont="1" applyFill="1" applyBorder="1" applyAlignment="1">
      <alignment horizontal="right"/>
    </xf>
    <xf numFmtId="3" fontId="7" fillId="48" borderId="10" xfId="0" applyNumberFormat="1" applyFont="1" applyFill="1" applyBorder="1" applyAlignment="1">
      <alignment horizontal="right"/>
    </xf>
    <xf numFmtId="3" fontId="22" fillId="46" borderId="77" xfId="0" applyNumberFormat="1" applyFont="1" applyFill="1" applyBorder="1" applyAlignment="1">
      <alignment/>
    </xf>
    <xf numFmtId="3" fontId="6" fillId="36" borderId="77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3" fontId="6" fillId="43" borderId="78" xfId="0" applyNumberFormat="1" applyFont="1" applyFill="1" applyBorder="1" applyAlignment="1">
      <alignment horizontal="right"/>
    </xf>
    <xf numFmtId="3" fontId="6" fillId="43" borderId="23" xfId="0" applyNumberFormat="1" applyFont="1" applyFill="1" applyBorder="1" applyAlignment="1">
      <alignment horizontal="right"/>
    </xf>
    <xf numFmtId="3" fontId="7" fillId="36" borderId="78" xfId="0" applyNumberFormat="1" applyFont="1" applyFill="1" applyBorder="1" applyAlignment="1">
      <alignment horizontal="right"/>
    </xf>
    <xf numFmtId="3" fontId="7" fillId="36" borderId="23" xfId="0" applyNumberFormat="1" applyFont="1" applyFill="1" applyBorder="1" applyAlignment="1">
      <alignment horizontal="right"/>
    </xf>
    <xf numFmtId="3" fontId="6" fillId="48" borderId="77" xfId="0" applyNumberFormat="1" applyFont="1" applyFill="1" applyBorder="1" applyAlignment="1">
      <alignment horizontal="right"/>
    </xf>
    <xf numFmtId="3" fontId="6" fillId="48" borderId="10" xfId="0" applyNumberFormat="1" applyFont="1" applyFill="1" applyBorder="1" applyAlignment="1">
      <alignment horizontal="right"/>
    </xf>
    <xf numFmtId="3" fontId="20" fillId="48" borderId="76" xfId="0" applyNumberFormat="1" applyFont="1" applyFill="1" applyBorder="1" applyAlignment="1">
      <alignment horizontal="right"/>
    </xf>
    <xf numFmtId="3" fontId="20" fillId="48" borderId="33" xfId="0" applyNumberFormat="1" applyFont="1" applyFill="1" applyBorder="1" applyAlignment="1">
      <alignment horizontal="right"/>
    </xf>
    <xf numFmtId="3" fontId="6" fillId="36" borderId="76" xfId="0" applyNumberFormat="1" applyFont="1" applyFill="1" applyBorder="1" applyAlignment="1">
      <alignment horizontal="right"/>
    </xf>
    <xf numFmtId="3" fontId="6" fillId="36" borderId="33" xfId="0" applyNumberFormat="1" applyFont="1" applyFill="1" applyBorder="1" applyAlignment="1">
      <alignment horizontal="right"/>
    </xf>
    <xf numFmtId="3" fontId="7" fillId="48" borderId="75" xfId="0" applyNumberFormat="1" applyFont="1" applyFill="1" applyBorder="1" applyAlignment="1">
      <alignment horizontal="right"/>
    </xf>
    <xf numFmtId="3" fontId="7" fillId="48" borderId="12" xfId="0" applyNumberFormat="1" applyFont="1" applyFill="1" applyBorder="1" applyAlignment="1">
      <alignment horizontal="right"/>
    </xf>
    <xf numFmtId="3" fontId="7" fillId="6" borderId="77" xfId="0" applyNumberFormat="1" applyFont="1" applyFill="1" applyBorder="1" applyAlignment="1">
      <alignment horizontal="right"/>
    </xf>
    <xf numFmtId="3" fontId="7" fillId="6" borderId="10" xfId="0" applyNumberFormat="1" applyFont="1" applyFill="1" applyBorder="1" applyAlignment="1">
      <alignment horizontal="right"/>
    </xf>
    <xf numFmtId="3" fontId="7" fillId="6" borderId="75" xfId="0" applyNumberFormat="1" applyFont="1" applyFill="1" applyBorder="1" applyAlignment="1">
      <alignment horizontal="right"/>
    </xf>
    <xf numFmtId="3" fontId="7" fillId="6" borderId="12" xfId="0" applyNumberFormat="1" applyFont="1" applyFill="1" applyBorder="1" applyAlignment="1">
      <alignment horizontal="right"/>
    </xf>
    <xf numFmtId="3" fontId="6" fillId="48" borderId="76" xfId="0" applyNumberFormat="1" applyFont="1" applyFill="1" applyBorder="1" applyAlignment="1">
      <alignment horizontal="right"/>
    </xf>
    <xf numFmtId="3" fontId="6" fillId="48" borderId="33" xfId="0" applyNumberFormat="1" applyFont="1" applyFill="1" applyBorder="1" applyAlignment="1">
      <alignment horizontal="right"/>
    </xf>
    <xf numFmtId="174" fontId="4" fillId="0" borderId="47" xfId="0" applyNumberFormat="1" applyFont="1" applyFill="1" applyBorder="1" applyAlignment="1">
      <alignment horizontal="right"/>
    </xf>
    <xf numFmtId="3" fontId="6" fillId="48" borderId="78" xfId="0" applyNumberFormat="1" applyFont="1" applyFill="1" applyBorder="1" applyAlignment="1">
      <alignment horizontal="right"/>
    </xf>
    <xf numFmtId="3" fontId="6" fillId="48" borderId="23" xfId="0" applyNumberFormat="1" applyFont="1" applyFill="1" applyBorder="1" applyAlignment="1">
      <alignment horizontal="right"/>
    </xf>
    <xf numFmtId="174" fontId="4" fillId="0" borderId="72" xfId="0" applyNumberFormat="1" applyFont="1" applyFill="1" applyBorder="1" applyAlignment="1">
      <alignment horizontal="right"/>
    </xf>
    <xf numFmtId="174" fontId="4" fillId="0" borderId="66" xfId="0" applyNumberFormat="1" applyFont="1" applyFill="1" applyBorder="1" applyAlignment="1">
      <alignment/>
    </xf>
    <xf numFmtId="3" fontId="8" fillId="13" borderId="76" xfId="0" applyNumberFormat="1" applyFont="1" applyFill="1" applyBorder="1" applyAlignment="1">
      <alignment horizontal="right"/>
    </xf>
    <xf numFmtId="3" fontId="8" fillId="13" borderId="33" xfId="0" applyNumberFormat="1" applyFont="1" applyFill="1" applyBorder="1" applyAlignment="1">
      <alignment horizontal="right"/>
    </xf>
    <xf numFmtId="3" fontId="8" fillId="50" borderId="76" xfId="0" applyNumberFormat="1" applyFont="1" applyFill="1" applyBorder="1" applyAlignment="1">
      <alignment horizontal="right"/>
    </xf>
    <xf numFmtId="3" fontId="8" fillId="50" borderId="33" xfId="0" applyNumberFormat="1" applyFont="1" applyFill="1" applyBorder="1" applyAlignment="1">
      <alignment horizontal="right"/>
    </xf>
    <xf numFmtId="3" fontId="6" fillId="13" borderId="76" xfId="0" applyNumberFormat="1" applyFont="1" applyFill="1" applyBorder="1" applyAlignment="1">
      <alignment horizontal="right"/>
    </xf>
    <xf numFmtId="3" fontId="6" fillId="13" borderId="33" xfId="0" applyNumberFormat="1" applyFont="1" applyFill="1" applyBorder="1" applyAlignment="1">
      <alignment horizontal="right"/>
    </xf>
    <xf numFmtId="3" fontId="6" fillId="50" borderId="77" xfId="0" applyNumberFormat="1" applyFont="1" applyFill="1" applyBorder="1" applyAlignment="1">
      <alignment horizontal="right"/>
    </xf>
    <xf numFmtId="3" fontId="6" fillId="50" borderId="10" xfId="0" applyNumberFormat="1" applyFont="1" applyFill="1" applyBorder="1" applyAlignment="1">
      <alignment horizontal="right"/>
    </xf>
    <xf numFmtId="3" fontId="7" fillId="13" borderId="77" xfId="0" applyNumberFormat="1" applyFont="1" applyFill="1" applyBorder="1" applyAlignment="1">
      <alignment horizontal="right"/>
    </xf>
    <xf numFmtId="3" fontId="7" fillId="13" borderId="10" xfId="0" applyNumberFormat="1" applyFont="1" applyFill="1" applyBorder="1" applyAlignment="1">
      <alignment horizontal="right"/>
    </xf>
    <xf numFmtId="3" fontId="22" fillId="45" borderId="12" xfId="0" applyNumberFormat="1" applyFont="1" applyFill="1" applyBorder="1" applyAlignment="1">
      <alignment/>
    </xf>
    <xf numFmtId="174" fontId="4" fillId="0" borderId="89" xfId="0" applyNumberFormat="1" applyFont="1" applyFill="1" applyBorder="1" applyAlignment="1">
      <alignment horizontal="right"/>
    </xf>
    <xf numFmtId="174" fontId="4" fillId="0" borderId="47" xfId="0" applyNumberFormat="1" applyFont="1" applyFill="1" applyBorder="1" applyAlignment="1">
      <alignment horizontal="right" vertical="center"/>
    </xf>
    <xf numFmtId="174" fontId="4" fillId="0" borderId="47" xfId="0" applyNumberFormat="1" applyFont="1" applyFill="1" applyBorder="1" applyAlignment="1">
      <alignment horizontal="right"/>
    </xf>
    <xf numFmtId="174" fontId="4" fillId="0" borderId="55" xfId="0" applyNumberFormat="1" applyFont="1" applyFill="1" applyBorder="1" applyAlignment="1">
      <alignment horizontal="right"/>
    </xf>
    <xf numFmtId="174" fontId="4" fillId="0" borderId="55" xfId="0" applyNumberFormat="1" applyFont="1" applyFill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/>
    </xf>
    <xf numFmtId="174" fontId="4" fillId="0" borderId="57" xfId="0" applyNumberFormat="1" applyFont="1" applyFill="1" applyBorder="1" applyAlignment="1">
      <alignment horizontal="right"/>
    </xf>
    <xf numFmtId="174" fontId="4" fillId="0" borderId="58" xfId="0" applyNumberFormat="1" applyFont="1" applyFill="1" applyBorder="1" applyAlignment="1">
      <alignment horizontal="right"/>
    </xf>
    <xf numFmtId="174" fontId="4" fillId="0" borderId="41" xfId="0" applyNumberFormat="1" applyFont="1" applyFill="1" applyBorder="1" applyAlignment="1">
      <alignment horizontal="right"/>
    </xf>
    <xf numFmtId="0" fontId="34" fillId="38" borderId="19" xfId="0" applyFont="1" applyFill="1" applyBorder="1" applyAlignment="1">
      <alignment vertical="center"/>
    </xf>
    <xf numFmtId="174" fontId="4" fillId="0" borderId="41" xfId="0" applyNumberFormat="1" applyFont="1" applyFill="1" applyBorder="1" applyAlignment="1">
      <alignment horizontal="right" vertical="center"/>
    </xf>
    <xf numFmtId="174" fontId="4" fillId="0" borderId="41" xfId="0" applyNumberFormat="1" applyFont="1" applyFill="1" applyBorder="1" applyAlignment="1">
      <alignment/>
    </xf>
    <xf numFmtId="174" fontId="4" fillId="0" borderId="35" xfId="0" applyNumberFormat="1" applyFont="1" applyFill="1" applyBorder="1" applyAlignment="1">
      <alignment/>
    </xf>
    <xf numFmtId="174" fontId="14" fillId="0" borderId="41" xfId="0" applyNumberFormat="1" applyFont="1" applyFill="1" applyBorder="1" applyAlignment="1">
      <alignment/>
    </xf>
    <xf numFmtId="174" fontId="4" fillId="0" borderId="70" xfId="0" applyNumberFormat="1" applyFont="1" applyFill="1" applyBorder="1" applyAlignment="1">
      <alignment/>
    </xf>
    <xf numFmtId="0" fontId="34" fillId="49" borderId="46" xfId="0" applyFont="1" applyFill="1" applyBorder="1" applyAlignment="1">
      <alignment/>
    </xf>
    <xf numFmtId="0" fontId="34" fillId="49" borderId="38" xfId="0" applyFont="1" applyFill="1" applyBorder="1" applyAlignment="1">
      <alignment/>
    </xf>
    <xf numFmtId="3" fontId="107" fillId="52" borderId="73" xfId="0" applyNumberFormat="1" applyFont="1" applyFill="1" applyBorder="1" applyAlignment="1">
      <alignment/>
    </xf>
    <xf numFmtId="3" fontId="107" fillId="52" borderId="35" xfId="0" applyNumberFormat="1" applyFont="1" applyFill="1" applyBorder="1" applyAlignment="1">
      <alignment/>
    </xf>
    <xf numFmtId="3" fontId="107" fillId="52" borderId="87" xfId="0" applyNumberFormat="1" applyFont="1" applyFill="1" applyBorder="1" applyAlignment="1">
      <alignment/>
    </xf>
    <xf numFmtId="174" fontId="4" fillId="0" borderId="44" xfId="0" applyNumberFormat="1" applyFont="1" applyFill="1" applyBorder="1" applyAlignment="1">
      <alignment horizontal="right"/>
    </xf>
    <xf numFmtId="174" fontId="4" fillId="0" borderId="73" xfId="0" applyNumberFormat="1" applyFont="1" applyFill="1" applyBorder="1" applyAlignment="1">
      <alignment vertical="center"/>
    </xf>
    <xf numFmtId="174" fontId="4" fillId="0" borderId="35" xfId="0" applyNumberFormat="1" applyFont="1" applyFill="1" applyBorder="1" applyAlignment="1">
      <alignment vertical="center"/>
    </xf>
    <xf numFmtId="174" fontId="4" fillId="0" borderId="6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4" fontId="4" fillId="0" borderId="91" xfId="0" applyNumberFormat="1" applyFont="1" applyFill="1" applyBorder="1" applyAlignment="1">
      <alignment vertical="center"/>
    </xf>
    <xf numFmtId="174" fontId="4" fillId="0" borderId="43" xfId="0" applyNumberFormat="1" applyFont="1" applyFill="1" applyBorder="1" applyAlignment="1">
      <alignment vertical="center"/>
    </xf>
    <xf numFmtId="174" fontId="4" fillId="0" borderId="44" xfId="0" applyNumberFormat="1" applyFont="1" applyFill="1" applyBorder="1" applyAlignment="1">
      <alignment vertical="center"/>
    </xf>
    <xf numFmtId="49" fontId="60" fillId="0" borderId="92" xfId="0" applyNumberFormat="1" applyFont="1" applyFill="1" applyBorder="1" applyAlignment="1">
      <alignment horizontal="center"/>
    </xf>
    <xf numFmtId="174" fontId="4" fillId="0" borderId="93" xfId="0" applyNumberFormat="1" applyFont="1" applyFill="1" applyBorder="1" applyAlignment="1">
      <alignment vertical="center"/>
    </xf>
    <xf numFmtId="173" fontId="4" fillId="0" borderId="60" xfId="0" applyNumberFormat="1" applyFont="1" applyFill="1" applyBorder="1" applyAlignment="1">
      <alignment vertical="center"/>
    </xf>
    <xf numFmtId="173" fontId="4" fillId="0" borderId="91" xfId="0" applyNumberFormat="1" applyFont="1" applyFill="1" applyBorder="1" applyAlignment="1">
      <alignment vertical="center"/>
    </xf>
    <xf numFmtId="173" fontId="4" fillId="0" borderId="43" xfId="0" applyNumberFormat="1" applyFont="1" applyFill="1" applyBorder="1" applyAlignment="1">
      <alignment vertical="center"/>
    </xf>
    <xf numFmtId="173" fontId="4" fillId="0" borderId="44" xfId="0" applyNumberFormat="1" applyFont="1" applyFill="1" applyBorder="1" applyAlignment="1">
      <alignment vertical="center"/>
    </xf>
    <xf numFmtId="174" fontId="7" fillId="41" borderId="41" xfId="0" applyNumberFormat="1" applyFont="1" applyFill="1" applyBorder="1" applyAlignment="1">
      <alignment horizontal="right"/>
    </xf>
    <xf numFmtId="174" fontId="62" fillId="42" borderId="41" xfId="0" applyNumberFormat="1" applyFont="1" applyFill="1" applyBorder="1" applyAlignment="1">
      <alignment horizontal="right"/>
    </xf>
    <xf numFmtId="174" fontId="7" fillId="33" borderId="35" xfId="0" applyNumberFormat="1" applyFont="1" applyFill="1" applyBorder="1" applyAlignment="1">
      <alignment horizontal="right"/>
    </xf>
    <xf numFmtId="174" fontId="7" fillId="33" borderId="41" xfId="0" applyNumberFormat="1" applyFont="1" applyFill="1" applyBorder="1" applyAlignment="1">
      <alignment horizontal="right"/>
    </xf>
    <xf numFmtId="174" fontId="62" fillId="39" borderId="34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3" fontId="6" fillId="50" borderId="22" xfId="0" applyNumberFormat="1" applyFont="1" applyFill="1" applyBorder="1" applyAlignment="1">
      <alignment horizontal="right"/>
    </xf>
    <xf numFmtId="0" fontId="4" fillId="53" borderId="11" xfId="0" applyFont="1" applyFill="1" applyBorder="1" applyAlignment="1">
      <alignment horizontal="center"/>
    </xf>
    <xf numFmtId="0" fontId="3" fillId="53" borderId="12" xfId="0" applyFont="1" applyFill="1" applyBorder="1" applyAlignment="1">
      <alignment horizontal="center"/>
    </xf>
    <xf numFmtId="0" fontId="6" fillId="53" borderId="11" xfId="0" applyFont="1" applyFill="1" applyBorder="1" applyAlignment="1">
      <alignment/>
    </xf>
    <xf numFmtId="3" fontId="6" fillId="53" borderId="13" xfId="0" applyNumberFormat="1" applyFont="1" applyFill="1" applyBorder="1" applyAlignment="1">
      <alignment horizontal="right"/>
    </xf>
    <xf numFmtId="174" fontId="4" fillId="53" borderId="35" xfId="0" applyNumberFormat="1" applyFont="1" applyFill="1" applyBorder="1" applyAlignment="1">
      <alignment vertical="center"/>
    </xf>
    <xf numFmtId="3" fontId="4" fillId="53" borderId="0" xfId="0" applyNumberFormat="1" applyFont="1" applyFill="1" applyBorder="1" applyAlignment="1">
      <alignment horizontal="right"/>
    </xf>
    <xf numFmtId="3" fontId="7" fillId="53" borderId="10" xfId="0" applyNumberFormat="1" applyFont="1" applyFill="1" applyBorder="1" applyAlignment="1">
      <alignment horizontal="right"/>
    </xf>
    <xf numFmtId="3" fontId="8" fillId="53" borderId="43" xfId="0" applyNumberFormat="1" applyFont="1" applyFill="1" applyBorder="1" applyAlignment="1">
      <alignment/>
    </xf>
    <xf numFmtId="174" fontId="4" fillId="53" borderId="43" xfId="0" applyNumberFormat="1" applyFont="1" applyFill="1" applyBorder="1" applyAlignment="1">
      <alignment vertical="center"/>
    </xf>
    <xf numFmtId="3" fontId="7" fillId="33" borderId="35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20" fillId="41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27" fillId="34" borderId="40" xfId="0" applyFont="1" applyFill="1" applyBorder="1" applyAlignment="1">
      <alignment/>
    </xf>
    <xf numFmtId="0" fontId="27" fillId="34" borderId="37" xfId="0" applyFont="1" applyFill="1" applyBorder="1" applyAlignment="1">
      <alignment/>
    </xf>
    <xf numFmtId="0" fontId="18" fillId="0" borderId="37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7" xfId="0" applyFont="1" applyBorder="1" applyAlignment="1">
      <alignment/>
    </xf>
    <xf numFmtId="0" fontId="9" fillId="34" borderId="69" xfId="0" applyFont="1" applyFill="1" applyBorder="1" applyAlignment="1">
      <alignment horizontal="left" vertical="center"/>
    </xf>
    <xf numFmtId="49" fontId="2" fillId="0" borderId="94" xfId="0" applyNumberFormat="1" applyFont="1" applyFill="1" applyBorder="1" applyAlignment="1">
      <alignment horizontal="center" vertical="center" wrapText="1"/>
    </xf>
    <xf numFmtId="174" fontId="4" fillId="0" borderId="95" xfId="0" applyNumberFormat="1" applyFont="1" applyFill="1" applyBorder="1" applyAlignment="1">
      <alignment horizontal="right"/>
    </xf>
    <xf numFmtId="174" fontId="4" fillId="0" borderId="94" xfId="0" applyNumberFormat="1" applyFont="1" applyFill="1" applyBorder="1" applyAlignment="1">
      <alignment horizontal="right"/>
    </xf>
    <xf numFmtId="174" fontId="4" fillId="0" borderId="94" xfId="0" applyNumberFormat="1" applyFont="1" applyFill="1" applyBorder="1" applyAlignment="1">
      <alignment horizontal="right"/>
    </xf>
    <xf numFmtId="174" fontId="4" fillId="0" borderId="96" xfId="0" applyNumberFormat="1" applyFont="1" applyFill="1" applyBorder="1" applyAlignment="1">
      <alignment horizontal="right"/>
    </xf>
    <xf numFmtId="49" fontId="61" fillId="52" borderId="1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174" fontId="4" fillId="0" borderId="98" xfId="0" applyNumberFormat="1" applyFont="1" applyFill="1" applyBorder="1" applyAlignment="1">
      <alignment horizontal="right"/>
    </xf>
    <xf numFmtId="174" fontId="4" fillId="0" borderId="97" xfId="0" applyNumberFormat="1" applyFont="1" applyFill="1" applyBorder="1" applyAlignment="1">
      <alignment horizontal="right"/>
    </xf>
    <xf numFmtId="3" fontId="27" fillId="34" borderId="23" xfId="0" applyNumberFormat="1" applyFont="1" applyFill="1" applyBorder="1" applyAlignment="1">
      <alignment horizontal="right"/>
    </xf>
    <xf numFmtId="3" fontId="27" fillId="34" borderId="12" xfId="0" applyNumberFormat="1" applyFont="1" applyFill="1" applyBorder="1" applyAlignment="1">
      <alignment horizontal="right"/>
    </xf>
    <xf numFmtId="3" fontId="27" fillId="34" borderId="18" xfId="0" applyNumberFormat="1" applyFont="1" applyFill="1" applyBorder="1" applyAlignment="1">
      <alignment horizontal="right"/>
    </xf>
    <xf numFmtId="3" fontId="4" fillId="0" borderId="99" xfId="0" applyNumberFormat="1" applyFont="1" applyFill="1" applyBorder="1" applyAlignment="1">
      <alignment horizontal="right"/>
    </xf>
    <xf numFmtId="49" fontId="61" fillId="46" borderId="10" xfId="0" applyNumberFormat="1" applyFont="1" applyFill="1" applyBorder="1" applyAlignment="1">
      <alignment horizontal="center" vertical="center" wrapText="1"/>
    </xf>
    <xf numFmtId="49" fontId="113" fillId="54" borderId="100" xfId="0" applyNumberFormat="1" applyFont="1" applyFill="1" applyBorder="1" applyAlignment="1">
      <alignment horizontal="center" vertical="center" wrapText="1"/>
    </xf>
    <xf numFmtId="3" fontId="27" fillId="55" borderId="23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 vertical="center" wrapText="1"/>
    </xf>
    <xf numFmtId="174" fontId="4" fillId="0" borderId="87" xfId="0" applyNumberFormat="1" applyFont="1" applyFill="1" applyBorder="1" applyAlignment="1">
      <alignment horizontal="right" vertical="center"/>
    </xf>
    <xf numFmtId="49" fontId="44" fillId="46" borderId="101" xfId="0" applyNumberFormat="1" applyFont="1" applyFill="1" applyBorder="1" applyAlignment="1">
      <alignment horizontal="center" vertical="center" wrapText="1"/>
    </xf>
    <xf numFmtId="3" fontId="32" fillId="46" borderId="12" xfId="0" applyNumberFormat="1" applyFont="1" applyFill="1" applyBorder="1" applyAlignment="1">
      <alignment horizontal="right"/>
    </xf>
    <xf numFmtId="3" fontId="32" fillId="46" borderId="10" xfId="0" applyNumberFormat="1" applyFont="1" applyFill="1" applyBorder="1" applyAlignment="1">
      <alignment horizontal="right"/>
    </xf>
    <xf numFmtId="49" fontId="113" fillId="52" borderId="100" xfId="0" applyNumberFormat="1" applyFont="1" applyFill="1" applyBorder="1" applyAlignment="1">
      <alignment horizontal="center" vertical="center" wrapText="1"/>
    </xf>
    <xf numFmtId="49" fontId="61" fillId="54" borderId="10" xfId="0" applyNumberFormat="1" applyFont="1" applyFill="1" applyBorder="1" applyAlignment="1">
      <alignment horizontal="center" vertical="center" wrapText="1"/>
    </xf>
    <xf numFmtId="3" fontId="32" fillId="54" borderId="12" xfId="0" applyNumberFormat="1" applyFont="1" applyFill="1" applyBorder="1" applyAlignment="1">
      <alignment horizontal="right"/>
    </xf>
    <xf numFmtId="3" fontId="32" fillId="52" borderId="18" xfId="0" applyNumberFormat="1" applyFont="1" applyFill="1" applyBorder="1" applyAlignment="1">
      <alignment horizontal="right" vertical="center"/>
    </xf>
    <xf numFmtId="3" fontId="22" fillId="42" borderId="47" xfId="0" applyNumberFormat="1" applyFont="1" applyFill="1" applyBorder="1" applyAlignment="1">
      <alignment horizontal="right"/>
    </xf>
    <xf numFmtId="3" fontId="20" fillId="41" borderId="47" xfId="0" applyNumberFormat="1" applyFont="1" applyFill="1" applyBorder="1" applyAlignment="1">
      <alignment horizontal="right"/>
    </xf>
    <xf numFmtId="3" fontId="36" fillId="33" borderId="55" xfId="0" applyNumberFormat="1" applyFont="1" applyFill="1" applyBorder="1" applyAlignment="1">
      <alignment horizontal="right"/>
    </xf>
    <xf numFmtId="3" fontId="36" fillId="33" borderId="47" xfId="0" applyNumberFormat="1" applyFont="1" applyFill="1" applyBorder="1" applyAlignment="1">
      <alignment horizontal="right"/>
    </xf>
    <xf numFmtId="3" fontId="22" fillId="39" borderId="102" xfId="0" applyNumberFormat="1" applyFont="1" applyFill="1" applyBorder="1" applyAlignment="1">
      <alignment horizontal="right"/>
    </xf>
    <xf numFmtId="0" fontId="9" fillId="40" borderId="103" xfId="0" applyFont="1" applyFill="1" applyBorder="1" applyAlignment="1">
      <alignment/>
    </xf>
    <xf numFmtId="0" fontId="33" fillId="41" borderId="49" xfId="0" applyFont="1" applyFill="1" applyBorder="1" applyAlignment="1">
      <alignment/>
    </xf>
    <xf numFmtId="3" fontId="18" fillId="0" borderId="101" xfId="0" applyNumberFormat="1" applyFont="1" applyBorder="1" applyAlignment="1">
      <alignment/>
    </xf>
    <xf numFmtId="3" fontId="9" fillId="34" borderId="104" xfId="0" applyNumberFormat="1" applyFont="1" applyFill="1" applyBorder="1" applyAlignment="1">
      <alignment horizontal="left" vertical="center"/>
    </xf>
    <xf numFmtId="3" fontId="9" fillId="34" borderId="105" xfId="0" applyNumberFormat="1" applyFont="1" applyFill="1" applyBorder="1" applyAlignment="1">
      <alignment horizontal="left" vertical="center"/>
    </xf>
    <xf numFmtId="3" fontId="9" fillId="34" borderId="106" xfId="0" applyNumberFormat="1" applyFont="1" applyFill="1" applyBorder="1" applyAlignment="1">
      <alignment horizontal="left" vertical="center"/>
    </xf>
    <xf numFmtId="3" fontId="107" fillId="46" borderId="105" xfId="0" applyNumberFormat="1" applyFont="1" applyFill="1" applyBorder="1" applyAlignment="1">
      <alignment/>
    </xf>
    <xf numFmtId="3" fontId="107" fillId="46" borderId="101" xfId="0" applyNumberFormat="1" applyFont="1" applyFill="1" applyBorder="1" applyAlignment="1">
      <alignment/>
    </xf>
    <xf numFmtId="3" fontId="36" fillId="0" borderId="101" xfId="0" applyNumberFormat="1" applyFont="1" applyBorder="1" applyAlignment="1">
      <alignment horizontal="right"/>
    </xf>
    <xf numFmtId="3" fontId="36" fillId="0" borderId="100" xfId="0" applyNumberFormat="1" applyFont="1" applyFill="1" applyBorder="1" applyAlignment="1">
      <alignment horizontal="right"/>
    </xf>
    <xf numFmtId="3" fontId="20" fillId="0" borderId="100" xfId="0" applyNumberFormat="1" applyFont="1" applyFill="1" applyBorder="1" applyAlignment="1">
      <alignment horizontal="right"/>
    </xf>
    <xf numFmtId="3" fontId="20" fillId="55" borderId="107" xfId="0" applyNumberFormat="1" applyFont="1" applyFill="1" applyBorder="1" applyAlignment="1">
      <alignment horizontal="right"/>
    </xf>
    <xf numFmtId="3" fontId="107" fillId="54" borderId="108" xfId="0" applyNumberFormat="1" applyFont="1" applyFill="1" applyBorder="1" applyAlignment="1">
      <alignment horizontal="right"/>
    </xf>
    <xf numFmtId="3" fontId="32" fillId="54" borderId="12" xfId="0" applyNumberFormat="1" applyFont="1" applyFill="1" applyBorder="1" applyAlignment="1">
      <alignment horizontal="right"/>
    </xf>
    <xf numFmtId="3" fontId="107" fillId="54" borderId="100" xfId="0" applyNumberFormat="1" applyFont="1" applyFill="1" applyBorder="1" applyAlignment="1">
      <alignment horizontal="right"/>
    </xf>
    <xf numFmtId="3" fontId="32" fillId="54" borderId="10" xfId="0" applyNumberFormat="1" applyFont="1" applyFill="1" applyBorder="1" applyAlignment="1">
      <alignment horizontal="right"/>
    </xf>
    <xf numFmtId="49" fontId="113" fillId="52" borderId="10" xfId="0" applyNumberFormat="1" applyFont="1" applyFill="1" applyBorder="1" applyAlignment="1">
      <alignment horizontal="center" vertical="center" wrapText="1"/>
    </xf>
    <xf numFmtId="3" fontId="36" fillId="55" borderId="109" xfId="0" applyNumberFormat="1" applyFont="1" applyFill="1" applyBorder="1" applyAlignment="1">
      <alignment horizontal="center"/>
    </xf>
    <xf numFmtId="3" fontId="36" fillId="55" borderId="108" xfId="0" applyNumberFormat="1" applyFont="1" applyFill="1" applyBorder="1" applyAlignment="1">
      <alignment horizontal="center"/>
    </xf>
    <xf numFmtId="3" fontId="108" fillId="52" borderId="108" xfId="0" applyNumberFormat="1" applyFont="1" applyFill="1" applyBorder="1" applyAlignment="1">
      <alignment horizontal="right"/>
    </xf>
    <xf numFmtId="3" fontId="108" fillId="52" borderId="107" xfId="0" applyNumberFormat="1" applyFont="1" applyFill="1" applyBorder="1" applyAlignment="1">
      <alignment horizontal="right" vertical="center"/>
    </xf>
    <xf numFmtId="0" fontId="63" fillId="42" borderId="49" xfId="0" applyFont="1" applyFill="1" applyBorder="1" applyAlignment="1">
      <alignment/>
    </xf>
    <xf numFmtId="3" fontId="33" fillId="33" borderId="43" xfId="0" applyNumberFormat="1" applyFont="1" applyFill="1" applyBorder="1" applyAlignment="1">
      <alignment/>
    </xf>
    <xf numFmtId="3" fontId="33" fillId="33" borderId="49" xfId="0" applyNumberFormat="1" applyFont="1" applyFill="1" applyBorder="1" applyAlignment="1">
      <alignment/>
    </xf>
    <xf numFmtId="3" fontId="64" fillId="41" borderId="49" xfId="0" applyNumberFormat="1" applyFont="1" applyFill="1" applyBorder="1" applyAlignment="1">
      <alignment/>
    </xf>
    <xf numFmtId="3" fontId="63" fillId="42" borderId="49" xfId="0" applyNumberFormat="1" applyFont="1" applyFill="1" applyBorder="1" applyAlignment="1">
      <alignment/>
    </xf>
    <xf numFmtId="3" fontId="63" fillId="39" borderId="1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49" fontId="4" fillId="43" borderId="13" xfId="0" applyNumberFormat="1" applyFont="1" applyFill="1" applyBorder="1" applyAlignment="1">
      <alignment horizontal="center"/>
    </xf>
    <xf numFmtId="3" fontId="6" fillId="33" borderId="55" xfId="0" applyNumberFormat="1" applyFont="1" applyFill="1" applyBorder="1" applyAlignment="1">
      <alignment horizontal="right"/>
    </xf>
    <xf numFmtId="174" fontId="2" fillId="0" borderId="57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3" fontId="2" fillId="33" borderId="57" xfId="0" applyNumberFormat="1" applyFont="1" applyFill="1" applyBorder="1" applyAlignment="1">
      <alignment horizontal="right"/>
    </xf>
    <xf numFmtId="49" fontId="2" fillId="33" borderId="38" xfId="0" applyNumberFormat="1" applyFont="1" applyFill="1" applyBorder="1" applyAlignment="1">
      <alignment horizontal="center"/>
    </xf>
    <xf numFmtId="49" fontId="2" fillId="43" borderId="18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4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55" xfId="0" applyNumberFormat="1" applyFont="1" applyFill="1" applyBorder="1" applyAlignment="1">
      <alignment horizontal="right"/>
    </xf>
    <xf numFmtId="174" fontId="2" fillId="0" borderId="55" xfId="0" applyNumberFormat="1" applyFont="1" applyFill="1" applyBorder="1" applyAlignment="1">
      <alignment horizontal="right"/>
    </xf>
    <xf numFmtId="3" fontId="30" fillId="33" borderId="55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49" fontId="2" fillId="43" borderId="11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" fontId="2" fillId="33" borderId="47" xfId="0" applyNumberFormat="1" applyFont="1" applyFill="1" applyBorder="1" applyAlignment="1">
      <alignment horizontal="right"/>
    </xf>
    <xf numFmtId="3" fontId="30" fillId="33" borderId="47" xfId="0" applyNumberFormat="1" applyFont="1" applyFill="1" applyBorder="1" applyAlignment="1">
      <alignment horizontal="right"/>
    </xf>
    <xf numFmtId="0" fontId="30" fillId="33" borderId="14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30" fillId="33" borderId="11" xfId="0" applyFont="1" applyFill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49" fontId="4" fillId="4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49" fontId="4" fillId="43" borderId="36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33" borderId="36" xfId="0" applyFont="1" applyFill="1" applyBorder="1" applyAlignment="1">
      <alignment/>
    </xf>
    <xf numFmtId="3" fontId="4" fillId="33" borderId="36" xfId="0" applyNumberFormat="1" applyFont="1" applyFill="1" applyBorder="1" applyAlignment="1">
      <alignment horizontal="right"/>
    </xf>
    <xf numFmtId="174" fontId="4" fillId="0" borderId="3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49" fontId="4" fillId="43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174" fontId="4" fillId="0" borderId="19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3" fontId="17" fillId="40" borderId="58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3" fontId="7" fillId="33" borderId="36" xfId="0" applyNumberFormat="1" applyFont="1" applyFill="1" applyBorder="1" applyAlignment="1">
      <alignment horizontal="right"/>
    </xf>
    <xf numFmtId="174" fontId="4" fillId="0" borderId="36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3" fontId="7" fillId="33" borderId="19" xfId="0" applyNumberFormat="1" applyFont="1" applyFill="1" applyBorder="1" applyAlignment="1">
      <alignment horizontal="right"/>
    </xf>
    <xf numFmtId="174" fontId="4" fillId="0" borderId="19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/>
    </xf>
    <xf numFmtId="49" fontId="55" fillId="41" borderId="8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4" fontId="65" fillId="0" borderId="35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44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47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3" fontId="7" fillId="0" borderId="72" xfId="0" applyNumberFormat="1" applyFont="1" applyFill="1" applyBorder="1" applyAlignment="1">
      <alignment horizontal="right"/>
    </xf>
    <xf numFmtId="49" fontId="40" fillId="37" borderId="33" xfId="0" applyNumberFormat="1" applyFont="1" applyFill="1" applyBorder="1" applyAlignment="1">
      <alignment horizontal="center" vertical="center" wrapText="1"/>
    </xf>
    <xf numFmtId="49" fontId="40" fillId="37" borderId="26" xfId="0" applyNumberFormat="1" applyFont="1" applyFill="1" applyBorder="1" applyAlignment="1">
      <alignment horizontal="center" vertical="center" wrapText="1"/>
    </xf>
    <xf numFmtId="49" fontId="49" fillId="37" borderId="111" xfId="0" applyNumberFormat="1" applyFont="1" applyFill="1" applyBorder="1" applyAlignment="1">
      <alignment horizontal="left" vertical="center"/>
    </xf>
    <xf numFmtId="49" fontId="50" fillId="37" borderId="36" xfId="0" applyNumberFormat="1" applyFont="1" applyFill="1" applyBorder="1" applyAlignment="1">
      <alignment vertical="center"/>
    </xf>
    <xf numFmtId="49" fontId="50" fillId="37" borderId="59" xfId="0" applyNumberFormat="1" applyFont="1" applyFill="1" applyBorder="1" applyAlignment="1">
      <alignment vertical="center"/>
    </xf>
    <xf numFmtId="49" fontId="50" fillId="37" borderId="75" xfId="0" applyNumberFormat="1" applyFont="1" applyFill="1" applyBorder="1" applyAlignment="1">
      <alignment vertical="center"/>
    </xf>
    <xf numFmtId="49" fontId="50" fillId="37" borderId="16" xfId="0" applyNumberFormat="1" applyFont="1" applyFill="1" applyBorder="1" applyAlignment="1">
      <alignment vertical="center"/>
    </xf>
    <xf numFmtId="49" fontId="50" fillId="37" borderId="11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22" fillId="45" borderId="92" xfId="0" applyFont="1" applyFill="1" applyBorder="1" applyAlignment="1">
      <alignment horizontal="center" vertical="center" wrapText="1"/>
    </xf>
    <xf numFmtId="0" fontId="22" fillId="45" borderId="58" xfId="0" applyFont="1" applyFill="1" applyBorder="1" applyAlignment="1">
      <alignment horizontal="center" vertical="center" wrapText="1"/>
    </xf>
    <xf numFmtId="0" fontId="22" fillId="45" borderId="112" xfId="0" applyFont="1" applyFill="1" applyBorder="1" applyAlignment="1">
      <alignment horizontal="center" vertical="center" wrapText="1"/>
    </xf>
    <xf numFmtId="0" fontId="22" fillId="52" borderId="92" xfId="0" applyFont="1" applyFill="1" applyBorder="1" applyAlignment="1">
      <alignment horizontal="center" vertical="center" wrapText="1"/>
    </xf>
    <xf numFmtId="0" fontId="22" fillId="52" borderId="58" xfId="0" applyFont="1" applyFill="1" applyBorder="1" applyAlignment="1">
      <alignment horizontal="center" vertical="center" wrapText="1"/>
    </xf>
    <xf numFmtId="0" fontId="22" fillId="52" borderId="112" xfId="0" applyFont="1" applyFill="1" applyBorder="1" applyAlignment="1">
      <alignment horizontal="center" vertical="center" wrapText="1"/>
    </xf>
    <xf numFmtId="49" fontId="37" fillId="43" borderId="0" xfId="0" applyNumberFormat="1" applyFont="1" applyFill="1" applyBorder="1" applyAlignment="1">
      <alignment horizontal="center" vertical="center" wrapText="1"/>
    </xf>
    <xf numFmtId="49" fontId="49" fillId="37" borderId="36" xfId="0" applyNumberFormat="1" applyFont="1" applyFill="1" applyBorder="1" applyAlignment="1">
      <alignment horizontal="left" vertical="center"/>
    </xf>
    <xf numFmtId="49" fontId="49" fillId="37" borderId="75" xfId="0" applyNumberFormat="1" applyFont="1" applyFill="1" applyBorder="1" applyAlignment="1">
      <alignment horizontal="left" vertical="center"/>
    </xf>
    <xf numFmtId="49" fontId="49" fillId="37" borderId="16" xfId="0" applyNumberFormat="1" applyFont="1" applyFill="1" applyBorder="1" applyAlignment="1">
      <alignment horizontal="left" vertical="center"/>
    </xf>
    <xf numFmtId="49" fontId="40" fillId="37" borderId="23" xfId="0" applyNumberFormat="1" applyFont="1" applyFill="1" applyBorder="1" applyAlignment="1">
      <alignment horizontal="center" vertical="center" wrapText="1"/>
    </xf>
    <xf numFmtId="0" fontId="22" fillId="45" borderId="59" xfId="0" applyFont="1" applyFill="1" applyBorder="1" applyAlignment="1">
      <alignment horizontal="center" vertical="center" wrapText="1"/>
    </xf>
    <xf numFmtId="0" fontId="22" fillId="45" borderId="20" xfId="0" applyFont="1" applyFill="1" applyBorder="1" applyAlignment="1">
      <alignment horizontal="center" vertical="center" wrapText="1"/>
    </xf>
    <xf numFmtId="0" fontId="22" fillId="45" borderId="25" xfId="0" applyFont="1" applyFill="1" applyBorder="1" applyAlignment="1">
      <alignment horizontal="center" vertical="center" wrapText="1"/>
    </xf>
    <xf numFmtId="0" fontId="22" fillId="52" borderId="113" xfId="0" applyFont="1" applyFill="1" applyBorder="1" applyAlignment="1">
      <alignment horizontal="center" vertical="center" wrapText="1"/>
    </xf>
    <xf numFmtId="0" fontId="22" fillId="52" borderId="70" xfId="0" applyFont="1" applyFill="1" applyBorder="1" applyAlignment="1">
      <alignment horizontal="center" vertical="center" wrapText="1"/>
    </xf>
    <xf numFmtId="0" fontId="22" fillId="52" borderId="86" xfId="0" applyFont="1" applyFill="1" applyBorder="1" applyAlignment="1">
      <alignment horizontal="center" vertical="center" wrapText="1"/>
    </xf>
    <xf numFmtId="0" fontId="45" fillId="52" borderId="114" xfId="0" applyFont="1" applyFill="1" applyBorder="1" applyAlignment="1">
      <alignment horizontal="center" vertical="center" wrapText="1"/>
    </xf>
    <xf numFmtId="0" fontId="45" fillId="52" borderId="26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49" fontId="55" fillId="41" borderId="82" xfId="0" applyNumberFormat="1" applyFont="1" applyFill="1" applyBorder="1" applyAlignment="1">
      <alignment horizontal="center"/>
    </xf>
    <xf numFmtId="49" fontId="55" fillId="41" borderId="83" xfId="0" applyNumberFormat="1" applyFont="1" applyFill="1" applyBorder="1" applyAlignment="1">
      <alignment horizontal="center"/>
    </xf>
    <xf numFmtId="49" fontId="55" fillId="41" borderId="84" xfId="0" applyNumberFormat="1" applyFont="1" applyFill="1" applyBorder="1" applyAlignment="1">
      <alignment horizontal="center"/>
    </xf>
    <xf numFmtId="49" fontId="45" fillId="52" borderId="115" xfId="0" applyNumberFormat="1" applyFont="1" applyFill="1" applyBorder="1" applyAlignment="1">
      <alignment horizontal="center" vertical="center" wrapText="1"/>
    </xf>
    <xf numFmtId="0" fontId="23" fillId="52" borderId="62" xfId="0" applyFont="1" applyFill="1" applyBorder="1" applyAlignment="1">
      <alignment horizontal="center" wrapText="1"/>
    </xf>
    <xf numFmtId="0" fontId="23" fillId="52" borderId="60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vertical="center" textRotation="180" wrapText="1"/>
    </xf>
    <xf numFmtId="0" fontId="4" fillId="35" borderId="26" xfId="0" applyFont="1" applyFill="1" applyBorder="1" applyAlignment="1">
      <alignment horizontal="center" vertical="center" textRotation="180" wrapText="1"/>
    </xf>
    <xf numFmtId="0" fontId="4" fillId="35" borderId="114" xfId="0" applyFont="1" applyFill="1" applyBorder="1" applyAlignment="1">
      <alignment horizontal="center" vertical="center" textRotation="180" wrapText="1"/>
    </xf>
    <xf numFmtId="0" fontId="4" fillId="0" borderId="86" xfId="0" applyFont="1" applyFill="1" applyBorder="1" applyAlignment="1">
      <alignment horizontal="center" vertical="center" wrapText="1"/>
    </xf>
    <xf numFmtId="49" fontId="4" fillId="0" borderId="115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2" fillId="46" borderId="80" xfId="0" applyFont="1" applyFill="1" applyBorder="1" applyAlignment="1">
      <alignment horizontal="center" vertical="center" wrapText="1"/>
    </xf>
    <xf numFmtId="0" fontId="22" fillId="46" borderId="17" xfId="0" applyFont="1" applyFill="1" applyBorder="1" applyAlignment="1">
      <alignment horizontal="center" vertical="center" wrapText="1"/>
    </xf>
    <xf numFmtId="49" fontId="32" fillId="47" borderId="115" xfId="0" applyNumberFormat="1" applyFont="1" applyFill="1" applyBorder="1" applyAlignment="1">
      <alignment horizontal="center" vertical="center" wrapText="1"/>
    </xf>
    <xf numFmtId="0" fontId="52" fillId="47" borderId="62" xfId="0" applyFont="1" applyFill="1" applyBorder="1" applyAlignment="1">
      <alignment horizontal="center" wrapText="1"/>
    </xf>
    <xf numFmtId="0" fontId="52" fillId="47" borderId="60" xfId="0" applyFont="1" applyFill="1" applyBorder="1" applyAlignment="1">
      <alignment horizontal="center" wrapText="1"/>
    </xf>
    <xf numFmtId="49" fontId="55" fillId="41" borderId="82" xfId="0" applyNumberFormat="1" applyFont="1" applyFill="1" applyBorder="1" applyAlignment="1">
      <alignment horizontal="center" vertical="center"/>
    </xf>
    <xf numFmtId="49" fontId="55" fillId="41" borderId="83" xfId="0" applyNumberFormat="1" applyFont="1" applyFill="1" applyBorder="1" applyAlignment="1">
      <alignment horizontal="center" vertical="center"/>
    </xf>
    <xf numFmtId="49" fontId="55" fillId="41" borderId="84" xfId="0" applyNumberFormat="1" applyFont="1" applyFill="1" applyBorder="1" applyAlignment="1">
      <alignment horizontal="center" vertical="center"/>
    </xf>
    <xf numFmtId="0" fontId="29" fillId="43" borderId="0" xfId="0" applyFont="1" applyFill="1" applyBorder="1" applyAlignment="1">
      <alignment horizontal="left"/>
    </xf>
    <xf numFmtId="49" fontId="55" fillId="41" borderId="111" xfId="0" applyNumberFormat="1" applyFont="1" applyFill="1" applyBorder="1" applyAlignment="1">
      <alignment horizontal="center"/>
    </xf>
    <xf numFmtId="49" fontId="55" fillId="41" borderId="36" xfId="0" applyNumberFormat="1" applyFont="1" applyFill="1" applyBorder="1" applyAlignment="1">
      <alignment horizontal="center"/>
    </xf>
    <xf numFmtId="49" fontId="55" fillId="41" borderId="92" xfId="0" applyNumberFormat="1" applyFont="1" applyFill="1" applyBorder="1" applyAlignment="1">
      <alignment horizontal="center"/>
    </xf>
    <xf numFmtId="0" fontId="22" fillId="46" borderId="111" xfId="0" applyFont="1" applyFill="1" applyBorder="1" applyAlignment="1">
      <alignment horizontal="center" vertical="center" wrapText="1"/>
    </xf>
    <xf numFmtId="0" fontId="22" fillId="46" borderId="74" xfId="0" applyFont="1" applyFill="1" applyBorder="1" applyAlignment="1">
      <alignment horizontal="center" vertical="center" wrapText="1"/>
    </xf>
    <xf numFmtId="49" fontId="32" fillId="47" borderId="62" xfId="0" applyNumberFormat="1" applyFont="1" applyFill="1" applyBorder="1" applyAlignment="1">
      <alignment horizontal="center" vertical="center" wrapText="1"/>
    </xf>
    <xf numFmtId="49" fontId="32" fillId="47" borderId="60" xfId="0" applyNumberFormat="1" applyFont="1" applyFill="1" applyBorder="1" applyAlignment="1">
      <alignment horizontal="center" vertical="center" wrapText="1"/>
    </xf>
    <xf numFmtId="0" fontId="45" fillId="52" borderId="116" xfId="0" applyFont="1" applyFill="1" applyBorder="1" applyAlignment="1">
      <alignment horizontal="center" vertical="center" wrapText="1"/>
    </xf>
    <xf numFmtId="0" fontId="45" fillId="52" borderId="39" xfId="0" applyFont="1" applyFill="1" applyBorder="1" applyAlignment="1">
      <alignment horizontal="center" vertical="center" wrapText="1"/>
    </xf>
    <xf numFmtId="0" fontId="20" fillId="13" borderId="37" xfId="0" applyFont="1" applyFill="1" applyBorder="1" applyAlignment="1">
      <alignment horizontal="left"/>
    </xf>
    <xf numFmtId="0" fontId="20" fillId="13" borderId="14" xfId="0" applyFont="1" applyFill="1" applyBorder="1" applyAlignment="1">
      <alignment horizontal="left"/>
    </xf>
    <xf numFmtId="0" fontId="20" fillId="13" borderId="13" xfId="0" applyFont="1" applyFill="1" applyBorder="1" applyAlignment="1">
      <alignment horizontal="left"/>
    </xf>
    <xf numFmtId="0" fontId="9" fillId="34" borderId="37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22" fillId="45" borderId="114" xfId="0" applyFont="1" applyFill="1" applyBorder="1" applyAlignment="1">
      <alignment horizontal="center" vertical="center" wrapText="1"/>
    </xf>
    <xf numFmtId="0" fontId="22" fillId="45" borderId="26" xfId="0" applyFont="1" applyFill="1" applyBorder="1" applyAlignment="1">
      <alignment horizontal="center" vertical="center" wrapText="1"/>
    </xf>
    <xf numFmtId="0" fontId="51" fillId="43" borderId="0" xfId="0" applyFont="1" applyFill="1" applyAlignment="1">
      <alignment horizontal="center" wrapText="1"/>
    </xf>
    <xf numFmtId="49" fontId="22" fillId="39" borderId="111" xfId="0" applyNumberFormat="1" applyFont="1" applyFill="1" applyBorder="1" applyAlignment="1">
      <alignment horizontal="left" vertical="center"/>
    </xf>
    <xf numFmtId="49" fontId="22" fillId="39" borderId="59" xfId="0" applyNumberFormat="1" applyFont="1" applyFill="1" applyBorder="1" applyAlignment="1">
      <alignment horizontal="left" vertical="center"/>
    </xf>
    <xf numFmtId="49" fontId="22" fillId="39" borderId="78" xfId="0" applyNumberFormat="1" applyFont="1" applyFill="1" applyBorder="1" applyAlignment="1">
      <alignment horizontal="left" vertical="center"/>
    </xf>
    <xf numFmtId="49" fontId="22" fillId="39" borderId="20" xfId="0" applyNumberFormat="1" applyFont="1" applyFill="1" applyBorder="1" applyAlignment="1">
      <alignment horizontal="left" vertical="center"/>
    </xf>
    <xf numFmtId="49" fontId="22" fillId="39" borderId="75" xfId="0" applyNumberFormat="1" applyFont="1" applyFill="1" applyBorder="1" applyAlignment="1">
      <alignment horizontal="left" vertical="center"/>
    </xf>
    <xf numFmtId="49" fontId="22" fillId="39" borderId="16" xfId="0" applyNumberFormat="1" applyFont="1" applyFill="1" applyBorder="1" applyAlignment="1">
      <alignment horizontal="left" vertical="center"/>
    </xf>
    <xf numFmtId="0" fontId="9" fillId="34" borderId="117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0" fontId="9" fillId="34" borderId="117" xfId="0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left" vertical="center"/>
    </xf>
    <xf numFmtId="0" fontId="32" fillId="42" borderId="118" xfId="0" applyFont="1" applyFill="1" applyBorder="1" applyAlignment="1">
      <alignment/>
    </xf>
    <xf numFmtId="0" fontId="32" fillId="42" borderId="119" xfId="0" applyFont="1" applyFill="1" applyBorder="1" applyAlignment="1">
      <alignment/>
    </xf>
    <xf numFmtId="3" fontId="27" fillId="34" borderId="33" xfId="0" applyNumberFormat="1" applyFont="1" applyFill="1" applyBorder="1" applyAlignment="1">
      <alignment horizontal="right" vertical="center"/>
    </xf>
    <xf numFmtId="3" fontId="27" fillId="34" borderId="12" xfId="0" applyNumberFormat="1" applyFont="1" applyFill="1" applyBorder="1" applyAlignment="1">
      <alignment horizontal="right" vertical="center"/>
    </xf>
    <xf numFmtId="4" fontId="27" fillId="34" borderId="33" xfId="0" applyNumberFormat="1" applyFont="1" applyFill="1" applyBorder="1" applyAlignment="1">
      <alignment horizontal="center" vertical="center"/>
    </xf>
    <xf numFmtId="4" fontId="27" fillId="34" borderId="12" xfId="0" applyNumberFormat="1" applyFont="1" applyFill="1" applyBorder="1" applyAlignment="1">
      <alignment horizontal="center" vertical="center"/>
    </xf>
    <xf numFmtId="3" fontId="32" fillId="54" borderId="33" xfId="0" applyNumberFormat="1" applyFont="1" applyFill="1" applyBorder="1" applyAlignment="1">
      <alignment vertical="center"/>
    </xf>
    <xf numFmtId="3" fontId="32" fillId="54" borderId="12" xfId="0" applyNumberFormat="1" applyFont="1" applyFill="1" applyBorder="1" applyAlignment="1">
      <alignment vertical="center"/>
    </xf>
    <xf numFmtId="174" fontId="4" fillId="0" borderId="120" xfId="0" applyNumberFormat="1" applyFont="1" applyFill="1" applyBorder="1" applyAlignment="1">
      <alignment horizontal="center"/>
    </xf>
    <xf numFmtId="174" fontId="4" fillId="0" borderId="98" xfId="0" applyNumberFormat="1" applyFont="1" applyFill="1" applyBorder="1" applyAlignment="1">
      <alignment horizontal="center"/>
    </xf>
    <xf numFmtId="174" fontId="4" fillId="0" borderId="120" xfId="0" applyNumberFormat="1" applyFont="1" applyFill="1" applyBorder="1" applyAlignment="1">
      <alignment horizontal="center" vertical="center"/>
    </xf>
    <xf numFmtId="174" fontId="4" fillId="0" borderId="98" xfId="0" applyNumberFormat="1" applyFont="1" applyFill="1" applyBorder="1" applyAlignment="1">
      <alignment horizontal="center" vertical="center"/>
    </xf>
    <xf numFmtId="0" fontId="66" fillId="4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3" fontId="32" fillId="46" borderId="33" xfId="0" applyNumberFormat="1" applyFont="1" applyFill="1" applyBorder="1" applyAlignment="1">
      <alignment horizontal="right" vertical="center"/>
    </xf>
    <xf numFmtId="3" fontId="32" fillId="46" borderId="12" xfId="0" applyNumberFormat="1" applyFont="1" applyFill="1" applyBorder="1" applyAlignment="1">
      <alignment horizontal="right" vertical="center"/>
    </xf>
    <xf numFmtId="0" fontId="34" fillId="39" borderId="121" xfId="0" applyFont="1" applyFill="1" applyBorder="1" applyAlignment="1">
      <alignment horizontal="left" vertical="center"/>
    </xf>
    <xf numFmtId="0" fontId="34" fillId="39" borderId="53" xfId="0" applyFont="1" applyFill="1" applyBorder="1" applyAlignment="1">
      <alignment horizontal="left" vertical="center"/>
    </xf>
    <xf numFmtId="0" fontId="32" fillId="42" borderId="37" xfId="0" applyFont="1" applyFill="1" applyBorder="1" applyAlignment="1">
      <alignment/>
    </xf>
    <xf numFmtId="0" fontId="32" fillId="42" borderId="14" xfId="0" applyFont="1" applyFill="1" applyBorder="1" applyAlignment="1">
      <alignment/>
    </xf>
    <xf numFmtId="174" fontId="2" fillId="0" borderId="122" xfId="0" applyNumberFormat="1" applyFont="1" applyFill="1" applyBorder="1" applyAlignment="1">
      <alignment horizontal="right" vertical="center"/>
    </xf>
    <xf numFmtId="174" fontId="2" fillId="0" borderId="95" xfId="0" applyNumberFormat="1" applyFont="1" applyFill="1" applyBorder="1" applyAlignment="1">
      <alignment horizontal="right" vertical="center"/>
    </xf>
    <xf numFmtId="174" fontId="4" fillId="0" borderId="122" xfId="0" applyNumberFormat="1" applyFont="1" applyFill="1" applyBorder="1" applyAlignment="1">
      <alignment horizontal="center"/>
    </xf>
    <xf numFmtId="174" fontId="4" fillId="0" borderId="95" xfId="0" applyNumberFormat="1" applyFont="1" applyFill="1" applyBorder="1" applyAlignment="1">
      <alignment horizontal="center"/>
    </xf>
    <xf numFmtId="3" fontId="32" fillId="54" borderId="33" xfId="0" applyNumberFormat="1" applyFont="1" applyFill="1" applyBorder="1" applyAlignment="1">
      <alignment horizontal="right" vertical="center"/>
    </xf>
    <xf numFmtId="3" fontId="32" fillId="54" borderId="12" xfId="0" applyNumberFormat="1" applyFont="1" applyFill="1" applyBorder="1" applyAlignment="1">
      <alignment horizontal="right" vertical="center"/>
    </xf>
    <xf numFmtId="0" fontId="26" fillId="39" borderId="116" xfId="0" applyFont="1" applyFill="1" applyBorder="1" applyAlignment="1">
      <alignment horizontal="center" vertical="center" wrapText="1"/>
    </xf>
    <xf numFmtId="0" fontId="26" fillId="39" borderId="36" xfId="0" applyFont="1" applyFill="1" applyBorder="1" applyAlignment="1">
      <alignment horizontal="center" vertical="center" wrapText="1"/>
    </xf>
    <xf numFmtId="0" fontId="26" fillId="39" borderId="92" xfId="0" applyFont="1" applyFill="1" applyBorder="1" applyAlignment="1">
      <alignment horizontal="center" vertical="center" wrapText="1"/>
    </xf>
    <xf numFmtId="0" fontId="26" fillId="39" borderId="123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58" xfId="0" applyFont="1" applyFill="1" applyBorder="1" applyAlignment="1">
      <alignment horizontal="center" vertical="center" wrapText="1"/>
    </xf>
    <xf numFmtId="3" fontId="107" fillId="46" borderId="109" xfId="0" applyNumberFormat="1" applyFont="1" applyFill="1" applyBorder="1" applyAlignment="1">
      <alignment horizontal="right" vertical="center"/>
    </xf>
    <xf numFmtId="3" fontId="107" fillId="46" borderId="108" xfId="0" applyNumberFormat="1" applyFont="1" applyFill="1" applyBorder="1" applyAlignment="1">
      <alignment horizontal="right" vertical="center"/>
    </xf>
    <xf numFmtId="3" fontId="64" fillId="55" borderId="109" xfId="0" applyNumberFormat="1" applyFont="1" applyFill="1" applyBorder="1" applyAlignment="1">
      <alignment horizontal="right" vertical="center" wrapText="1"/>
    </xf>
    <xf numFmtId="3" fontId="64" fillId="55" borderId="108" xfId="0" applyNumberFormat="1" applyFont="1" applyFill="1" applyBorder="1" applyAlignment="1">
      <alignment horizontal="right" vertical="center" wrapText="1"/>
    </xf>
    <xf numFmtId="3" fontId="107" fillId="54" borderId="109" xfId="0" applyNumberFormat="1" applyFont="1" applyFill="1" applyBorder="1" applyAlignment="1">
      <alignment vertical="center"/>
    </xf>
    <xf numFmtId="3" fontId="107" fillId="54" borderId="108" xfId="0" applyNumberFormat="1" applyFont="1" applyFill="1" applyBorder="1" applyAlignment="1">
      <alignment vertical="center"/>
    </xf>
    <xf numFmtId="3" fontId="108" fillId="55" borderId="109" xfId="0" applyNumberFormat="1" applyFont="1" applyFill="1" applyBorder="1" applyAlignment="1">
      <alignment horizontal="right" vertical="center"/>
    </xf>
    <xf numFmtId="3" fontId="108" fillId="55" borderId="108" xfId="0" applyNumberFormat="1" applyFont="1" applyFill="1" applyBorder="1" applyAlignment="1">
      <alignment horizontal="right" vertical="center"/>
    </xf>
    <xf numFmtId="0" fontId="7" fillId="43" borderId="0" xfId="0" applyFont="1" applyFill="1" applyBorder="1" applyAlignment="1">
      <alignment horizontal="center" vertical="center" wrapText="1"/>
    </xf>
    <xf numFmtId="174" fontId="4" fillId="0" borderId="85" xfId="0" applyNumberFormat="1" applyFont="1" applyFill="1" applyBorder="1" applyAlignment="1">
      <alignment horizontal="right" vertical="center"/>
    </xf>
    <xf numFmtId="174" fontId="4" fillId="0" borderId="41" xfId="0" applyNumberFormat="1" applyFont="1" applyFill="1" applyBorder="1" applyAlignment="1">
      <alignment horizontal="right" vertical="center"/>
    </xf>
    <xf numFmtId="174" fontId="4" fillId="0" borderId="85" xfId="0" applyNumberFormat="1" applyFont="1" applyFill="1" applyBorder="1" applyAlignment="1">
      <alignment horizontal="center" vertical="center"/>
    </xf>
    <xf numFmtId="174" fontId="4" fillId="0" borderId="41" xfId="0" applyNumberFormat="1" applyFont="1" applyFill="1" applyBorder="1" applyAlignment="1">
      <alignment horizontal="center" vertic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 2 2" xfId="47"/>
    <cellStyle name="normálne 4" xfId="48"/>
    <cellStyle name="normálne 9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5" customWidth="1"/>
    <col min="2" max="2" width="3.421875" style="13" customWidth="1"/>
    <col min="3" max="3" width="3.421875" style="14" customWidth="1"/>
    <col min="4" max="4" width="4.00390625" style="14" customWidth="1"/>
    <col min="5" max="5" width="4.140625" style="14" customWidth="1"/>
    <col min="6" max="6" width="4.57421875" style="13" customWidth="1"/>
    <col min="7" max="7" width="46.421875" style="13" customWidth="1"/>
    <col min="8" max="8" width="16.140625" style="0" customWidth="1"/>
    <col min="9" max="9" width="13.140625" style="0" customWidth="1"/>
    <col min="10" max="10" width="6.28125" style="583" customWidth="1"/>
  </cols>
  <sheetData>
    <row r="1" spans="2:10" ht="77.25" customHeight="1">
      <c r="B1" s="1022" t="s">
        <v>771</v>
      </c>
      <c r="C1" s="1022"/>
      <c r="D1" s="1022"/>
      <c r="E1" s="1022"/>
      <c r="F1" s="1022"/>
      <c r="G1" s="1022"/>
      <c r="H1" s="1022"/>
      <c r="I1" s="1022"/>
      <c r="J1" s="1022"/>
    </row>
    <row r="2" spans="2:8" ht="8.25" customHeight="1" thickBot="1">
      <c r="B2" s="381"/>
      <c r="C2" s="381"/>
      <c r="D2" s="381"/>
      <c r="E2" s="381"/>
      <c r="F2" s="381"/>
      <c r="G2" s="381"/>
      <c r="H2" s="169"/>
    </row>
    <row r="3" spans="2:10" ht="15.75" customHeight="1">
      <c r="B3" s="1007" t="s">
        <v>10</v>
      </c>
      <c r="C3" s="1008"/>
      <c r="D3" s="1008"/>
      <c r="E3" s="1008"/>
      <c r="F3" s="1008"/>
      <c r="G3" s="1009"/>
      <c r="H3" s="1016" t="s">
        <v>664</v>
      </c>
      <c r="I3" s="1019" t="s">
        <v>772</v>
      </c>
      <c r="J3" s="1013" t="s">
        <v>773</v>
      </c>
    </row>
    <row r="4" spans="2:10" ht="15" customHeight="1">
      <c r="B4" s="1010"/>
      <c r="C4" s="1011"/>
      <c r="D4" s="1011"/>
      <c r="E4" s="1011"/>
      <c r="F4" s="1011"/>
      <c r="G4" s="1012"/>
      <c r="H4" s="1017"/>
      <c r="I4" s="1020"/>
      <c r="J4" s="1014"/>
    </row>
    <row r="5" spans="1:10" ht="15" customHeight="1">
      <c r="A5" s="368"/>
      <c r="B5" s="87"/>
      <c r="C5" s="1005" t="s">
        <v>11</v>
      </c>
      <c r="D5" s="88" t="s">
        <v>12</v>
      </c>
      <c r="E5" s="88" t="s">
        <v>13</v>
      </c>
      <c r="F5" s="89"/>
      <c r="G5" s="90"/>
      <c r="H5" s="1017"/>
      <c r="I5" s="1020"/>
      <c r="J5" s="1014"/>
    </row>
    <row r="6" spans="1:10" ht="16.5" customHeight="1" thickBot="1">
      <c r="A6" s="368"/>
      <c r="B6" s="91"/>
      <c r="C6" s="1006"/>
      <c r="D6" s="93"/>
      <c r="E6" s="92" t="s">
        <v>14</v>
      </c>
      <c r="F6" s="94" t="s">
        <v>15</v>
      </c>
      <c r="G6" s="95"/>
      <c r="H6" s="1018"/>
      <c r="I6" s="1021"/>
      <c r="J6" s="1015"/>
    </row>
    <row r="7" spans="2:10" ht="19.5" customHeight="1" thickTop="1">
      <c r="B7" s="521">
        <v>1</v>
      </c>
      <c r="C7" s="115" t="s">
        <v>16</v>
      </c>
      <c r="D7" s="116"/>
      <c r="E7" s="117"/>
      <c r="F7" s="124" t="s">
        <v>17</v>
      </c>
      <c r="G7" s="118"/>
      <c r="H7" s="466">
        <f>H9+H12+H18</f>
        <v>20017000</v>
      </c>
      <c r="I7" s="595">
        <f>I9+I12+I18</f>
        <v>19862730</v>
      </c>
      <c r="J7" s="802">
        <f>I7/H7*100</f>
        <v>99.22930509067292</v>
      </c>
    </row>
    <row r="8" spans="1:10" ht="12.75" customHeight="1">
      <c r="A8" s="368"/>
      <c r="B8" s="38">
        <f>B7+1</f>
        <v>2</v>
      </c>
      <c r="C8" s="3"/>
      <c r="D8" s="39"/>
      <c r="E8" s="5"/>
      <c r="F8" s="40"/>
      <c r="G8" s="16"/>
      <c r="H8" s="255"/>
      <c r="I8" s="255"/>
      <c r="J8" s="803"/>
    </row>
    <row r="9" spans="2:10" ht="13.5" customHeight="1">
      <c r="B9" s="38">
        <f aca="true" t="shared" si="0" ref="B9:B64">B8+1</f>
        <v>3</v>
      </c>
      <c r="C9" s="6" t="s">
        <v>18</v>
      </c>
      <c r="D9" s="166"/>
      <c r="E9" s="250"/>
      <c r="F9" s="41" t="s">
        <v>19</v>
      </c>
      <c r="G9" s="74"/>
      <c r="H9" s="261">
        <f>H10</f>
        <v>12100000</v>
      </c>
      <c r="I9" s="261">
        <f>I10</f>
        <v>12260962</v>
      </c>
      <c r="J9" s="785">
        <f aca="true" t="shared" si="1" ref="J9:J64">I9/H9*100</f>
        <v>101.33026446280992</v>
      </c>
    </row>
    <row r="10" spans="2:10" ht="12.75" customHeight="1">
      <c r="B10" s="38">
        <f t="shared" si="0"/>
        <v>4</v>
      </c>
      <c r="C10" s="6"/>
      <c r="D10" s="166" t="s">
        <v>20</v>
      </c>
      <c r="E10" s="250" t="s">
        <v>21</v>
      </c>
      <c r="F10" s="37" t="s">
        <v>22</v>
      </c>
      <c r="G10" s="74"/>
      <c r="H10" s="257">
        <f>11900000+200000</f>
        <v>12100000</v>
      </c>
      <c r="I10" s="257">
        <v>12260962</v>
      </c>
      <c r="J10" s="803">
        <f t="shared" si="1"/>
        <v>101.33026446280992</v>
      </c>
    </row>
    <row r="11" spans="2:10" ht="12.75">
      <c r="B11" s="38">
        <f t="shared" si="0"/>
        <v>5</v>
      </c>
      <c r="C11" s="7"/>
      <c r="D11" s="43"/>
      <c r="E11" s="44"/>
      <c r="F11" s="45"/>
      <c r="G11" s="75"/>
      <c r="H11" s="265"/>
      <c r="I11" s="265"/>
      <c r="J11" s="804"/>
    </row>
    <row r="12" spans="2:10" ht="12.75">
      <c r="B12" s="38">
        <f t="shared" si="0"/>
        <v>6</v>
      </c>
      <c r="C12" s="6" t="s">
        <v>23</v>
      </c>
      <c r="D12" s="43"/>
      <c r="E12" s="47"/>
      <c r="F12" s="41" t="s">
        <v>24</v>
      </c>
      <c r="G12" s="75"/>
      <c r="H12" s="266">
        <f>H13</f>
        <v>5300000</v>
      </c>
      <c r="I12" s="266">
        <f>I13</f>
        <v>5255208</v>
      </c>
      <c r="J12" s="803">
        <f t="shared" si="1"/>
        <v>99.1548679245283</v>
      </c>
    </row>
    <row r="13" spans="2:10" ht="12.75">
      <c r="B13" s="38">
        <f t="shared" si="0"/>
        <v>7</v>
      </c>
      <c r="C13" s="7"/>
      <c r="D13" s="43" t="s">
        <v>25</v>
      </c>
      <c r="E13" s="47"/>
      <c r="F13" s="37" t="s">
        <v>26</v>
      </c>
      <c r="G13" s="75"/>
      <c r="H13" s="256">
        <f>SUM(H14:H16)</f>
        <v>5300000</v>
      </c>
      <c r="I13" s="256">
        <f>SUM(I14:I16)</f>
        <v>5255208</v>
      </c>
      <c r="J13" s="803">
        <f t="shared" si="1"/>
        <v>99.1548679245283</v>
      </c>
    </row>
    <row r="14" spans="2:10" ht="12.75">
      <c r="B14" s="38">
        <f t="shared" si="0"/>
        <v>8</v>
      </c>
      <c r="C14" s="7"/>
      <c r="D14" s="43"/>
      <c r="E14" s="47" t="s">
        <v>27</v>
      </c>
      <c r="F14" s="40" t="s">
        <v>28</v>
      </c>
      <c r="G14" s="75"/>
      <c r="H14" s="267">
        <f>780000-180000</f>
        <v>600000</v>
      </c>
      <c r="I14" s="267">
        <v>527792</v>
      </c>
      <c r="J14" s="803">
        <f t="shared" si="1"/>
        <v>87.96533333333333</v>
      </c>
    </row>
    <row r="15" spans="2:10" ht="12.75">
      <c r="B15" s="38">
        <f t="shared" si="0"/>
        <v>9</v>
      </c>
      <c r="C15" s="7"/>
      <c r="D15" s="43"/>
      <c r="E15" s="47" t="s">
        <v>29</v>
      </c>
      <c r="F15" s="40" t="s">
        <v>30</v>
      </c>
      <c r="G15" s="75"/>
      <c r="H15" s="267">
        <f>4200000-15000+150000</f>
        <v>4335000</v>
      </c>
      <c r="I15" s="267">
        <v>4357772</v>
      </c>
      <c r="J15" s="803">
        <f t="shared" si="1"/>
        <v>100.52530565167244</v>
      </c>
    </row>
    <row r="16" spans="2:10" ht="12.75">
      <c r="B16" s="38">
        <f t="shared" si="0"/>
        <v>10</v>
      </c>
      <c r="C16" s="7"/>
      <c r="D16" s="43"/>
      <c r="E16" s="47" t="s">
        <v>21</v>
      </c>
      <c r="F16" s="40" t="s">
        <v>31</v>
      </c>
      <c r="G16" s="75"/>
      <c r="H16" s="267">
        <f>500000-135000</f>
        <v>365000</v>
      </c>
      <c r="I16" s="267">
        <v>369644</v>
      </c>
      <c r="J16" s="803">
        <f t="shared" si="1"/>
        <v>101.27232876712328</v>
      </c>
    </row>
    <row r="17" spans="2:10" ht="12.75">
      <c r="B17" s="38">
        <f t="shared" si="0"/>
        <v>11</v>
      </c>
      <c r="C17" s="48"/>
      <c r="D17" s="43"/>
      <c r="E17" s="47"/>
      <c r="F17" s="49"/>
      <c r="G17" s="75"/>
      <c r="H17" s="268"/>
      <c r="I17" s="268"/>
      <c r="J17" s="804"/>
    </row>
    <row r="18" spans="2:10" ht="12.75">
      <c r="B18" s="38">
        <f t="shared" si="0"/>
        <v>12</v>
      </c>
      <c r="C18" s="6" t="s">
        <v>32</v>
      </c>
      <c r="D18" s="43"/>
      <c r="E18" s="47"/>
      <c r="F18" s="41" t="s">
        <v>33</v>
      </c>
      <c r="G18" s="75"/>
      <c r="H18" s="266">
        <f>SUM(H19:H22)</f>
        <v>2617000</v>
      </c>
      <c r="I18" s="266">
        <f>SUM(I19:I22)</f>
        <v>2346560</v>
      </c>
      <c r="J18" s="803">
        <f t="shared" si="1"/>
        <v>89.66602980512036</v>
      </c>
    </row>
    <row r="19" spans="2:10" ht="12.75">
      <c r="B19" s="38">
        <f t="shared" si="0"/>
        <v>13</v>
      </c>
      <c r="C19" s="31"/>
      <c r="D19" s="1" t="s">
        <v>34</v>
      </c>
      <c r="E19" s="2" t="s">
        <v>35</v>
      </c>
      <c r="F19" s="40" t="s">
        <v>36</v>
      </c>
      <c r="G19" s="16"/>
      <c r="H19" s="256">
        <v>40000</v>
      </c>
      <c r="I19" s="256">
        <v>34095</v>
      </c>
      <c r="J19" s="803">
        <f t="shared" si="1"/>
        <v>85.2375</v>
      </c>
    </row>
    <row r="20" spans="2:10" ht="12.75">
      <c r="B20" s="38">
        <f t="shared" si="0"/>
        <v>14</v>
      </c>
      <c r="C20" s="31"/>
      <c r="D20" s="1" t="s">
        <v>34</v>
      </c>
      <c r="E20" s="2" t="s">
        <v>27</v>
      </c>
      <c r="F20" s="40" t="s">
        <v>132</v>
      </c>
      <c r="G20" s="16"/>
      <c r="H20" s="256">
        <v>42000</v>
      </c>
      <c r="I20" s="256">
        <v>46539</v>
      </c>
      <c r="J20" s="803">
        <f t="shared" si="1"/>
        <v>110.80714285714286</v>
      </c>
    </row>
    <row r="21" spans="2:10" ht="12.75">
      <c r="B21" s="38">
        <f t="shared" si="0"/>
        <v>15</v>
      </c>
      <c r="C21" s="31"/>
      <c r="D21" s="1" t="s">
        <v>34</v>
      </c>
      <c r="E21" s="2" t="s">
        <v>37</v>
      </c>
      <c r="F21" s="40" t="s">
        <v>201</v>
      </c>
      <c r="G21" s="16"/>
      <c r="H21" s="256">
        <v>2500000</v>
      </c>
      <c r="I21" s="256">
        <v>2239389</v>
      </c>
      <c r="J21" s="803">
        <f t="shared" si="1"/>
        <v>89.57556</v>
      </c>
    </row>
    <row r="22" spans="2:10" ht="12.75">
      <c r="B22" s="38">
        <f t="shared" si="0"/>
        <v>16</v>
      </c>
      <c r="C22" s="31"/>
      <c r="D22" s="1" t="s">
        <v>34</v>
      </c>
      <c r="E22" s="2"/>
      <c r="F22" s="40" t="s">
        <v>344</v>
      </c>
      <c r="G22" s="16"/>
      <c r="H22" s="256">
        <v>35000</v>
      </c>
      <c r="I22" s="256">
        <v>26537</v>
      </c>
      <c r="J22" s="803">
        <f t="shared" si="1"/>
        <v>75.82</v>
      </c>
    </row>
    <row r="23" spans="2:10" ht="12.75">
      <c r="B23" s="38">
        <f t="shared" si="0"/>
        <v>17</v>
      </c>
      <c r="C23" s="7"/>
      <c r="D23" s="43"/>
      <c r="E23" s="47"/>
      <c r="F23" s="45"/>
      <c r="G23" s="75"/>
      <c r="H23" s="265"/>
      <c r="I23" s="265"/>
      <c r="J23" s="804"/>
    </row>
    <row r="24" spans="2:10" ht="19.5" customHeight="1">
      <c r="B24" s="853">
        <f t="shared" si="0"/>
        <v>18</v>
      </c>
      <c r="C24" s="119" t="s">
        <v>38</v>
      </c>
      <c r="D24" s="120"/>
      <c r="E24" s="121"/>
      <c r="F24" s="123" t="s">
        <v>39</v>
      </c>
      <c r="G24" s="122"/>
      <c r="H24" s="457">
        <f>H26+H39+H51+H53+H58+H93+H146+H219+H276</f>
        <v>3257326</v>
      </c>
      <c r="I24" s="596">
        <f>I26+I39+I51+I53+I58+I93+I146+I219+I276+I277</f>
        <v>3446212</v>
      </c>
      <c r="J24" s="805">
        <f t="shared" si="1"/>
        <v>105.79880552330347</v>
      </c>
    </row>
    <row r="25" spans="2:10" ht="12.75">
      <c r="B25" s="38">
        <f t="shared" si="0"/>
        <v>19</v>
      </c>
      <c r="C25" s="50"/>
      <c r="D25" s="50"/>
      <c r="E25" s="51"/>
      <c r="F25" s="40"/>
      <c r="G25" s="74"/>
      <c r="H25" s="257"/>
      <c r="I25" s="257"/>
      <c r="J25" s="803"/>
    </row>
    <row r="26" spans="2:10" ht="12.75">
      <c r="B26" s="38">
        <f t="shared" si="0"/>
        <v>20</v>
      </c>
      <c r="C26" s="6" t="s">
        <v>40</v>
      </c>
      <c r="D26" s="6"/>
      <c r="E26" s="8"/>
      <c r="F26" s="41" t="s">
        <v>41</v>
      </c>
      <c r="G26" s="74"/>
      <c r="H26" s="266">
        <f>H30</f>
        <v>466800</v>
      </c>
      <c r="I26" s="266">
        <f>I27+I30</f>
        <v>587661</v>
      </c>
      <c r="J26" s="803">
        <f t="shared" si="1"/>
        <v>125.8913881748072</v>
      </c>
    </row>
    <row r="27" spans="2:10" ht="12.75">
      <c r="B27" s="38">
        <f t="shared" si="0"/>
        <v>21</v>
      </c>
      <c r="C27" s="6"/>
      <c r="D27" s="6" t="s">
        <v>778</v>
      </c>
      <c r="E27" s="8"/>
      <c r="F27" s="76" t="s">
        <v>779</v>
      </c>
      <c r="G27" s="74"/>
      <c r="H27" s="266"/>
      <c r="I27" s="806">
        <f>I28</f>
        <v>63144</v>
      </c>
      <c r="J27" s="803"/>
    </row>
    <row r="28" spans="2:10" ht="12.75">
      <c r="B28" s="38">
        <f t="shared" si="0"/>
        <v>22</v>
      </c>
      <c r="C28" s="6"/>
      <c r="D28" s="6"/>
      <c r="E28" s="9" t="s">
        <v>21</v>
      </c>
      <c r="F28" s="46" t="s">
        <v>780</v>
      </c>
      <c r="G28" s="74"/>
      <c r="H28" s="267"/>
      <c r="I28" s="267">
        <v>63144</v>
      </c>
      <c r="J28" s="803"/>
    </row>
    <row r="29" spans="2:10" ht="12.75">
      <c r="B29" s="38">
        <f t="shared" si="0"/>
        <v>23</v>
      </c>
      <c r="C29" s="6"/>
      <c r="D29" s="6"/>
      <c r="E29" s="8"/>
      <c r="F29" s="41"/>
      <c r="G29" s="74"/>
      <c r="H29" s="266"/>
      <c r="I29" s="266"/>
      <c r="J29" s="803"/>
    </row>
    <row r="30" spans="2:10" ht="12.75">
      <c r="B30" s="38">
        <f t="shared" si="0"/>
        <v>24</v>
      </c>
      <c r="C30" s="6"/>
      <c r="D30" s="6" t="s">
        <v>42</v>
      </c>
      <c r="E30" s="8"/>
      <c r="F30" s="76" t="s">
        <v>94</v>
      </c>
      <c r="G30" s="74"/>
      <c r="H30" s="267">
        <f>H31+H32</f>
        <v>466800</v>
      </c>
      <c r="I30" s="267">
        <f>I31+I32</f>
        <v>524517</v>
      </c>
      <c r="J30" s="803">
        <f t="shared" si="1"/>
        <v>112.36439588688947</v>
      </c>
    </row>
    <row r="31" spans="2:10" ht="12.75">
      <c r="B31" s="38">
        <f t="shared" si="0"/>
        <v>25</v>
      </c>
      <c r="C31" s="50"/>
      <c r="D31" s="166"/>
      <c r="E31" s="9" t="s">
        <v>29</v>
      </c>
      <c r="F31" s="46" t="s">
        <v>43</v>
      </c>
      <c r="G31" s="74"/>
      <c r="H31" s="267">
        <v>140900</v>
      </c>
      <c r="I31" s="267">
        <v>181772</v>
      </c>
      <c r="J31" s="803">
        <f t="shared" si="1"/>
        <v>129.00780695528744</v>
      </c>
    </row>
    <row r="32" spans="2:10" ht="12.75">
      <c r="B32" s="38">
        <f t="shared" si="0"/>
        <v>26</v>
      </c>
      <c r="C32" s="50"/>
      <c r="D32" s="166"/>
      <c r="E32" s="9" t="s">
        <v>21</v>
      </c>
      <c r="F32" s="46" t="s">
        <v>44</v>
      </c>
      <c r="G32" s="74"/>
      <c r="H32" s="257">
        <f>SUM(H33:H37)</f>
        <v>325900</v>
      </c>
      <c r="I32" s="257">
        <f>SUM(I33:I37)</f>
        <v>342745</v>
      </c>
      <c r="J32" s="803">
        <f t="shared" si="1"/>
        <v>105.1687634243633</v>
      </c>
    </row>
    <row r="33" spans="2:10" ht="12.75">
      <c r="B33" s="38">
        <f t="shared" si="0"/>
        <v>27</v>
      </c>
      <c r="C33" s="50"/>
      <c r="D33" s="166"/>
      <c r="E33" s="51"/>
      <c r="F33" s="37"/>
      <c r="G33" s="74" t="s">
        <v>45</v>
      </c>
      <c r="H33" s="257">
        <v>35400</v>
      </c>
      <c r="I33" s="257">
        <f>18483</f>
        <v>18483</v>
      </c>
      <c r="J33" s="803">
        <f t="shared" si="1"/>
        <v>52.21186440677966</v>
      </c>
    </row>
    <row r="34" spans="2:10" ht="12.75">
      <c r="B34" s="38">
        <f t="shared" si="0"/>
        <v>28</v>
      </c>
      <c r="C34" s="50"/>
      <c r="D34" s="166"/>
      <c r="E34" s="51"/>
      <c r="F34" s="46"/>
      <c r="G34" s="74" t="s">
        <v>46</v>
      </c>
      <c r="H34" s="257">
        <v>210000</v>
      </c>
      <c r="I34" s="257">
        <f>209842+1106+593</f>
        <v>211541</v>
      </c>
      <c r="J34" s="803">
        <f t="shared" si="1"/>
        <v>100.73380952380953</v>
      </c>
    </row>
    <row r="35" spans="2:10" ht="12.75">
      <c r="B35" s="38">
        <f t="shared" si="0"/>
        <v>29</v>
      </c>
      <c r="C35" s="50"/>
      <c r="D35" s="50"/>
      <c r="E35" s="51"/>
      <c r="F35" s="46"/>
      <c r="G35" s="74" t="s">
        <v>131</v>
      </c>
      <c r="H35" s="263">
        <f>10000+500</f>
        <v>10500</v>
      </c>
      <c r="I35" s="263">
        <f>409+2359+17211+2233+28257+1+3000</f>
        <v>53470</v>
      </c>
      <c r="J35" s="804">
        <f t="shared" si="1"/>
        <v>509.23809523809524</v>
      </c>
    </row>
    <row r="36" spans="2:10" ht="12.75">
      <c r="B36" s="38">
        <f t="shared" si="0"/>
        <v>30</v>
      </c>
      <c r="C36" s="50"/>
      <c r="D36" s="50"/>
      <c r="E36" s="51"/>
      <c r="F36" s="46"/>
      <c r="G36" s="74" t="s">
        <v>274</v>
      </c>
      <c r="H36" s="257">
        <v>50000</v>
      </c>
      <c r="I36" s="257">
        <f>50168</f>
        <v>50168</v>
      </c>
      <c r="J36" s="803">
        <f t="shared" si="1"/>
        <v>100.336</v>
      </c>
    </row>
    <row r="37" spans="2:10" ht="12.75">
      <c r="B37" s="38">
        <f t="shared" si="0"/>
        <v>31</v>
      </c>
      <c r="C37" s="50"/>
      <c r="D37" s="50"/>
      <c r="E37" s="51"/>
      <c r="F37" s="46"/>
      <c r="G37" s="74" t="s">
        <v>588</v>
      </c>
      <c r="H37" s="467">
        <f>50000-30000</f>
        <v>20000</v>
      </c>
      <c r="I37" s="467">
        <f>1154+1203+597+6129</f>
        <v>9083</v>
      </c>
      <c r="J37" s="803">
        <f t="shared" si="1"/>
        <v>45.415</v>
      </c>
    </row>
    <row r="38" spans="2:10" ht="12.75">
      <c r="B38" s="38">
        <f t="shared" si="0"/>
        <v>32</v>
      </c>
      <c r="C38" s="50"/>
      <c r="D38" s="50"/>
      <c r="E38" s="51"/>
      <c r="F38" s="46"/>
      <c r="G38" s="74"/>
      <c r="H38" s="257"/>
      <c r="I38" s="257"/>
      <c r="J38" s="803"/>
    </row>
    <row r="39" spans="2:10" ht="12.75">
      <c r="B39" s="38">
        <f t="shared" si="0"/>
        <v>33</v>
      </c>
      <c r="C39" s="6" t="s">
        <v>47</v>
      </c>
      <c r="D39" s="50"/>
      <c r="E39" s="51"/>
      <c r="F39" s="41" t="s">
        <v>48</v>
      </c>
      <c r="G39" s="74"/>
      <c r="H39" s="258">
        <f>H40+H43+H44+H49+H47+H48</f>
        <v>426400</v>
      </c>
      <c r="I39" s="258">
        <f>I40+I43+I44+I49</f>
        <v>433121</v>
      </c>
      <c r="J39" s="803">
        <f t="shared" si="1"/>
        <v>101.57621951219514</v>
      </c>
    </row>
    <row r="40" spans="2:10" ht="12.75">
      <c r="B40" s="38">
        <f t="shared" si="0"/>
        <v>34</v>
      </c>
      <c r="C40" s="50"/>
      <c r="D40" s="166" t="s">
        <v>49</v>
      </c>
      <c r="E40" s="9" t="s">
        <v>50</v>
      </c>
      <c r="F40" s="46" t="s">
        <v>590</v>
      </c>
      <c r="G40" s="74"/>
      <c r="H40" s="257">
        <f>SUM(H41:H42)</f>
        <v>340000</v>
      </c>
      <c r="I40" s="257">
        <f>I41+I42</f>
        <v>297668</v>
      </c>
      <c r="J40" s="803">
        <f t="shared" si="1"/>
        <v>87.54941176470588</v>
      </c>
    </row>
    <row r="41" spans="2:11" ht="12.75">
      <c r="B41" s="38">
        <f t="shared" si="0"/>
        <v>35</v>
      </c>
      <c r="C41" s="50"/>
      <c r="D41" s="50"/>
      <c r="E41" s="51"/>
      <c r="F41" s="37"/>
      <c r="G41" s="74" t="s">
        <v>95</v>
      </c>
      <c r="H41" s="257">
        <v>250000</v>
      </c>
      <c r="I41" s="257">
        <v>169448</v>
      </c>
      <c r="J41" s="803">
        <f t="shared" si="1"/>
        <v>67.77919999999999</v>
      </c>
      <c r="K41" s="580"/>
    </row>
    <row r="42" spans="2:11" ht="12.75">
      <c r="B42" s="38">
        <f t="shared" si="0"/>
        <v>36</v>
      </c>
      <c r="C42" s="50"/>
      <c r="D42" s="50"/>
      <c r="E42" s="51"/>
      <c r="F42" s="37"/>
      <c r="G42" s="74" t="s">
        <v>51</v>
      </c>
      <c r="H42" s="257">
        <v>90000</v>
      </c>
      <c r="I42" s="257">
        <f>297665-I41+3</f>
        <v>128220</v>
      </c>
      <c r="J42" s="803">
        <f t="shared" si="1"/>
        <v>142.46666666666667</v>
      </c>
      <c r="K42" s="150"/>
    </row>
    <row r="43" spans="2:10" ht="12.75">
      <c r="B43" s="38">
        <f t="shared" si="0"/>
        <v>37</v>
      </c>
      <c r="C43" s="50"/>
      <c r="D43" s="7" t="s">
        <v>52</v>
      </c>
      <c r="E43" s="250" t="s">
        <v>21</v>
      </c>
      <c r="F43" s="52" t="s">
        <v>53</v>
      </c>
      <c r="G43" s="74"/>
      <c r="H43" s="257">
        <v>65000</v>
      </c>
      <c r="I43" s="257">
        <v>83688</v>
      </c>
      <c r="J43" s="803">
        <f t="shared" si="1"/>
        <v>128.75076923076924</v>
      </c>
    </row>
    <row r="44" spans="2:10" ht="12.75">
      <c r="B44" s="38">
        <f t="shared" si="0"/>
        <v>38</v>
      </c>
      <c r="C44" s="50"/>
      <c r="D44" s="166" t="s">
        <v>54</v>
      </c>
      <c r="E44" s="9" t="s">
        <v>27</v>
      </c>
      <c r="F44" s="46" t="s">
        <v>55</v>
      </c>
      <c r="G44" s="74"/>
      <c r="H44" s="257">
        <f>H45+H46</f>
        <v>14400</v>
      </c>
      <c r="I44" s="257">
        <f>I45+I46+I47</f>
        <v>50100</v>
      </c>
      <c r="J44" s="803">
        <f t="shared" si="1"/>
        <v>347.91666666666663</v>
      </c>
    </row>
    <row r="45" spans="2:10" ht="12.75">
      <c r="B45" s="38">
        <f t="shared" si="0"/>
        <v>39</v>
      </c>
      <c r="C45" s="50"/>
      <c r="D45" s="50"/>
      <c r="E45" s="9"/>
      <c r="F45" s="53" t="s">
        <v>0</v>
      </c>
      <c r="G45" s="128"/>
      <c r="H45" s="257">
        <v>400</v>
      </c>
      <c r="I45" s="257"/>
      <c r="J45" s="803">
        <f t="shared" si="1"/>
        <v>0</v>
      </c>
    </row>
    <row r="46" spans="2:10" ht="12.75">
      <c r="B46" s="38">
        <f t="shared" si="0"/>
        <v>40</v>
      </c>
      <c r="C46" s="55"/>
      <c r="D46" s="55"/>
      <c r="E46" s="10"/>
      <c r="F46" s="77"/>
      <c r="G46" s="129" t="s">
        <v>131</v>
      </c>
      <c r="H46" s="263">
        <v>14000</v>
      </c>
      <c r="I46" s="263">
        <f>71047-20947</f>
        <v>50100</v>
      </c>
      <c r="J46" s="804">
        <f t="shared" si="1"/>
        <v>357.8571428571429</v>
      </c>
    </row>
    <row r="47" spans="2:10" ht="12.75">
      <c r="B47" s="38">
        <f t="shared" si="0"/>
        <v>41</v>
      </c>
      <c r="C47" s="55"/>
      <c r="D47" s="55"/>
      <c r="E47" s="10"/>
      <c r="F47" s="77" t="s">
        <v>518</v>
      </c>
      <c r="G47" s="129"/>
      <c r="H47" s="467">
        <v>5000</v>
      </c>
      <c r="I47" s="467"/>
      <c r="J47" s="803">
        <f t="shared" si="1"/>
        <v>0</v>
      </c>
    </row>
    <row r="48" spans="2:10" ht="12.75">
      <c r="B48" s="38">
        <f t="shared" si="0"/>
        <v>42</v>
      </c>
      <c r="C48" s="50"/>
      <c r="D48" s="50"/>
      <c r="E48" s="9"/>
      <c r="F48" s="53"/>
      <c r="G48" s="128"/>
      <c r="H48" s="468"/>
      <c r="I48" s="468"/>
      <c r="J48" s="803"/>
    </row>
    <row r="49" spans="2:10" ht="12.75">
      <c r="B49" s="38">
        <f t="shared" si="0"/>
        <v>43</v>
      </c>
      <c r="C49" s="78"/>
      <c r="D49" s="460" t="s">
        <v>56</v>
      </c>
      <c r="E49" s="35" t="s">
        <v>57</v>
      </c>
      <c r="F49" s="36" t="s">
        <v>96</v>
      </c>
      <c r="G49" s="79"/>
      <c r="H49" s="257">
        <v>2000</v>
      </c>
      <c r="I49" s="257">
        <v>1665</v>
      </c>
      <c r="J49" s="803">
        <f t="shared" si="1"/>
        <v>83.25</v>
      </c>
    </row>
    <row r="50" spans="2:10" ht="12.75">
      <c r="B50" s="38">
        <f t="shared" si="0"/>
        <v>44</v>
      </c>
      <c r="C50" s="55"/>
      <c r="D50" s="56"/>
      <c r="E50" s="10"/>
      <c r="F50" s="54"/>
      <c r="G50" s="80"/>
      <c r="H50" s="257"/>
      <c r="I50" s="257"/>
      <c r="J50" s="803"/>
    </row>
    <row r="51" spans="2:10" ht="12.75">
      <c r="B51" s="38">
        <f t="shared" si="0"/>
        <v>45</v>
      </c>
      <c r="C51" s="57" t="s">
        <v>58</v>
      </c>
      <c r="D51" s="56"/>
      <c r="E51" s="426"/>
      <c r="F51" s="58" t="s">
        <v>59</v>
      </c>
      <c r="G51" s="80"/>
      <c r="H51" s="258">
        <f>2500+1500</f>
        <v>4000</v>
      </c>
      <c r="I51" s="258">
        <v>3279</v>
      </c>
      <c r="J51" s="803">
        <f t="shared" si="1"/>
        <v>81.975</v>
      </c>
    </row>
    <row r="52" spans="2:10" ht="12.75">
      <c r="B52" s="38">
        <f t="shared" si="0"/>
        <v>46</v>
      </c>
      <c r="C52" s="57"/>
      <c r="D52" s="10"/>
      <c r="E52" s="426"/>
      <c r="F52" s="59"/>
      <c r="G52" s="80"/>
      <c r="H52" s="263"/>
      <c r="I52" s="263"/>
      <c r="J52" s="804"/>
    </row>
    <row r="53" spans="2:10" ht="12.75">
      <c r="B53" s="38">
        <f t="shared" si="0"/>
        <v>47</v>
      </c>
      <c r="C53" s="57" t="s">
        <v>60</v>
      </c>
      <c r="D53" s="56"/>
      <c r="E53" s="426"/>
      <c r="F53" s="58" t="s">
        <v>61</v>
      </c>
      <c r="G53" s="80"/>
      <c r="H53" s="258">
        <f>SUM(H54:H56)</f>
        <v>533756</v>
      </c>
      <c r="I53" s="258">
        <f>I54+I56</f>
        <v>591050</v>
      </c>
      <c r="J53" s="803">
        <f t="shared" si="1"/>
        <v>110.73411821131754</v>
      </c>
    </row>
    <row r="54" spans="2:10" ht="12.75" customHeight="1">
      <c r="B54" s="38">
        <f t="shared" si="0"/>
        <v>48</v>
      </c>
      <c r="C54" s="6"/>
      <c r="D54" s="51" t="s">
        <v>62</v>
      </c>
      <c r="E54" s="9" t="s">
        <v>63</v>
      </c>
      <c r="F54" s="46" t="s">
        <v>64</v>
      </c>
      <c r="G54" s="74"/>
      <c r="H54" s="257">
        <v>180000</v>
      </c>
      <c r="I54" s="257">
        <v>245397</v>
      </c>
      <c r="J54" s="803">
        <f t="shared" si="1"/>
        <v>136.33166666666668</v>
      </c>
    </row>
    <row r="55" spans="2:10" ht="12.75">
      <c r="B55" s="38">
        <f t="shared" si="0"/>
        <v>49</v>
      </c>
      <c r="C55" s="6"/>
      <c r="D55" s="51"/>
      <c r="E55" s="9" t="s">
        <v>217</v>
      </c>
      <c r="F55" s="46" t="s">
        <v>218</v>
      </c>
      <c r="G55" s="74"/>
      <c r="H55" s="467">
        <v>8000</v>
      </c>
      <c r="I55" s="467"/>
      <c r="J55" s="803">
        <f t="shared" si="1"/>
        <v>0</v>
      </c>
    </row>
    <row r="56" spans="2:10" ht="12.75">
      <c r="B56" s="38">
        <f t="shared" si="0"/>
        <v>50</v>
      </c>
      <c r="C56" s="57"/>
      <c r="D56" s="62" t="s">
        <v>62</v>
      </c>
      <c r="E56" s="10"/>
      <c r="F56" s="54" t="s">
        <v>65</v>
      </c>
      <c r="G56" s="80"/>
      <c r="H56" s="257">
        <f>120000+235756-10000</f>
        <v>345756</v>
      </c>
      <c r="I56" s="257">
        <f>591050-I54</f>
        <v>345653</v>
      </c>
      <c r="J56" s="803">
        <f t="shared" si="1"/>
        <v>99.97021020604126</v>
      </c>
    </row>
    <row r="57" spans="2:10" ht="12.75">
      <c r="B57" s="38">
        <f t="shared" si="0"/>
        <v>51</v>
      </c>
      <c r="C57" s="61"/>
      <c r="D57" s="62"/>
      <c r="E57" s="10"/>
      <c r="F57" s="54"/>
      <c r="G57" s="80"/>
      <c r="H57" s="263"/>
      <c r="I57" s="263"/>
      <c r="J57" s="804"/>
    </row>
    <row r="58" spans="2:10" ht="12.75">
      <c r="B58" s="38">
        <f t="shared" si="0"/>
        <v>52</v>
      </c>
      <c r="C58" s="63"/>
      <c r="D58" s="64"/>
      <c r="E58" s="63"/>
      <c r="F58" s="137" t="s">
        <v>66</v>
      </c>
      <c r="G58" s="138"/>
      <c r="H58" s="269">
        <f>H60+H72+H90</f>
        <v>629900</v>
      </c>
      <c r="I58" s="269">
        <f>I60+I72+I88+I90</f>
        <v>650600</v>
      </c>
      <c r="J58" s="804">
        <f t="shared" si="1"/>
        <v>103.28623591046198</v>
      </c>
    </row>
    <row r="59" spans="2:10" ht="12.75">
      <c r="B59" s="38">
        <f t="shared" si="0"/>
        <v>53</v>
      </c>
      <c r="C59" s="65"/>
      <c r="D59" s="66"/>
      <c r="E59" s="63"/>
      <c r="F59" s="67"/>
      <c r="G59" s="81"/>
      <c r="H59" s="270"/>
      <c r="I59" s="270"/>
      <c r="J59" s="804"/>
    </row>
    <row r="60" spans="2:10" ht="12.75">
      <c r="B60" s="38">
        <f t="shared" si="0"/>
        <v>54</v>
      </c>
      <c r="C60" s="6" t="s">
        <v>40</v>
      </c>
      <c r="D60" s="66"/>
      <c r="E60" s="63"/>
      <c r="F60" s="41" t="s">
        <v>41</v>
      </c>
      <c r="G60" s="81"/>
      <c r="H60" s="266">
        <f>H61+H63+H62+H64</f>
        <v>108900</v>
      </c>
      <c r="I60" s="255">
        <f>SUM(I61:I64)</f>
        <v>120661</v>
      </c>
      <c r="J60" s="803">
        <f t="shared" si="1"/>
        <v>110.7998163452709</v>
      </c>
    </row>
    <row r="61" spans="2:10" ht="12.75">
      <c r="B61" s="38">
        <f t="shared" si="0"/>
        <v>55</v>
      </c>
      <c r="C61" s="68"/>
      <c r="D61" s="11"/>
      <c r="E61" s="2" t="s">
        <v>21</v>
      </c>
      <c r="F61" s="69" t="s">
        <v>44</v>
      </c>
      <c r="G61" s="130"/>
      <c r="H61" s="257">
        <v>21500</v>
      </c>
      <c r="I61" s="256">
        <v>20172</v>
      </c>
      <c r="J61" s="803">
        <f t="shared" si="1"/>
        <v>93.8232558139535</v>
      </c>
    </row>
    <row r="62" spans="2:10" ht="12.75">
      <c r="B62" s="38">
        <f t="shared" si="0"/>
        <v>56</v>
      </c>
      <c r="C62" s="68"/>
      <c r="D62" s="11"/>
      <c r="E62" s="2" t="s">
        <v>21</v>
      </c>
      <c r="F62" s="69" t="s">
        <v>701</v>
      </c>
      <c r="G62" s="130"/>
      <c r="H62" s="257">
        <v>39000</v>
      </c>
      <c r="I62" s="256">
        <v>50396</v>
      </c>
      <c r="J62" s="803">
        <f t="shared" si="1"/>
        <v>129.22051282051282</v>
      </c>
    </row>
    <row r="63" spans="2:10" ht="12.75">
      <c r="B63" s="38">
        <f t="shared" si="0"/>
        <v>57</v>
      </c>
      <c r="C63" s="68"/>
      <c r="D63" s="11"/>
      <c r="E63" s="2" t="s">
        <v>21</v>
      </c>
      <c r="F63" s="69" t="s">
        <v>314</v>
      </c>
      <c r="G63" s="130"/>
      <c r="H63" s="257">
        <f>72200-24000</f>
        <v>48200</v>
      </c>
      <c r="I63" s="256">
        <v>49810</v>
      </c>
      <c r="J63" s="803">
        <f t="shared" si="1"/>
        <v>103.34024896265561</v>
      </c>
    </row>
    <row r="64" spans="2:10" ht="13.5" thickBot="1">
      <c r="B64" s="82">
        <f t="shared" si="0"/>
        <v>58</v>
      </c>
      <c r="C64" s="155"/>
      <c r="D64" s="271"/>
      <c r="E64" s="156" t="s">
        <v>29</v>
      </c>
      <c r="F64" s="272" t="s">
        <v>43</v>
      </c>
      <c r="G64" s="253"/>
      <c r="H64" s="273">
        <v>200</v>
      </c>
      <c r="I64" s="949">
        <v>283</v>
      </c>
      <c r="J64" s="807">
        <f t="shared" si="1"/>
        <v>141.5</v>
      </c>
    </row>
    <row r="65" spans="2:9" ht="12.75">
      <c r="B65" s="382"/>
      <c r="C65" s="383"/>
      <c r="D65" s="384"/>
      <c r="E65" s="384"/>
      <c r="F65" s="385"/>
      <c r="G65" s="385"/>
      <c r="H65" s="386"/>
      <c r="I65" s="22"/>
    </row>
    <row r="66" spans="2:9" ht="12.75">
      <c r="B66" s="382"/>
      <c r="C66" s="383"/>
      <c r="D66" s="384"/>
      <c r="E66" s="384"/>
      <c r="F66" s="385"/>
      <c r="G66" s="385"/>
      <c r="H66" s="386"/>
      <c r="I66" s="22"/>
    </row>
    <row r="67" spans="2:9" ht="7.5" customHeight="1" thickBot="1">
      <c r="B67" s="382"/>
      <c r="C67" s="383"/>
      <c r="D67" s="384"/>
      <c r="E67" s="384"/>
      <c r="F67" s="385"/>
      <c r="G67" s="385"/>
      <c r="H67" s="386"/>
      <c r="I67" s="22"/>
    </row>
    <row r="68" spans="2:10" ht="12.75" customHeight="1">
      <c r="B68" s="1007" t="s">
        <v>10</v>
      </c>
      <c r="C68" s="1008"/>
      <c r="D68" s="1008"/>
      <c r="E68" s="1008"/>
      <c r="F68" s="1008"/>
      <c r="G68" s="1009"/>
      <c r="H68" s="1016" t="s">
        <v>664</v>
      </c>
      <c r="I68" s="1019" t="s">
        <v>772</v>
      </c>
      <c r="J68" s="1013" t="s">
        <v>773</v>
      </c>
    </row>
    <row r="69" spans="2:10" ht="12.75" customHeight="1">
      <c r="B69" s="1010"/>
      <c r="C69" s="1011"/>
      <c r="D69" s="1011"/>
      <c r="E69" s="1011"/>
      <c r="F69" s="1011"/>
      <c r="G69" s="1012"/>
      <c r="H69" s="1017"/>
      <c r="I69" s="1020"/>
      <c r="J69" s="1014"/>
    </row>
    <row r="70" spans="2:10" ht="12.75" customHeight="1">
      <c r="B70" s="87"/>
      <c r="C70" s="1005" t="s">
        <v>11</v>
      </c>
      <c r="D70" s="88" t="s">
        <v>12</v>
      </c>
      <c r="E70" s="88" t="s">
        <v>13</v>
      </c>
      <c r="F70" s="89"/>
      <c r="G70" s="90"/>
      <c r="H70" s="1017"/>
      <c r="I70" s="1020"/>
      <c r="J70" s="1014"/>
    </row>
    <row r="71" spans="2:10" ht="13.5" customHeight="1" thickBot="1">
      <c r="B71" s="91"/>
      <c r="C71" s="1006"/>
      <c r="D71" s="93"/>
      <c r="E71" s="92" t="s">
        <v>14</v>
      </c>
      <c r="F71" s="94" t="s">
        <v>15</v>
      </c>
      <c r="G71" s="95"/>
      <c r="H71" s="1018"/>
      <c r="I71" s="1021"/>
      <c r="J71" s="1015"/>
    </row>
    <row r="72" spans="2:10" ht="13.5" thickTop="1">
      <c r="B72" s="38">
        <f>B64+1</f>
        <v>59</v>
      </c>
      <c r="C72" s="6" t="s">
        <v>47</v>
      </c>
      <c r="D72" s="251"/>
      <c r="E72" s="252"/>
      <c r="F72" s="41" t="s">
        <v>48</v>
      </c>
      <c r="G72" s="131"/>
      <c r="H72" s="258">
        <f>H74</f>
        <v>510000</v>
      </c>
      <c r="I72" s="258">
        <f>I74+I73+I86</f>
        <v>518417</v>
      </c>
      <c r="J72" s="803">
        <f aca="true" t="shared" si="2" ref="J72:J163">I72/H72*100</f>
        <v>101.65039215686274</v>
      </c>
    </row>
    <row r="73" spans="2:10" ht="12.75">
      <c r="B73" s="38">
        <f>B72+1</f>
        <v>60</v>
      </c>
      <c r="C73" s="12"/>
      <c r="D73" s="11" t="s">
        <v>52</v>
      </c>
      <c r="E73" s="2"/>
      <c r="F73" s="46" t="s">
        <v>800</v>
      </c>
      <c r="G73" s="130"/>
      <c r="H73" s="257"/>
      <c r="I73" s="256">
        <v>537</v>
      </c>
      <c r="J73" s="803"/>
    </row>
    <row r="74" spans="2:10" ht="12.75">
      <c r="B74" s="38">
        <f>B73+1</f>
        <v>61</v>
      </c>
      <c r="C74" s="65"/>
      <c r="D74" s="11" t="s">
        <v>54</v>
      </c>
      <c r="E74" s="2" t="s">
        <v>27</v>
      </c>
      <c r="F74" s="46" t="s">
        <v>67</v>
      </c>
      <c r="G74" s="130"/>
      <c r="H74" s="257">
        <f>SUM(H75:H85)</f>
        <v>510000</v>
      </c>
      <c r="I74" s="256">
        <f>SUM(I75:I85)</f>
        <v>517864</v>
      </c>
      <c r="J74" s="803">
        <f t="shared" si="2"/>
        <v>101.54196078431372</v>
      </c>
    </row>
    <row r="75" spans="2:10" ht="12.75">
      <c r="B75" s="38">
        <f aca="true" t="shared" si="3" ref="B75:B164">B74+1</f>
        <v>62</v>
      </c>
      <c r="C75" s="68"/>
      <c r="D75" s="2"/>
      <c r="E75" s="2"/>
      <c r="F75" s="46"/>
      <c r="G75" s="131" t="s">
        <v>97</v>
      </c>
      <c r="H75" s="257">
        <v>27300</v>
      </c>
      <c r="I75" s="256">
        <v>35722</v>
      </c>
      <c r="J75" s="803">
        <f t="shared" si="2"/>
        <v>130.84981684981685</v>
      </c>
    </row>
    <row r="76" spans="2:10" ht="12.75">
      <c r="B76" s="38">
        <f t="shared" si="3"/>
        <v>63</v>
      </c>
      <c r="C76" s="68"/>
      <c r="D76" s="2"/>
      <c r="E76" s="2"/>
      <c r="F76" s="46"/>
      <c r="G76" s="131" t="s">
        <v>524</v>
      </c>
      <c r="H76" s="257">
        <v>15000</v>
      </c>
      <c r="I76" s="256">
        <v>15400</v>
      </c>
      <c r="J76" s="803">
        <f t="shared" si="2"/>
        <v>102.66666666666666</v>
      </c>
    </row>
    <row r="77" spans="2:10" ht="12.75">
      <c r="B77" s="38">
        <f t="shared" si="3"/>
        <v>64</v>
      </c>
      <c r="C77" s="65"/>
      <c r="D77" s="157"/>
      <c r="E77" s="157"/>
      <c r="F77" s="54"/>
      <c r="G77" s="130" t="s">
        <v>77</v>
      </c>
      <c r="H77" s="263">
        <v>105000</v>
      </c>
      <c r="I77" s="270">
        <v>83394</v>
      </c>
      <c r="J77" s="804">
        <f t="shared" si="2"/>
        <v>79.42285714285714</v>
      </c>
    </row>
    <row r="78" spans="2:10" ht="12.75">
      <c r="B78" s="38">
        <f t="shared" si="3"/>
        <v>65</v>
      </c>
      <c r="C78" s="68"/>
      <c r="D78" s="2"/>
      <c r="E78" s="2"/>
      <c r="F78" s="46"/>
      <c r="G78" s="131" t="s">
        <v>702</v>
      </c>
      <c r="H78" s="257">
        <v>750</v>
      </c>
      <c r="I78" s="256">
        <v>1151</v>
      </c>
      <c r="J78" s="803">
        <f t="shared" si="2"/>
        <v>153.46666666666667</v>
      </c>
    </row>
    <row r="79" spans="2:10" ht="12.75">
      <c r="B79" s="38">
        <f t="shared" si="3"/>
        <v>66</v>
      </c>
      <c r="C79" s="68"/>
      <c r="D79" s="2"/>
      <c r="E79" s="2"/>
      <c r="F79" s="46"/>
      <c r="G79" s="131" t="s">
        <v>98</v>
      </c>
      <c r="H79" s="257">
        <f>82800+2000</f>
        <v>84800</v>
      </c>
      <c r="I79" s="256">
        <v>95562</v>
      </c>
      <c r="J79" s="803">
        <f t="shared" si="2"/>
        <v>112.69103773584905</v>
      </c>
    </row>
    <row r="80" spans="2:10" ht="12.75">
      <c r="B80" s="38">
        <f t="shared" si="3"/>
        <v>67</v>
      </c>
      <c r="C80" s="68"/>
      <c r="D80" s="2"/>
      <c r="E80" s="2"/>
      <c r="F80" s="46"/>
      <c r="G80" s="131" t="s">
        <v>315</v>
      </c>
      <c r="H80" s="257">
        <v>115000</v>
      </c>
      <c r="I80" s="256">
        <v>117748</v>
      </c>
      <c r="J80" s="803">
        <f t="shared" si="2"/>
        <v>102.38956521739131</v>
      </c>
    </row>
    <row r="81" spans="2:10" ht="12.75" customHeight="1">
      <c r="B81" s="38">
        <f t="shared" si="3"/>
        <v>68</v>
      </c>
      <c r="C81" s="68"/>
      <c r="D81" s="2"/>
      <c r="E81" s="2"/>
      <c r="F81" s="46"/>
      <c r="G81" s="131" t="s">
        <v>316</v>
      </c>
      <c r="H81" s="257">
        <v>94000</v>
      </c>
      <c r="I81" s="256">
        <v>94438</v>
      </c>
      <c r="J81" s="803">
        <f t="shared" si="2"/>
        <v>100.4659574468085</v>
      </c>
    </row>
    <row r="82" spans="2:10" ht="12.75" customHeight="1">
      <c r="B82" s="38">
        <f t="shared" si="3"/>
        <v>69</v>
      </c>
      <c r="C82" s="68"/>
      <c r="D82" s="2"/>
      <c r="E82" s="2"/>
      <c r="F82" s="46"/>
      <c r="G82" s="131" t="s">
        <v>317</v>
      </c>
      <c r="H82" s="257">
        <v>15500</v>
      </c>
      <c r="I82" s="256">
        <v>14635</v>
      </c>
      <c r="J82" s="803">
        <f t="shared" si="2"/>
        <v>94.41935483870968</v>
      </c>
    </row>
    <row r="83" spans="2:10" ht="12.75" customHeight="1">
      <c r="B83" s="38">
        <f t="shared" si="3"/>
        <v>70</v>
      </c>
      <c r="C83" s="65"/>
      <c r="D83" s="157"/>
      <c r="E83" s="157"/>
      <c r="F83" s="54"/>
      <c r="G83" s="130" t="s">
        <v>364</v>
      </c>
      <c r="H83" s="263">
        <v>16000</v>
      </c>
      <c r="I83" s="270">
        <v>13732</v>
      </c>
      <c r="J83" s="804">
        <f t="shared" si="2"/>
        <v>85.82499999999999</v>
      </c>
    </row>
    <row r="84" spans="2:10" ht="13.5" customHeight="1">
      <c r="B84" s="38">
        <f t="shared" si="3"/>
        <v>71</v>
      </c>
      <c r="C84" s="65"/>
      <c r="D84" s="157"/>
      <c r="E84" s="157"/>
      <c r="F84" s="54"/>
      <c r="G84" s="130" t="s">
        <v>68</v>
      </c>
      <c r="H84" s="263">
        <v>28500</v>
      </c>
      <c r="I84" s="270">
        <v>37807</v>
      </c>
      <c r="J84" s="804">
        <f t="shared" si="2"/>
        <v>132.6561403508772</v>
      </c>
    </row>
    <row r="85" spans="2:10" ht="13.5" customHeight="1">
      <c r="B85" s="38">
        <f t="shared" si="3"/>
        <v>72</v>
      </c>
      <c r="C85" s="68"/>
      <c r="D85" s="2"/>
      <c r="E85" s="2"/>
      <c r="F85" s="46"/>
      <c r="G85" s="131" t="s">
        <v>703</v>
      </c>
      <c r="H85" s="257">
        <v>8150</v>
      </c>
      <c r="I85" s="256">
        <v>8275</v>
      </c>
      <c r="J85" s="803">
        <f>I85/H85*100</f>
        <v>101.53374233128834</v>
      </c>
    </row>
    <row r="86" spans="2:10" ht="13.5" customHeight="1">
      <c r="B86" s="38">
        <f t="shared" si="3"/>
        <v>73</v>
      </c>
      <c r="C86" s="68"/>
      <c r="D86" s="2" t="s">
        <v>54</v>
      </c>
      <c r="E86" s="2" t="s">
        <v>50</v>
      </c>
      <c r="F86" s="46" t="s">
        <v>799</v>
      </c>
      <c r="G86" s="131"/>
      <c r="H86" s="257"/>
      <c r="I86" s="256">
        <v>16</v>
      </c>
      <c r="J86" s="803"/>
    </row>
    <row r="87" spans="2:10" ht="13.5" customHeight="1">
      <c r="B87" s="38">
        <f t="shared" si="3"/>
        <v>74</v>
      </c>
      <c r="C87" s="68"/>
      <c r="D87" s="2"/>
      <c r="E87" s="2"/>
      <c r="F87" s="46"/>
      <c r="G87" s="131"/>
      <c r="H87" s="257"/>
      <c r="I87" s="256"/>
      <c r="J87" s="803"/>
    </row>
    <row r="88" spans="2:10" ht="13.5" customHeight="1">
      <c r="B88" s="38">
        <f t="shared" si="3"/>
        <v>75</v>
      </c>
      <c r="C88" s="57" t="s">
        <v>58</v>
      </c>
      <c r="D88" s="56"/>
      <c r="E88" s="426"/>
      <c r="F88" s="58" t="s">
        <v>59</v>
      </c>
      <c r="G88" s="80"/>
      <c r="H88" s="258"/>
      <c r="I88" s="255">
        <v>30</v>
      </c>
      <c r="J88" s="803"/>
    </row>
    <row r="89" spans="2:10" ht="13.5" customHeight="1">
      <c r="B89" s="38">
        <f t="shared" si="3"/>
        <v>76</v>
      </c>
      <c r="C89" s="68"/>
      <c r="D89" s="2"/>
      <c r="E89" s="2"/>
      <c r="F89" s="46"/>
      <c r="G89" s="131"/>
      <c r="H89" s="257"/>
      <c r="I89" s="256"/>
      <c r="J89" s="803"/>
    </row>
    <row r="90" spans="2:10" ht="13.5" customHeight="1">
      <c r="B90" s="38">
        <f t="shared" si="3"/>
        <v>77</v>
      </c>
      <c r="C90" s="57" t="s">
        <v>60</v>
      </c>
      <c r="D90" s="56"/>
      <c r="E90" s="426"/>
      <c r="F90" s="58" t="s">
        <v>61</v>
      </c>
      <c r="G90" s="80"/>
      <c r="H90" s="258">
        <f>SUM(H91:H91)</f>
        <v>11000</v>
      </c>
      <c r="I90" s="255">
        <f>SUM(I91:I91)</f>
        <v>11492</v>
      </c>
      <c r="J90" s="803"/>
    </row>
    <row r="91" spans="2:10" ht="13.5" customHeight="1">
      <c r="B91" s="38">
        <f t="shared" si="3"/>
        <v>78</v>
      </c>
      <c r="C91" s="68"/>
      <c r="D91" s="2" t="s">
        <v>62</v>
      </c>
      <c r="E91" s="2" t="s">
        <v>35</v>
      </c>
      <c r="F91" s="46" t="s">
        <v>795</v>
      </c>
      <c r="G91" s="131"/>
      <c r="H91" s="257">
        <v>11000</v>
      </c>
      <c r="I91" s="256">
        <v>11492</v>
      </c>
      <c r="J91" s="803"/>
    </row>
    <row r="92" spans="2:10" ht="12.75">
      <c r="B92" s="38">
        <f t="shared" si="3"/>
        <v>79</v>
      </c>
      <c r="C92" s="68"/>
      <c r="D92" s="251"/>
      <c r="E92" s="252"/>
      <c r="F92" s="69"/>
      <c r="G92" s="274"/>
      <c r="H92" s="256"/>
      <c r="I92" s="256"/>
      <c r="J92" s="803"/>
    </row>
    <row r="93" spans="2:10" ht="13.5" customHeight="1">
      <c r="B93" s="38">
        <f t="shared" si="3"/>
        <v>80</v>
      </c>
      <c r="C93" s="6"/>
      <c r="D93" s="6"/>
      <c r="E93" s="8"/>
      <c r="F93" s="139" t="s">
        <v>69</v>
      </c>
      <c r="G93" s="140"/>
      <c r="H93" s="254">
        <f>H95+H101+H106+H109+H114+H120+H107</f>
        <v>719100</v>
      </c>
      <c r="I93" s="254">
        <f>I95+I101+I106+I107+I109+I114+I119+I120+I121+I122+I123</f>
        <v>641900</v>
      </c>
      <c r="J93" s="803">
        <f t="shared" si="2"/>
        <v>89.26435822555973</v>
      </c>
    </row>
    <row r="94" spans="1:10" s="169" customFormat="1" ht="1.5" customHeight="1">
      <c r="A94" s="234"/>
      <c r="B94" s="38">
        <f t="shared" si="3"/>
        <v>81</v>
      </c>
      <c r="C94" s="275"/>
      <c r="D94" s="275"/>
      <c r="E94" s="276"/>
      <c r="F94" s="277"/>
      <c r="G94" s="278"/>
      <c r="H94" s="279"/>
      <c r="I94" s="279"/>
      <c r="J94" s="803" t="e">
        <f t="shared" si="2"/>
        <v>#DIV/0!</v>
      </c>
    </row>
    <row r="95" spans="2:10" ht="12.75" customHeight="1">
      <c r="B95" s="38">
        <f t="shared" si="3"/>
        <v>82</v>
      </c>
      <c r="C95" s="166"/>
      <c r="D95" s="166"/>
      <c r="E95" s="2"/>
      <c r="F95" s="70" t="s">
        <v>70</v>
      </c>
      <c r="G95" s="17"/>
      <c r="H95" s="255">
        <f>SUM(H96:H98)</f>
        <v>120200</v>
      </c>
      <c r="I95" s="255">
        <f>SUM(I96:I99)</f>
        <v>125443</v>
      </c>
      <c r="J95" s="803">
        <f t="shared" si="2"/>
        <v>104.36189683860233</v>
      </c>
    </row>
    <row r="96" spans="2:10" ht="12.75" customHeight="1">
      <c r="B96" s="38">
        <f t="shared" si="3"/>
        <v>83</v>
      </c>
      <c r="C96" s="11"/>
      <c r="D96" s="11" t="s">
        <v>54</v>
      </c>
      <c r="E96" s="2" t="s">
        <v>29</v>
      </c>
      <c r="F96" s="52" t="s">
        <v>157</v>
      </c>
      <c r="G96" s="17"/>
      <c r="H96" s="256">
        <v>105000</v>
      </c>
      <c r="I96" s="256">
        <v>108371</v>
      </c>
      <c r="J96" s="803">
        <f t="shared" si="2"/>
        <v>103.21047619047619</v>
      </c>
    </row>
    <row r="97" spans="2:10" ht="13.5" customHeight="1">
      <c r="B97" s="38">
        <f>B96+1</f>
        <v>84</v>
      </c>
      <c r="C97" s="166"/>
      <c r="D97" s="166" t="s">
        <v>54</v>
      </c>
      <c r="E97" s="250" t="s">
        <v>21</v>
      </c>
      <c r="F97" s="37" t="s">
        <v>158</v>
      </c>
      <c r="G97" s="18"/>
      <c r="H97" s="257">
        <v>9000</v>
      </c>
      <c r="I97" s="257">
        <v>9461</v>
      </c>
      <c r="J97" s="803">
        <f t="shared" si="2"/>
        <v>105.12222222222223</v>
      </c>
    </row>
    <row r="98" spans="2:10" ht="12.75">
      <c r="B98" s="38">
        <f>B97+1</f>
        <v>85</v>
      </c>
      <c r="C98" s="166"/>
      <c r="D98" s="166" t="s">
        <v>54</v>
      </c>
      <c r="E98" s="250" t="s">
        <v>21</v>
      </c>
      <c r="F98" s="37" t="s">
        <v>159</v>
      </c>
      <c r="G98" s="18"/>
      <c r="H98" s="257">
        <v>6200</v>
      </c>
      <c r="I98" s="257">
        <v>6426</v>
      </c>
      <c r="J98" s="803">
        <f t="shared" si="2"/>
        <v>103.64516129032258</v>
      </c>
    </row>
    <row r="99" spans="2:10" ht="12.75">
      <c r="B99" s="38">
        <f t="shared" si="3"/>
        <v>86</v>
      </c>
      <c r="C99" s="166"/>
      <c r="D99" s="166" t="s">
        <v>54</v>
      </c>
      <c r="E99" s="250" t="s">
        <v>21</v>
      </c>
      <c r="F99" s="37" t="s">
        <v>731</v>
      </c>
      <c r="G99" s="18"/>
      <c r="H99" s="257">
        <v>0</v>
      </c>
      <c r="I99" s="257">
        <v>1185</v>
      </c>
      <c r="J99" s="803"/>
    </row>
    <row r="100" spans="2:10" ht="12.75">
      <c r="B100" s="38">
        <f t="shared" si="3"/>
        <v>87</v>
      </c>
      <c r="C100" s="166"/>
      <c r="D100" s="166"/>
      <c r="E100" s="250"/>
      <c r="F100" s="37"/>
      <c r="G100" s="18"/>
      <c r="H100" s="257"/>
      <c r="I100" s="257"/>
      <c r="J100" s="803"/>
    </row>
    <row r="101" spans="2:10" ht="12.75">
      <c r="B101" s="38">
        <f t="shared" si="3"/>
        <v>88</v>
      </c>
      <c r="C101" s="166"/>
      <c r="D101" s="166"/>
      <c r="E101" s="250"/>
      <c r="F101" s="71" t="s">
        <v>72</v>
      </c>
      <c r="G101" s="18"/>
      <c r="H101" s="258">
        <f>SUM(H102:H104)</f>
        <v>150300</v>
      </c>
      <c r="I101" s="258">
        <f>SUM(I102:I104)</f>
        <v>93264</v>
      </c>
      <c r="J101" s="803">
        <f t="shared" si="2"/>
        <v>62.05189620758483</v>
      </c>
    </row>
    <row r="102" spans="2:10" ht="12.75">
      <c r="B102" s="38">
        <f t="shared" si="3"/>
        <v>89</v>
      </c>
      <c r="C102" s="166"/>
      <c r="D102" s="166" t="s">
        <v>54</v>
      </c>
      <c r="E102" s="250" t="s">
        <v>27</v>
      </c>
      <c r="F102" s="37" t="s">
        <v>373</v>
      </c>
      <c r="G102" s="18"/>
      <c r="H102" s="257">
        <v>140000</v>
      </c>
      <c r="I102" s="257">
        <v>81586</v>
      </c>
      <c r="J102" s="803">
        <f t="shared" si="2"/>
        <v>58.27571428571429</v>
      </c>
    </row>
    <row r="103" spans="2:10" ht="12.75">
      <c r="B103" s="38">
        <f t="shared" si="3"/>
        <v>90</v>
      </c>
      <c r="C103" s="166"/>
      <c r="D103" s="166" t="s">
        <v>54</v>
      </c>
      <c r="E103" s="250" t="s">
        <v>27</v>
      </c>
      <c r="F103" s="37" t="s">
        <v>163</v>
      </c>
      <c r="G103" s="18"/>
      <c r="H103" s="257">
        <v>3000</v>
      </c>
      <c r="I103" s="257">
        <v>5175</v>
      </c>
      <c r="J103" s="803">
        <f t="shared" si="2"/>
        <v>172.5</v>
      </c>
    </row>
    <row r="104" spans="2:10" ht="12.75" customHeight="1">
      <c r="B104" s="38">
        <f t="shared" si="3"/>
        <v>91</v>
      </c>
      <c r="C104" s="166"/>
      <c r="D104" s="166" t="s">
        <v>54</v>
      </c>
      <c r="E104" s="250" t="s">
        <v>27</v>
      </c>
      <c r="F104" s="37" t="s">
        <v>73</v>
      </c>
      <c r="G104" s="18"/>
      <c r="H104" s="257">
        <v>7300</v>
      </c>
      <c r="I104" s="257">
        <v>6503</v>
      </c>
      <c r="J104" s="803">
        <f t="shared" si="2"/>
        <v>89.08219178082192</v>
      </c>
    </row>
    <row r="105" spans="2:10" ht="12.75" customHeight="1">
      <c r="B105" s="38">
        <f t="shared" si="3"/>
        <v>92</v>
      </c>
      <c r="C105" s="166"/>
      <c r="D105" s="166"/>
      <c r="E105" s="250"/>
      <c r="F105" s="37"/>
      <c r="G105" s="18"/>
      <c r="H105" s="257"/>
      <c r="I105" s="257"/>
      <c r="J105" s="803"/>
    </row>
    <row r="106" spans="2:10" ht="12.75" customHeight="1">
      <c r="B106" s="38">
        <f t="shared" si="3"/>
        <v>93</v>
      </c>
      <c r="C106" s="166"/>
      <c r="D106" s="166"/>
      <c r="E106" s="250"/>
      <c r="F106" s="71" t="s">
        <v>133</v>
      </c>
      <c r="G106" s="18"/>
      <c r="H106" s="258">
        <v>1400</v>
      </c>
      <c r="I106" s="258">
        <v>2291</v>
      </c>
      <c r="J106" s="803">
        <f t="shared" si="2"/>
        <v>163.64285714285714</v>
      </c>
    </row>
    <row r="107" spans="2:10" ht="12.75" customHeight="1">
      <c r="B107" s="38">
        <f t="shared" si="3"/>
        <v>94</v>
      </c>
      <c r="C107" s="166"/>
      <c r="D107" s="166"/>
      <c r="E107" s="250"/>
      <c r="F107" s="71" t="s">
        <v>405</v>
      </c>
      <c r="G107" s="18"/>
      <c r="H107" s="258">
        <v>2200</v>
      </c>
      <c r="I107" s="258">
        <v>1843</v>
      </c>
      <c r="J107" s="803">
        <f t="shared" si="2"/>
        <v>83.77272727272728</v>
      </c>
    </row>
    <row r="108" spans="2:10" ht="12.75" customHeight="1">
      <c r="B108" s="38">
        <f t="shared" si="3"/>
        <v>95</v>
      </c>
      <c r="C108" s="166"/>
      <c r="D108" s="166"/>
      <c r="E108" s="250"/>
      <c r="F108" s="71"/>
      <c r="G108" s="18"/>
      <c r="H108" s="258"/>
      <c r="I108" s="258"/>
      <c r="J108" s="803"/>
    </row>
    <row r="109" spans="2:10" ht="12.75" customHeight="1">
      <c r="B109" s="38">
        <f t="shared" si="3"/>
        <v>96</v>
      </c>
      <c r="C109" s="166"/>
      <c r="D109" s="166"/>
      <c r="E109" s="250"/>
      <c r="F109" s="71" t="s">
        <v>71</v>
      </c>
      <c r="G109" s="18"/>
      <c r="H109" s="258">
        <f>SUM(H110:H112)</f>
        <v>316000</v>
      </c>
      <c r="I109" s="258">
        <f>SUM(I110:I112)</f>
        <v>291251</v>
      </c>
      <c r="J109" s="803">
        <f t="shared" si="2"/>
        <v>92.16803797468354</v>
      </c>
    </row>
    <row r="110" spans="2:10" ht="13.5" customHeight="1">
      <c r="B110" s="38">
        <f t="shared" si="3"/>
        <v>97</v>
      </c>
      <c r="C110" s="166"/>
      <c r="D110" s="166" t="s">
        <v>54</v>
      </c>
      <c r="E110" s="250" t="s">
        <v>27</v>
      </c>
      <c r="F110" s="37" t="s">
        <v>162</v>
      </c>
      <c r="G110" s="18"/>
      <c r="H110" s="257">
        <v>33000</v>
      </c>
      <c r="I110" s="257">
        <v>16727</v>
      </c>
      <c r="J110" s="803">
        <f t="shared" si="2"/>
        <v>50.687878787878795</v>
      </c>
    </row>
    <row r="111" spans="2:10" ht="12.75">
      <c r="B111" s="38">
        <f t="shared" si="3"/>
        <v>98</v>
      </c>
      <c r="C111" s="166"/>
      <c r="D111" s="166" t="s">
        <v>54</v>
      </c>
      <c r="E111" s="250" t="s">
        <v>27</v>
      </c>
      <c r="F111" s="37" t="s">
        <v>161</v>
      </c>
      <c r="G111" s="18"/>
      <c r="H111" s="257">
        <v>128000</v>
      </c>
      <c r="I111" s="257">
        <v>129562</v>
      </c>
      <c r="J111" s="803">
        <f t="shared" si="2"/>
        <v>101.2203125</v>
      </c>
    </row>
    <row r="112" spans="2:10" ht="12.75">
      <c r="B112" s="38">
        <f t="shared" si="3"/>
        <v>99</v>
      </c>
      <c r="C112" s="166"/>
      <c r="D112" s="166" t="s">
        <v>54</v>
      </c>
      <c r="E112" s="250" t="s">
        <v>27</v>
      </c>
      <c r="F112" s="37" t="s">
        <v>200</v>
      </c>
      <c r="G112" s="18"/>
      <c r="H112" s="257">
        <v>155000</v>
      </c>
      <c r="I112" s="257">
        <v>144962</v>
      </c>
      <c r="J112" s="803">
        <f t="shared" si="2"/>
        <v>93.52387096774194</v>
      </c>
    </row>
    <row r="113" spans="2:10" ht="12.75">
      <c r="B113" s="38">
        <f t="shared" si="3"/>
        <v>100</v>
      </c>
      <c r="C113" s="166"/>
      <c r="D113" s="166"/>
      <c r="E113" s="250"/>
      <c r="F113" s="52"/>
      <c r="G113" s="18"/>
      <c r="H113" s="257"/>
      <c r="I113" s="257"/>
      <c r="J113" s="803"/>
    </row>
    <row r="114" spans="2:10" ht="12.75">
      <c r="B114" s="38">
        <f t="shared" si="3"/>
        <v>101</v>
      </c>
      <c r="C114" s="166"/>
      <c r="D114" s="250"/>
      <c r="E114" s="250"/>
      <c r="F114" s="71" t="s">
        <v>219</v>
      </c>
      <c r="G114" s="18"/>
      <c r="H114" s="258">
        <f>H115+H116</f>
        <v>128000</v>
      </c>
      <c r="I114" s="258">
        <f>SUM(I115:I117)</f>
        <v>120386</v>
      </c>
      <c r="J114" s="803">
        <f t="shared" si="2"/>
        <v>94.0515625</v>
      </c>
    </row>
    <row r="115" spans="2:10" ht="12.75" customHeight="1">
      <c r="B115" s="38">
        <f t="shared" si="3"/>
        <v>102</v>
      </c>
      <c r="C115" s="166"/>
      <c r="D115" s="2" t="s">
        <v>54</v>
      </c>
      <c r="E115" s="2" t="s">
        <v>27</v>
      </c>
      <c r="F115" s="37" t="s">
        <v>396</v>
      </c>
      <c r="G115" s="17"/>
      <c r="H115" s="257">
        <v>111000</v>
      </c>
      <c r="I115" s="257">
        <v>101498</v>
      </c>
      <c r="J115" s="803">
        <f t="shared" si="2"/>
        <v>91.43963963963964</v>
      </c>
    </row>
    <row r="116" spans="2:10" ht="13.5" customHeight="1">
      <c r="B116" s="38">
        <f t="shared" si="3"/>
        <v>103</v>
      </c>
      <c r="C116" s="166"/>
      <c r="D116" s="2" t="s">
        <v>54</v>
      </c>
      <c r="E116" s="2" t="s">
        <v>27</v>
      </c>
      <c r="F116" s="37" t="s">
        <v>397</v>
      </c>
      <c r="G116" s="17"/>
      <c r="H116" s="257">
        <v>17000</v>
      </c>
      <c r="I116" s="257">
        <v>14704</v>
      </c>
      <c r="J116" s="803">
        <f t="shared" si="2"/>
        <v>86.49411764705881</v>
      </c>
    </row>
    <row r="117" spans="2:10" ht="13.5" customHeight="1">
      <c r="B117" s="38">
        <f t="shared" si="3"/>
        <v>104</v>
      </c>
      <c r="C117" s="166"/>
      <c r="D117" s="2" t="s">
        <v>54</v>
      </c>
      <c r="E117" s="2" t="s">
        <v>27</v>
      </c>
      <c r="F117" s="37" t="s">
        <v>732</v>
      </c>
      <c r="G117" s="17"/>
      <c r="H117" s="257">
        <v>0</v>
      </c>
      <c r="I117" s="257">
        <v>4184</v>
      </c>
      <c r="J117" s="803"/>
    </row>
    <row r="118" spans="2:10" ht="13.5" customHeight="1">
      <c r="B118" s="38">
        <f t="shared" si="3"/>
        <v>105</v>
      </c>
      <c r="C118" s="166"/>
      <c r="D118" s="2"/>
      <c r="E118" s="2"/>
      <c r="F118" s="37"/>
      <c r="G118" s="17"/>
      <c r="H118" s="257"/>
      <c r="I118" s="257"/>
      <c r="J118" s="803"/>
    </row>
    <row r="119" spans="2:10" ht="13.5" customHeight="1">
      <c r="B119" s="38">
        <f t="shared" si="3"/>
        <v>106</v>
      </c>
      <c r="C119" s="166"/>
      <c r="D119" s="2" t="s">
        <v>801</v>
      </c>
      <c r="E119" s="2"/>
      <c r="F119" s="37" t="s">
        <v>802</v>
      </c>
      <c r="G119" s="17"/>
      <c r="H119" s="257"/>
      <c r="I119" s="257">
        <v>66</v>
      </c>
      <c r="J119" s="803"/>
    </row>
    <row r="120" spans="2:10" ht="12.75">
      <c r="B120" s="38">
        <f t="shared" si="3"/>
        <v>107</v>
      </c>
      <c r="C120" s="166"/>
      <c r="D120" s="166" t="s">
        <v>42</v>
      </c>
      <c r="E120" s="250" t="s">
        <v>21</v>
      </c>
      <c r="F120" s="52" t="s">
        <v>74</v>
      </c>
      <c r="G120" s="18"/>
      <c r="H120" s="257">
        <v>1000</v>
      </c>
      <c r="I120" s="257">
        <v>1067</v>
      </c>
      <c r="J120" s="803">
        <f t="shared" si="2"/>
        <v>106.69999999999999</v>
      </c>
    </row>
    <row r="121" spans="2:10" ht="12.75">
      <c r="B121" s="38">
        <f t="shared" si="3"/>
        <v>108</v>
      </c>
      <c r="C121" s="166"/>
      <c r="D121" s="166" t="s">
        <v>62</v>
      </c>
      <c r="E121" s="250" t="s">
        <v>733</v>
      </c>
      <c r="F121" s="52" t="s">
        <v>734</v>
      </c>
      <c r="G121" s="18"/>
      <c r="H121" s="257">
        <v>0</v>
      </c>
      <c r="I121" s="257">
        <v>897</v>
      </c>
      <c r="J121" s="803"/>
    </row>
    <row r="122" spans="2:10" ht="12.75">
      <c r="B122" s="38">
        <f t="shared" si="3"/>
        <v>109</v>
      </c>
      <c r="C122" s="166"/>
      <c r="D122" s="166" t="s">
        <v>60</v>
      </c>
      <c r="E122" s="250" t="s">
        <v>35</v>
      </c>
      <c r="F122" s="52" t="s">
        <v>735</v>
      </c>
      <c r="G122" s="18"/>
      <c r="H122" s="257">
        <v>0</v>
      </c>
      <c r="I122" s="257">
        <v>3720</v>
      </c>
      <c r="J122" s="803"/>
    </row>
    <row r="123" spans="2:10" ht="13.5" thickBot="1">
      <c r="B123" s="951">
        <f t="shared" si="3"/>
        <v>110</v>
      </c>
      <c r="C123" s="460"/>
      <c r="D123" s="460" t="s">
        <v>736</v>
      </c>
      <c r="E123" s="952"/>
      <c r="F123" s="953" t="s">
        <v>737</v>
      </c>
      <c r="G123" s="954"/>
      <c r="H123" s="561">
        <v>0</v>
      </c>
      <c r="I123" s="561">
        <v>1672</v>
      </c>
      <c r="J123" s="808"/>
    </row>
    <row r="124" spans="2:10" ht="12.75">
      <c r="B124" s="955"/>
      <c r="C124" s="956"/>
      <c r="D124" s="956"/>
      <c r="E124" s="956"/>
      <c r="F124" s="957"/>
      <c r="G124" s="958"/>
      <c r="H124" s="959"/>
      <c r="I124" s="959"/>
      <c r="J124" s="960"/>
    </row>
    <row r="125" spans="2:10" ht="12.75">
      <c r="B125" s="920"/>
      <c r="C125" s="384"/>
      <c r="D125" s="384"/>
      <c r="E125" s="384"/>
      <c r="F125" s="953"/>
      <c r="G125" s="390"/>
      <c r="H125" s="168"/>
      <c r="I125" s="168"/>
      <c r="J125" s="923"/>
    </row>
    <row r="126" spans="2:10" ht="12.75">
      <c r="B126" s="920"/>
      <c r="C126" s="384"/>
      <c r="D126" s="384"/>
      <c r="E126" s="384"/>
      <c r="F126" s="953"/>
      <c r="G126" s="390"/>
      <c r="H126" s="168"/>
      <c r="I126" s="168"/>
      <c r="J126" s="923"/>
    </row>
    <row r="127" spans="2:10" ht="12.75">
      <c r="B127" s="920"/>
      <c r="C127" s="384"/>
      <c r="D127" s="384"/>
      <c r="E127" s="384"/>
      <c r="F127" s="953"/>
      <c r="G127" s="390"/>
      <c r="H127" s="168"/>
      <c r="I127" s="168"/>
      <c r="J127" s="923"/>
    </row>
    <row r="128" spans="2:10" ht="12.75">
      <c r="B128" s="920"/>
      <c r="C128" s="384"/>
      <c r="D128" s="384"/>
      <c r="E128" s="384"/>
      <c r="F128" s="953"/>
      <c r="G128" s="390"/>
      <c r="H128" s="168"/>
      <c r="I128" s="168"/>
      <c r="J128" s="923"/>
    </row>
    <row r="129" spans="2:10" ht="12.75">
      <c r="B129" s="920"/>
      <c r="C129" s="384"/>
      <c r="D129" s="384"/>
      <c r="E129" s="384"/>
      <c r="F129" s="953"/>
      <c r="G129" s="390"/>
      <c r="H129" s="168"/>
      <c r="I129" s="168"/>
      <c r="J129" s="923"/>
    </row>
    <row r="130" spans="2:10" ht="12.75">
      <c r="B130" s="920"/>
      <c r="C130" s="384"/>
      <c r="D130" s="384"/>
      <c r="E130" s="384"/>
      <c r="F130" s="953"/>
      <c r="G130" s="390"/>
      <c r="H130" s="168"/>
      <c r="I130" s="168"/>
      <c r="J130" s="923"/>
    </row>
    <row r="131" spans="2:10" ht="12.75">
      <c r="B131" s="920"/>
      <c r="C131" s="384"/>
      <c r="D131" s="384"/>
      <c r="E131" s="384"/>
      <c r="F131" s="953"/>
      <c r="G131" s="390"/>
      <c r="H131" s="168"/>
      <c r="I131" s="168"/>
      <c r="J131" s="923"/>
    </row>
    <row r="132" spans="2:10" ht="12.75">
      <c r="B132" s="920"/>
      <c r="C132" s="384"/>
      <c r="D132" s="384"/>
      <c r="E132" s="384"/>
      <c r="F132" s="953"/>
      <c r="G132" s="390"/>
      <c r="H132" s="168"/>
      <c r="I132" s="168"/>
      <c r="J132" s="923"/>
    </row>
    <row r="133" spans="2:10" ht="12.75">
      <c r="B133" s="920"/>
      <c r="C133" s="384"/>
      <c r="D133" s="384"/>
      <c r="E133" s="384"/>
      <c r="F133" s="953"/>
      <c r="G133" s="390"/>
      <c r="H133" s="168"/>
      <c r="I133" s="168"/>
      <c r="J133" s="923"/>
    </row>
    <row r="134" spans="2:10" ht="12.75">
      <c r="B134" s="920"/>
      <c r="C134" s="384"/>
      <c r="D134" s="384"/>
      <c r="E134" s="384"/>
      <c r="F134" s="953"/>
      <c r="G134" s="390"/>
      <c r="H134" s="168"/>
      <c r="I134" s="168"/>
      <c r="J134" s="923"/>
    </row>
    <row r="135" spans="2:10" ht="12.75">
      <c r="B135" s="920"/>
      <c r="C135" s="384"/>
      <c r="D135" s="384"/>
      <c r="E135" s="384"/>
      <c r="F135" s="953"/>
      <c r="G135" s="390"/>
      <c r="H135" s="168"/>
      <c r="I135" s="168"/>
      <c r="J135" s="923"/>
    </row>
    <row r="136" spans="2:10" ht="12.75">
      <c r="B136" s="920"/>
      <c r="C136" s="384"/>
      <c r="D136" s="384"/>
      <c r="E136" s="384"/>
      <c r="F136" s="953"/>
      <c r="G136" s="390"/>
      <c r="H136" s="168"/>
      <c r="I136" s="168"/>
      <c r="J136" s="923"/>
    </row>
    <row r="137" spans="2:10" ht="12.75">
      <c r="B137" s="920"/>
      <c r="C137" s="384"/>
      <c r="D137" s="384"/>
      <c r="E137" s="384"/>
      <c r="F137" s="953"/>
      <c r="G137" s="390"/>
      <c r="H137" s="168"/>
      <c r="I137" s="168"/>
      <c r="J137" s="923"/>
    </row>
    <row r="138" spans="2:10" ht="12.75">
      <c r="B138" s="920"/>
      <c r="C138" s="384"/>
      <c r="D138" s="384"/>
      <c r="E138" s="384"/>
      <c r="F138" s="953"/>
      <c r="G138" s="390"/>
      <c r="H138" s="168"/>
      <c r="I138" s="168"/>
      <c r="J138" s="923"/>
    </row>
    <row r="139" spans="2:10" ht="12.75">
      <c r="B139" s="920"/>
      <c r="C139" s="384"/>
      <c r="D139" s="384"/>
      <c r="E139" s="384"/>
      <c r="F139" s="953"/>
      <c r="G139" s="390"/>
      <c r="H139" s="168"/>
      <c r="I139" s="168"/>
      <c r="J139" s="923"/>
    </row>
    <row r="140" spans="2:10" ht="12.75">
      <c r="B140" s="920"/>
      <c r="C140" s="384"/>
      <c r="D140" s="384"/>
      <c r="E140" s="384"/>
      <c r="F140" s="953"/>
      <c r="G140" s="390"/>
      <c r="H140" s="168"/>
      <c r="I140" s="168"/>
      <c r="J140" s="923"/>
    </row>
    <row r="141" spans="2:10" ht="13.5" thickBot="1">
      <c r="B141" s="961"/>
      <c r="C141" s="962"/>
      <c r="D141" s="962"/>
      <c r="E141" s="962"/>
      <c r="F141" s="963"/>
      <c r="G141" s="964"/>
      <c r="H141" s="180"/>
      <c r="I141" s="180"/>
      <c r="J141" s="965"/>
    </row>
    <row r="142" spans="2:10" ht="12.75">
      <c r="B142" s="1007" t="s">
        <v>10</v>
      </c>
      <c r="C142" s="1008"/>
      <c r="D142" s="1008"/>
      <c r="E142" s="1008"/>
      <c r="F142" s="1008"/>
      <c r="G142" s="1009"/>
      <c r="H142" s="1016" t="s">
        <v>664</v>
      </c>
      <c r="I142" s="1019" t="s">
        <v>772</v>
      </c>
      <c r="J142" s="1013" t="s">
        <v>773</v>
      </c>
    </row>
    <row r="143" spans="2:10" ht="12.75">
      <c r="B143" s="1010"/>
      <c r="C143" s="1011"/>
      <c r="D143" s="1011"/>
      <c r="E143" s="1011"/>
      <c r="F143" s="1011"/>
      <c r="G143" s="1012"/>
      <c r="H143" s="1017"/>
      <c r="I143" s="1020"/>
      <c r="J143" s="1014"/>
    </row>
    <row r="144" spans="2:10" ht="12.75">
      <c r="B144" s="87"/>
      <c r="C144" s="1005" t="s">
        <v>11</v>
      </c>
      <c r="D144" s="88" t="s">
        <v>12</v>
      </c>
      <c r="E144" s="88" t="s">
        <v>13</v>
      </c>
      <c r="F144" s="89"/>
      <c r="G144" s="90"/>
      <c r="H144" s="1017"/>
      <c r="I144" s="1020"/>
      <c r="J144" s="1014"/>
    </row>
    <row r="145" spans="2:10" ht="13.5" thickBot="1">
      <c r="B145" s="91"/>
      <c r="C145" s="1006"/>
      <c r="D145" s="93"/>
      <c r="E145" s="92" t="s">
        <v>14</v>
      </c>
      <c r="F145" s="94" t="s">
        <v>15</v>
      </c>
      <c r="G145" s="95"/>
      <c r="H145" s="1018"/>
      <c r="I145" s="1021"/>
      <c r="J145" s="1015"/>
    </row>
    <row r="146" spans="2:10" ht="13.5" thickTop="1">
      <c r="B146" s="60">
        <f>B123+1</f>
        <v>111</v>
      </c>
      <c r="C146" s="6"/>
      <c r="D146" s="57"/>
      <c r="E146" s="72"/>
      <c r="F146" s="139" t="s">
        <v>75</v>
      </c>
      <c r="G146" s="140"/>
      <c r="H146" s="260">
        <f>H151+H154+H174+H148</f>
        <v>188000</v>
      </c>
      <c r="I146" s="260">
        <f>I148+I151+I154+I174+I176</f>
        <v>148993</v>
      </c>
      <c r="J146" s="803">
        <f t="shared" si="2"/>
        <v>79.25159574468084</v>
      </c>
    </row>
    <row r="147" spans="2:10" ht="1.5" customHeight="1">
      <c r="B147" s="60">
        <f t="shared" si="3"/>
        <v>112</v>
      </c>
      <c r="C147" s="166"/>
      <c r="D147" s="166"/>
      <c r="E147" s="250"/>
      <c r="F147" s="52"/>
      <c r="G147" s="18"/>
      <c r="H147" s="257"/>
      <c r="I147" s="257"/>
      <c r="J147" s="803" t="e">
        <f t="shared" si="2"/>
        <v>#DIV/0!</v>
      </c>
    </row>
    <row r="148" spans="1:10" s="200" customFormat="1" ht="12.75">
      <c r="A148" s="370"/>
      <c r="B148" s="60">
        <f t="shared" si="3"/>
        <v>113</v>
      </c>
      <c r="C148" s="188"/>
      <c r="D148" s="188"/>
      <c r="E148" s="51"/>
      <c r="F148" s="280" t="s">
        <v>561</v>
      </c>
      <c r="G148" s="201"/>
      <c r="H148" s="258">
        <f>H149</f>
        <v>450</v>
      </c>
      <c r="I148" s="258">
        <f>I149</f>
        <v>995</v>
      </c>
      <c r="J148" s="803">
        <f t="shared" si="2"/>
        <v>221.11111111111111</v>
      </c>
    </row>
    <row r="149" spans="2:10" ht="12.75">
      <c r="B149" s="60">
        <f t="shared" si="3"/>
        <v>114</v>
      </c>
      <c r="C149" s="166" t="s">
        <v>47</v>
      </c>
      <c r="D149" s="166" t="s">
        <v>54</v>
      </c>
      <c r="E149" s="250" t="s">
        <v>29</v>
      </c>
      <c r="F149" s="52" t="s">
        <v>299</v>
      </c>
      <c r="G149" s="18"/>
      <c r="H149" s="467">
        <v>450</v>
      </c>
      <c r="I149" s="467">
        <v>995</v>
      </c>
      <c r="J149" s="803">
        <f t="shared" si="2"/>
        <v>221.11111111111111</v>
      </c>
    </row>
    <row r="150" spans="2:10" ht="12.75">
      <c r="B150" s="60">
        <f t="shared" si="3"/>
        <v>115</v>
      </c>
      <c r="C150" s="166"/>
      <c r="D150" s="166"/>
      <c r="E150" s="250"/>
      <c r="F150" s="52"/>
      <c r="G150" s="18"/>
      <c r="H150" s="259"/>
      <c r="I150" s="259"/>
      <c r="J150" s="785"/>
    </row>
    <row r="151" spans="2:10" ht="12.75">
      <c r="B151" s="60">
        <f t="shared" si="3"/>
        <v>116</v>
      </c>
      <c r="C151" s="6" t="s">
        <v>40</v>
      </c>
      <c r="D151" s="6"/>
      <c r="E151" s="8"/>
      <c r="F151" s="41" t="s">
        <v>41</v>
      </c>
      <c r="G151" s="74"/>
      <c r="H151" s="261">
        <f>H152</f>
        <v>4800</v>
      </c>
      <c r="I151" s="261">
        <f>I152</f>
        <v>9978</v>
      </c>
      <c r="J151" s="785">
        <f t="shared" si="2"/>
        <v>207.875</v>
      </c>
    </row>
    <row r="152" spans="2:10" ht="14.25" customHeight="1">
      <c r="B152" s="60">
        <f t="shared" si="3"/>
        <v>117</v>
      </c>
      <c r="C152" s="50"/>
      <c r="D152" s="166" t="s">
        <v>42</v>
      </c>
      <c r="E152" s="9" t="s">
        <v>21</v>
      </c>
      <c r="F152" s="46" t="s">
        <v>80</v>
      </c>
      <c r="G152" s="74"/>
      <c r="H152" s="257">
        <f>800+4000</f>
        <v>4800</v>
      </c>
      <c r="I152" s="257">
        <v>9978</v>
      </c>
      <c r="J152" s="803">
        <f t="shared" si="2"/>
        <v>207.875</v>
      </c>
    </row>
    <row r="153" spans="2:10" ht="12.75" customHeight="1">
      <c r="B153" s="60">
        <f t="shared" si="3"/>
        <v>118</v>
      </c>
      <c r="C153" s="50"/>
      <c r="D153" s="166"/>
      <c r="E153" s="9"/>
      <c r="F153" s="46"/>
      <c r="G153" s="74"/>
      <c r="H153" s="257"/>
      <c r="I153" s="257"/>
      <c r="J153" s="803"/>
    </row>
    <row r="154" spans="2:10" ht="12.75">
      <c r="B154" s="60">
        <f t="shared" si="3"/>
        <v>119</v>
      </c>
      <c r="C154" s="6" t="s">
        <v>47</v>
      </c>
      <c r="D154" s="50"/>
      <c r="E154" s="51"/>
      <c r="F154" s="41" t="s">
        <v>48</v>
      </c>
      <c r="G154" s="74"/>
      <c r="H154" s="261">
        <f>H155+H172</f>
        <v>182730</v>
      </c>
      <c r="I154" s="261">
        <f>I155+I172</f>
        <v>132187</v>
      </c>
      <c r="J154" s="785">
        <f t="shared" si="2"/>
        <v>72.34006457615061</v>
      </c>
    </row>
    <row r="155" spans="2:10" ht="14.25" customHeight="1">
      <c r="B155" s="60">
        <f t="shared" si="3"/>
        <v>120</v>
      </c>
      <c r="C155" s="50"/>
      <c r="D155" s="250" t="s">
        <v>54</v>
      </c>
      <c r="E155" s="250" t="s">
        <v>29</v>
      </c>
      <c r="F155" s="46" t="s">
        <v>81</v>
      </c>
      <c r="G155" s="74"/>
      <c r="H155" s="257">
        <f>SUM(H156:H171)</f>
        <v>182230</v>
      </c>
      <c r="I155" s="257">
        <f>SUM(I156:I171)</f>
        <v>131770</v>
      </c>
      <c r="J155" s="803">
        <f t="shared" si="2"/>
        <v>72.30971848762553</v>
      </c>
    </row>
    <row r="156" spans="2:10" ht="14.25" customHeight="1">
      <c r="B156" s="60">
        <f t="shared" si="3"/>
        <v>121</v>
      </c>
      <c r="C156" s="50"/>
      <c r="D156" s="250"/>
      <c r="E156" s="250"/>
      <c r="F156" s="46"/>
      <c r="G156" s="324" t="s">
        <v>411</v>
      </c>
      <c r="H156" s="257">
        <v>8280</v>
      </c>
      <c r="I156" s="257">
        <v>6463</v>
      </c>
      <c r="J156" s="803">
        <f t="shared" si="2"/>
        <v>78.05555555555556</v>
      </c>
    </row>
    <row r="157" spans="2:10" ht="14.25" customHeight="1">
      <c r="B157" s="60">
        <f t="shared" si="3"/>
        <v>122</v>
      </c>
      <c r="C157" s="50"/>
      <c r="D157" s="250"/>
      <c r="E157" s="250"/>
      <c r="F157" s="46"/>
      <c r="G157" s="324" t="s">
        <v>412</v>
      </c>
      <c r="H157" s="257">
        <f>12040</f>
        <v>12040</v>
      </c>
      <c r="I157" s="257">
        <v>9272</v>
      </c>
      <c r="J157" s="803">
        <f t="shared" si="2"/>
        <v>77.00996677740864</v>
      </c>
    </row>
    <row r="158" spans="2:10" ht="14.25" customHeight="1">
      <c r="B158" s="60">
        <f t="shared" si="3"/>
        <v>123</v>
      </c>
      <c r="C158" s="50"/>
      <c r="D158" s="250"/>
      <c r="E158" s="250"/>
      <c r="F158" s="46"/>
      <c r="G158" s="324" t="s">
        <v>413</v>
      </c>
      <c r="H158" s="257">
        <v>8280</v>
      </c>
      <c r="I158" s="257">
        <v>5791</v>
      </c>
      <c r="J158" s="803">
        <f t="shared" si="2"/>
        <v>69.93961352657004</v>
      </c>
    </row>
    <row r="159" spans="2:10" ht="14.25" customHeight="1">
      <c r="B159" s="60">
        <f t="shared" si="3"/>
        <v>124</v>
      </c>
      <c r="C159" s="50"/>
      <c r="D159" s="250"/>
      <c r="E159" s="250"/>
      <c r="F159" s="46"/>
      <c r="G159" s="324" t="s">
        <v>414</v>
      </c>
      <c r="H159" s="257">
        <v>11080</v>
      </c>
      <c r="I159" s="257">
        <v>7933</v>
      </c>
      <c r="J159" s="803">
        <f t="shared" si="2"/>
        <v>71.59747292418773</v>
      </c>
    </row>
    <row r="160" spans="2:10" ht="14.25" customHeight="1">
      <c r="B160" s="60">
        <f t="shared" si="3"/>
        <v>125</v>
      </c>
      <c r="C160" s="50"/>
      <c r="D160" s="250"/>
      <c r="E160" s="250"/>
      <c r="F160" s="46"/>
      <c r="G160" s="324" t="s">
        <v>415</v>
      </c>
      <c r="H160" s="257">
        <v>10060</v>
      </c>
      <c r="I160" s="257">
        <v>7263</v>
      </c>
      <c r="J160" s="803">
        <f t="shared" si="2"/>
        <v>72.19681908548708</v>
      </c>
    </row>
    <row r="161" spans="2:10" ht="14.25" customHeight="1">
      <c r="B161" s="60">
        <f t="shared" si="3"/>
        <v>126</v>
      </c>
      <c r="C161" s="50"/>
      <c r="D161" s="250"/>
      <c r="E161" s="250"/>
      <c r="F161" s="46"/>
      <c r="G161" s="324" t="s">
        <v>416</v>
      </c>
      <c r="H161" s="257">
        <v>15920</v>
      </c>
      <c r="I161" s="257">
        <v>11827</v>
      </c>
      <c r="J161" s="803">
        <f t="shared" si="2"/>
        <v>74.29020100502512</v>
      </c>
    </row>
    <row r="162" spans="2:10" ht="14.25" customHeight="1">
      <c r="B162" s="60">
        <f t="shared" si="3"/>
        <v>127</v>
      </c>
      <c r="C162" s="50"/>
      <c r="D162" s="250"/>
      <c r="E162" s="250"/>
      <c r="F162" s="46"/>
      <c r="G162" s="324" t="s">
        <v>417</v>
      </c>
      <c r="H162" s="257">
        <v>26240</v>
      </c>
      <c r="I162" s="257">
        <v>19058</v>
      </c>
      <c r="J162" s="803">
        <f t="shared" si="2"/>
        <v>72.6295731707317</v>
      </c>
    </row>
    <row r="163" spans="2:10" ht="14.25" customHeight="1">
      <c r="B163" s="60">
        <f t="shared" si="3"/>
        <v>128</v>
      </c>
      <c r="C163" s="50"/>
      <c r="D163" s="250"/>
      <c r="E163" s="250"/>
      <c r="F163" s="46"/>
      <c r="G163" s="324" t="s">
        <v>418</v>
      </c>
      <c r="H163" s="257">
        <v>16180</v>
      </c>
      <c r="I163" s="257">
        <v>10982</v>
      </c>
      <c r="J163" s="803">
        <f t="shared" si="2"/>
        <v>67.87391841779976</v>
      </c>
    </row>
    <row r="164" spans="2:10" ht="14.25" customHeight="1">
      <c r="B164" s="60">
        <f t="shared" si="3"/>
        <v>129</v>
      </c>
      <c r="C164" s="50"/>
      <c r="D164" s="250"/>
      <c r="E164" s="250"/>
      <c r="F164" s="46"/>
      <c r="G164" s="324" t="s">
        <v>419</v>
      </c>
      <c r="H164" s="257">
        <v>8280</v>
      </c>
      <c r="I164" s="257">
        <v>6447</v>
      </c>
      <c r="J164" s="803">
        <f aca="true" t="shared" si="4" ref="J164:J174">I164/H164*100</f>
        <v>77.86231884057972</v>
      </c>
    </row>
    <row r="165" spans="2:10" ht="14.25" customHeight="1">
      <c r="B165" s="60">
        <f aca="true" t="shared" si="5" ref="B165:B306">B164+1</f>
        <v>130</v>
      </c>
      <c r="C165" s="50"/>
      <c r="D165" s="250"/>
      <c r="E165" s="250"/>
      <c r="F165" s="46"/>
      <c r="G165" s="324" t="s">
        <v>420</v>
      </c>
      <c r="H165" s="257">
        <v>13250</v>
      </c>
      <c r="I165" s="257">
        <v>11062</v>
      </c>
      <c r="J165" s="803">
        <f t="shared" si="4"/>
        <v>83.4867924528302</v>
      </c>
    </row>
    <row r="166" spans="2:10" ht="14.25" customHeight="1">
      <c r="B166" s="60">
        <f t="shared" si="5"/>
        <v>131</v>
      </c>
      <c r="C166" s="50"/>
      <c r="D166" s="250"/>
      <c r="E166" s="250"/>
      <c r="F166" s="46"/>
      <c r="G166" s="324" t="s">
        <v>421</v>
      </c>
      <c r="H166" s="257">
        <v>13380</v>
      </c>
      <c r="I166" s="257">
        <v>9480</v>
      </c>
      <c r="J166" s="803">
        <f t="shared" si="4"/>
        <v>70.85201793721974</v>
      </c>
    </row>
    <row r="167" spans="2:10" ht="14.25" customHeight="1">
      <c r="B167" s="60">
        <f t="shared" si="5"/>
        <v>132</v>
      </c>
      <c r="C167" s="50"/>
      <c r="D167" s="250"/>
      <c r="E167" s="250"/>
      <c r="F167" s="46"/>
      <c r="G167" s="324" t="s">
        <v>422</v>
      </c>
      <c r="H167" s="257">
        <v>11590</v>
      </c>
      <c r="I167" s="257">
        <v>6958</v>
      </c>
      <c r="J167" s="803">
        <f t="shared" si="4"/>
        <v>60.03451251078516</v>
      </c>
    </row>
    <row r="168" spans="2:10" ht="14.25" customHeight="1">
      <c r="B168" s="60">
        <f t="shared" si="5"/>
        <v>133</v>
      </c>
      <c r="C168" s="50"/>
      <c r="D168" s="250"/>
      <c r="E168" s="250"/>
      <c r="F168" s="46"/>
      <c r="G168" s="324" t="s">
        <v>423</v>
      </c>
      <c r="H168" s="257">
        <v>5610</v>
      </c>
      <c r="I168" s="257">
        <v>3960</v>
      </c>
      <c r="J168" s="803">
        <f t="shared" si="4"/>
        <v>70.58823529411765</v>
      </c>
    </row>
    <row r="169" spans="2:10" ht="14.25" customHeight="1">
      <c r="B169" s="60">
        <f t="shared" si="5"/>
        <v>134</v>
      </c>
      <c r="C169" s="50"/>
      <c r="D169" s="250"/>
      <c r="E169" s="250"/>
      <c r="F169" s="46"/>
      <c r="G169" s="324" t="s">
        <v>424</v>
      </c>
      <c r="H169" s="257">
        <v>6630</v>
      </c>
      <c r="I169" s="257">
        <v>4519</v>
      </c>
      <c r="J169" s="803">
        <f t="shared" si="4"/>
        <v>68.15987933634993</v>
      </c>
    </row>
    <row r="170" spans="2:10" ht="14.25" customHeight="1">
      <c r="B170" s="60">
        <f t="shared" si="5"/>
        <v>135</v>
      </c>
      <c r="C170" s="50"/>
      <c r="D170" s="250"/>
      <c r="E170" s="250"/>
      <c r="F170" s="46"/>
      <c r="G170" s="324" t="s">
        <v>425</v>
      </c>
      <c r="H170" s="257">
        <v>4710</v>
      </c>
      <c r="I170" s="257">
        <v>3305</v>
      </c>
      <c r="J170" s="803">
        <f t="shared" si="4"/>
        <v>70.16985138004246</v>
      </c>
    </row>
    <row r="171" spans="2:10" ht="14.25" customHeight="1">
      <c r="B171" s="60">
        <f t="shared" si="5"/>
        <v>136</v>
      </c>
      <c r="C171" s="50"/>
      <c r="D171" s="250"/>
      <c r="E171" s="250"/>
      <c r="F171" s="46"/>
      <c r="G171" s="324" t="s">
        <v>426</v>
      </c>
      <c r="H171" s="257">
        <v>10700</v>
      </c>
      <c r="I171" s="257">
        <v>7450</v>
      </c>
      <c r="J171" s="803">
        <f t="shared" si="4"/>
        <v>69.62616822429906</v>
      </c>
    </row>
    <row r="172" spans="2:10" ht="12.75">
      <c r="B172" s="60">
        <f t="shared" si="5"/>
        <v>137</v>
      </c>
      <c r="C172" s="55"/>
      <c r="D172" s="924" t="s">
        <v>54</v>
      </c>
      <c r="E172" s="924" t="s">
        <v>29</v>
      </c>
      <c r="F172" s="54" t="s">
        <v>130</v>
      </c>
      <c r="G172" s="80"/>
      <c r="H172" s="263">
        <v>500</v>
      </c>
      <c r="I172" s="263">
        <v>417</v>
      </c>
      <c r="J172" s="804">
        <f t="shared" si="4"/>
        <v>83.39999999999999</v>
      </c>
    </row>
    <row r="173" spans="2:10" ht="12.75">
      <c r="B173" s="60"/>
      <c r="C173" s="55"/>
      <c r="D173" s="924"/>
      <c r="E173" s="924"/>
      <c r="F173" s="54"/>
      <c r="G173" s="80"/>
      <c r="H173" s="263"/>
      <c r="I173" s="263"/>
      <c r="J173" s="804"/>
    </row>
    <row r="174" spans="2:10" ht="12.75" customHeight="1">
      <c r="B174" s="60">
        <f>B172+1</f>
        <v>138</v>
      </c>
      <c r="C174" s="57" t="s">
        <v>58</v>
      </c>
      <c r="D174" s="924" t="s">
        <v>126</v>
      </c>
      <c r="E174" s="426"/>
      <c r="F174" s="58" t="s">
        <v>59</v>
      </c>
      <c r="G174" s="80"/>
      <c r="H174" s="925">
        <v>20</v>
      </c>
      <c r="I174" s="925">
        <v>28</v>
      </c>
      <c r="J174" s="748">
        <f t="shared" si="4"/>
        <v>140</v>
      </c>
    </row>
    <row r="175" spans="2:10" ht="12.75" customHeight="1">
      <c r="B175" s="60"/>
      <c r="C175" s="57"/>
      <c r="D175" s="924"/>
      <c r="E175" s="426"/>
      <c r="F175" s="58"/>
      <c r="G175" s="80"/>
      <c r="H175" s="925"/>
      <c r="I175" s="925"/>
      <c r="J175" s="748"/>
    </row>
    <row r="176" spans="2:10" ht="12.75" customHeight="1">
      <c r="B176" s="60"/>
      <c r="C176" s="57" t="s">
        <v>60</v>
      </c>
      <c r="D176" s="56"/>
      <c r="E176" s="426"/>
      <c r="F176" s="58" t="s">
        <v>61</v>
      </c>
      <c r="G176" s="80"/>
      <c r="H176" s="263"/>
      <c r="I176" s="925">
        <f>I177</f>
        <v>5805</v>
      </c>
      <c r="J176" s="804"/>
    </row>
    <row r="177" spans="2:10" ht="12.75" customHeight="1">
      <c r="B177" s="60"/>
      <c r="C177" s="57"/>
      <c r="D177" s="932" t="s">
        <v>62</v>
      </c>
      <c r="E177" s="933" t="s">
        <v>35</v>
      </c>
      <c r="F177" s="934" t="s">
        <v>795</v>
      </c>
      <c r="G177" s="935"/>
      <c r="H177" s="936"/>
      <c r="I177" s="938">
        <f>5818-13</f>
        <v>5805</v>
      </c>
      <c r="J177" s="937"/>
    </row>
    <row r="178" spans="2:10" ht="12.75" customHeight="1" thickBot="1">
      <c r="B178" s="82"/>
      <c r="C178" s="284"/>
      <c r="D178" s="929"/>
      <c r="E178" s="930"/>
      <c r="F178" s="927"/>
      <c r="G178" s="931"/>
      <c r="H178" s="928"/>
      <c r="I178" s="928"/>
      <c r="J178" s="926"/>
    </row>
    <row r="179" spans="2:10" ht="12.75" customHeight="1">
      <c r="B179" s="920"/>
      <c r="C179" s="387"/>
      <c r="D179" s="384"/>
      <c r="E179" s="389"/>
      <c r="F179" s="921"/>
      <c r="G179" s="391"/>
      <c r="H179" s="922"/>
      <c r="I179" s="922"/>
      <c r="J179" s="923"/>
    </row>
    <row r="180" spans="1:10" s="22" customFormat="1" ht="12.75" customHeight="1">
      <c r="A180" s="371"/>
      <c r="B180" s="382"/>
      <c r="C180" s="387"/>
      <c r="D180" s="388"/>
      <c r="E180" s="389"/>
      <c r="F180" s="390"/>
      <c r="G180" s="391"/>
      <c r="H180" s="386"/>
      <c r="J180" s="584"/>
    </row>
    <row r="181" spans="1:10" s="22" customFormat="1" ht="12.75" customHeight="1">
      <c r="A181" s="371"/>
      <c r="B181" s="382"/>
      <c r="C181" s="387"/>
      <c r="D181" s="388"/>
      <c r="E181" s="389"/>
      <c r="F181" s="390"/>
      <c r="G181" s="391"/>
      <c r="H181" s="386"/>
      <c r="J181" s="584"/>
    </row>
    <row r="182" spans="1:10" s="22" customFormat="1" ht="12.75" customHeight="1">
      <c r="A182" s="371"/>
      <c r="B182" s="382"/>
      <c r="C182" s="387"/>
      <c r="D182" s="388"/>
      <c r="E182" s="389"/>
      <c r="F182" s="390"/>
      <c r="G182" s="391"/>
      <c r="H182" s="386"/>
      <c r="J182" s="584"/>
    </row>
    <row r="183" spans="1:10" s="22" customFormat="1" ht="12.75" customHeight="1">
      <c r="A183" s="371"/>
      <c r="B183" s="382"/>
      <c r="C183" s="387"/>
      <c r="D183" s="388"/>
      <c r="E183" s="389"/>
      <c r="F183" s="390"/>
      <c r="G183" s="391"/>
      <c r="H183" s="386"/>
      <c r="J183" s="584"/>
    </row>
    <row r="184" spans="1:10" s="22" customFormat="1" ht="12.75" customHeight="1">
      <c r="A184" s="371"/>
      <c r="B184" s="382"/>
      <c r="C184" s="387"/>
      <c r="D184" s="388"/>
      <c r="E184" s="389"/>
      <c r="F184" s="390"/>
      <c r="G184" s="391"/>
      <c r="H184" s="386"/>
      <c r="J184" s="584"/>
    </row>
    <row r="185" spans="1:10" s="22" customFormat="1" ht="12.75" customHeight="1">
      <c r="A185" s="371"/>
      <c r="B185" s="382"/>
      <c r="C185" s="387"/>
      <c r="D185" s="388"/>
      <c r="E185" s="389"/>
      <c r="F185" s="390"/>
      <c r="G185" s="391"/>
      <c r="H185" s="386"/>
      <c r="J185" s="584"/>
    </row>
    <row r="186" spans="1:10" s="22" customFormat="1" ht="12.75" customHeight="1">
      <c r="A186" s="371"/>
      <c r="B186" s="382"/>
      <c r="C186" s="387"/>
      <c r="D186" s="388"/>
      <c r="E186" s="389"/>
      <c r="F186" s="390"/>
      <c r="G186" s="391"/>
      <c r="H186" s="386"/>
      <c r="J186" s="584"/>
    </row>
    <row r="187" spans="1:10" s="22" customFormat="1" ht="12.75" customHeight="1">
      <c r="A187" s="371"/>
      <c r="B187" s="382"/>
      <c r="C187" s="387"/>
      <c r="D187" s="388"/>
      <c r="E187" s="389"/>
      <c r="F187" s="390"/>
      <c r="G187" s="391"/>
      <c r="H187" s="386"/>
      <c r="J187" s="584"/>
    </row>
    <row r="188" spans="1:10" s="22" customFormat="1" ht="12.75" customHeight="1">
      <c r="A188" s="371"/>
      <c r="B188" s="382"/>
      <c r="C188" s="387"/>
      <c r="D188" s="388"/>
      <c r="E188" s="389"/>
      <c r="F188" s="390"/>
      <c r="G188" s="391"/>
      <c r="H188" s="386"/>
      <c r="J188" s="584"/>
    </row>
    <row r="189" spans="1:10" s="22" customFormat="1" ht="12.75" customHeight="1">
      <c r="A189" s="371"/>
      <c r="B189" s="382"/>
      <c r="C189" s="387"/>
      <c r="D189" s="388"/>
      <c r="E189" s="389"/>
      <c r="F189" s="390"/>
      <c r="G189" s="391"/>
      <c r="H189" s="386"/>
      <c r="J189" s="584"/>
    </row>
    <row r="190" spans="1:10" s="22" customFormat="1" ht="12.75" customHeight="1">
      <c r="A190" s="371"/>
      <c r="B190" s="382"/>
      <c r="C190" s="387"/>
      <c r="D190" s="388"/>
      <c r="E190" s="389"/>
      <c r="F190" s="390"/>
      <c r="G190" s="391"/>
      <c r="H190" s="386"/>
      <c r="J190" s="584"/>
    </row>
    <row r="191" spans="1:10" s="22" customFormat="1" ht="12.75" customHeight="1">
      <c r="A191" s="371"/>
      <c r="B191" s="382"/>
      <c r="C191" s="387"/>
      <c r="D191" s="388"/>
      <c r="E191" s="389"/>
      <c r="F191" s="390"/>
      <c r="G191" s="391"/>
      <c r="H191" s="386"/>
      <c r="J191" s="584"/>
    </row>
    <row r="192" spans="1:10" s="22" customFormat="1" ht="12.75" customHeight="1">
      <c r="A192" s="371"/>
      <c r="B192" s="382"/>
      <c r="C192" s="387"/>
      <c r="D192" s="388"/>
      <c r="E192" s="389"/>
      <c r="F192" s="390"/>
      <c r="G192" s="391"/>
      <c r="H192" s="386"/>
      <c r="J192" s="584"/>
    </row>
    <row r="193" spans="1:10" s="22" customFormat="1" ht="12.75" customHeight="1">
      <c r="A193" s="371"/>
      <c r="B193" s="382"/>
      <c r="C193" s="387"/>
      <c r="D193" s="388"/>
      <c r="E193" s="389"/>
      <c r="F193" s="390"/>
      <c r="G193" s="391"/>
      <c r="H193" s="386"/>
      <c r="J193" s="584"/>
    </row>
    <row r="194" spans="1:10" s="22" customFormat="1" ht="12.75" customHeight="1">
      <c r="A194" s="371"/>
      <c r="B194" s="382"/>
      <c r="C194" s="387"/>
      <c r="D194" s="388"/>
      <c r="E194" s="389"/>
      <c r="F194" s="390"/>
      <c r="G194" s="391"/>
      <c r="H194" s="386"/>
      <c r="J194" s="584"/>
    </row>
    <row r="195" spans="1:10" s="22" customFormat="1" ht="12.75" customHeight="1">
      <c r="A195" s="371"/>
      <c r="B195" s="382"/>
      <c r="C195" s="387"/>
      <c r="D195" s="388"/>
      <c r="E195" s="389"/>
      <c r="F195" s="390"/>
      <c r="G195" s="391"/>
      <c r="H195" s="386"/>
      <c r="J195" s="584"/>
    </row>
    <row r="196" spans="1:10" s="22" customFormat="1" ht="12.75" customHeight="1">
      <c r="A196" s="371"/>
      <c r="B196" s="382"/>
      <c r="C196" s="387"/>
      <c r="D196" s="388"/>
      <c r="E196" s="389"/>
      <c r="F196" s="390"/>
      <c r="G196" s="391"/>
      <c r="H196" s="386"/>
      <c r="J196" s="584"/>
    </row>
    <row r="197" spans="1:10" s="22" customFormat="1" ht="12.75" customHeight="1">
      <c r="A197" s="371"/>
      <c r="B197" s="382"/>
      <c r="C197" s="387"/>
      <c r="D197" s="388"/>
      <c r="E197" s="389"/>
      <c r="F197" s="390"/>
      <c r="G197" s="391"/>
      <c r="H197" s="386"/>
      <c r="J197" s="584"/>
    </row>
    <row r="198" spans="1:10" s="22" customFormat="1" ht="12.75" customHeight="1">
      <c r="A198" s="371"/>
      <c r="B198" s="382"/>
      <c r="C198" s="387"/>
      <c r="D198" s="388"/>
      <c r="E198" s="389"/>
      <c r="F198" s="390"/>
      <c r="G198" s="391"/>
      <c r="H198" s="386"/>
      <c r="J198" s="584"/>
    </row>
    <row r="199" spans="1:10" s="22" customFormat="1" ht="12.75" customHeight="1">
      <c r="A199" s="371"/>
      <c r="B199" s="382"/>
      <c r="C199" s="387"/>
      <c r="D199" s="388"/>
      <c r="E199" s="389"/>
      <c r="F199" s="390"/>
      <c r="G199" s="391"/>
      <c r="H199" s="386"/>
      <c r="J199" s="584"/>
    </row>
    <row r="200" spans="1:10" s="22" customFormat="1" ht="12.75" customHeight="1">
      <c r="A200" s="371"/>
      <c r="B200" s="382"/>
      <c r="C200" s="387"/>
      <c r="D200" s="388"/>
      <c r="E200" s="389"/>
      <c r="F200" s="390"/>
      <c r="G200" s="391"/>
      <c r="H200" s="386"/>
      <c r="J200" s="584"/>
    </row>
    <row r="201" spans="1:10" s="22" customFormat="1" ht="12.75" customHeight="1">
      <c r="A201" s="371"/>
      <c r="B201" s="382"/>
      <c r="C201" s="387"/>
      <c r="D201" s="388"/>
      <c r="E201" s="389"/>
      <c r="F201" s="390"/>
      <c r="G201" s="391"/>
      <c r="H201" s="386"/>
      <c r="J201" s="584"/>
    </row>
    <row r="202" spans="1:10" s="22" customFormat="1" ht="12.75" customHeight="1">
      <c r="A202" s="371"/>
      <c r="B202" s="382"/>
      <c r="C202" s="387"/>
      <c r="D202" s="388"/>
      <c r="E202" s="389"/>
      <c r="F202" s="390"/>
      <c r="G202" s="391"/>
      <c r="H202" s="386"/>
      <c r="J202" s="584"/>
    </row>
    <row r="203" spans="1:10" s="22" customFormat="1" ht="12.75" customHeight="1">
      <c r="A203" s="371"/>
      <c r="B203" s="382"/>
      <c r="C203" s="387"/>
      <c r="D203" s="388"/>
      <c r="E203" s="389"/>
      <c r="F203" s="390"/>
      <c r="G203" s="391"/>
      <c r="H203" s="386"/>
      <c r="J203" s="584"/>
    </row>
    <row r="204" spans="1:10" s="22" customFormat="1" ht="12.75" customHeight="1">
      <c r="A204" s="371"/>
      <c r="B204" s="382"/>
      <c r="C204" s="387"/>
      <c r="D204" s="388"/>
      <c r="E204" s="389"/>
      <c r="F204" s="390"/>
      <c r="G204" s="391"/>
      <c r="H204" s="386"/>
      <c r="J204" s="584"/>
    </row>
    <row r="205" spans="1:10" s="22" customFormat="1" ht="12.75" customHeight="1">
      <c r="A205" s="371"/>
      <c r="B205" s="382"/>
      <c r="C205" s="387"/>
      <c r="D205" s="388"/>
      <c r="E205" s="389"/>
      <c r="F205" s="390"/>
      <c r="G205" s="391"/>
      <c r="H205" s="386"/>
      <c r="J205" s="584"/>
    </row>
    <row r="206" spans="1:10" s="22" customFormat="1" ht="12.75" customHeight="1">
      <c r="A206" s="371"/>
      <c r="B206" s="382"/>
      <c r="C206" s="387"/>
      <c r="D206" s="388"/>
      <c r="E206" s="389"/>
      <c r="F206" s="390"/>
      <c r="G206" s="391"/>
      <c r="H206" s="386"/>
      <c r="J206" s="584"/>
    </row>
    <row r="207" spans="1:10" s="22" customFormat="1" ht="12.75" customHeight="1">
      <c r="A207" s="371"/>
      <c r="B207" s="382"/>
      <c r="C207" s="387"/>
      <c r="D207" s="388"/>
      <c r="E207" s="389"/>
      <c r="F207" s="390"/>
      <c r="G207" s="391"/>
      <c r="H207" s="386"/>
      <c r="J207" s="584"/>
    </row>
    <row r="208" spans="1:10" s="22" customFormat="1" ht="12.75" customHeight="1">
      <c r="A208" s="371"/>
      <c r="B208" s="382"/>
      <c r="C208" s="387"/>
      <c r="D208" s="388"/>
      <c r="E208" s="389"/>
      <c r="F208" s="390"/>
      <c r="G208" s="391"/>
      <c r="H208" s="386"/>
      <c r="J208" s="584"/>
    </row>
    <row r="209" spans="1:10" s="22" customFormat="1" ht="12.75" customHeight="1">
      <c r="A209" s="371"/>
      <c r="B209" s="382"/>
      <c r="C209" s="387"/>
      <c r="D209" s="388"/>
      <c r="E209" s="389"/>
      <c r="F209" s="390"/>
      <c r="G209" s="391"/>
      <c r="H209" s="386"/>
      <c r="J209" s="584"/>
    </row>
    <row r="210" spans="1:10" s="22" customFormat="1" ht="12.75" customHeight="1">
      <c r="A210" s="371"/>
      <c r="B210" s="382"/>
      <c r="C210" s="387"/>
      <c r="D210" s="388"/>
      <c r="E210" s="389"/>
      <c r="F210" s="390"/>
      <c r="G210" s="391"/>
      <c r="H210" s="386"/>
      <c r="J210" s="584"/>
    </row>
    <row r="211" spans="1:10" s="22" customFormat="1" ht="12.75" customHeight="1">
      <c r="A211" s="371"/>
      <c r="B211" s="382"/>
      <c r="C211" s="387"/>
      <c r="D211" s="388"/>
      <c r="E211" s="389"/>
      <c r="F211" s="390"/>
      <c r="G211" s="391"/>
      <c r="H211" s="386"/>
      <c r="J211" s="584"/>
    </row>
    <row r="212" spans="1:10" s="22" customFormat="1" ht="12.75" customHeight="1">
      <c r="A212" s="371"/>
      <c r="B212" s="382"/>
      <c r="C212" s="387"/>
      <c r="D212" s="388"/>
      <c r="E212" s="389"/>
      <c r="F212" s="390"/>
      <c r="G212" s="391"/>
      <c r="H212" s="386"/>
      <c r="J212" s="584"/>
    </row>
    <row r="213" spans="1:10" s="22" customFormat="1" ht="12.75" customHeight="1" thickBot="1">
      <c r="A213" s="371"/>
      <c r="B213" s="382"/>
      <c r="C213" s="387"/>
      <c r="D213" s="388"/>
      <c r="E213" s="389"/>
      <c r="F213" s="390"/>
      <c r="G213" s="391"/>
      <c r="H213" s="386"/>
      <c r="J213" s="584"/>
    </row>
    <row r="214" spans="2:10" ht="12.75" customHeight="1">
      <c r="B214" s="1007" t="s">
        <v>10</v>
      </c>
      <c r="C214" s="1008"/>
      <c r="D214" s="1008"/>
      <c r="E214" s="1008"/>
      <c r="F214" s="1008"/>
      <c r="G214" s="1009"/>
      <c r="H214" s="1016" t="s">
        <v>664</v>
      </c>
      <c r="I214" s="1019" t="s">
        <v>772</v>
      </c>
      <c r="J214" s="1013" t="s">
        <v>773</v>
      </c>
    </row>
    <row r="215" spans="2:10" ht="12.75" customHeight="1">
      <c r="B215" s="1010"/>
      <c r="C215" s="1011"/>
      <c r="D215" s="1011"/>
      <c r="E215" s="1011"/>
      <c r="F215" s="1011"/>
      <c r="G215" s="1012"/>
      <c r="H215" s="1017"/>
      <c r="I215" s="1020"/>
      <c r="J215" s="1014"/>
    </row>
    <row r="216" spans="2:10" ht="12.75" customHeight="1">
      <c r="B216" s="87"/>
      <c r="C216" s="1005" t="s">
        <v>11</v>
      </c>
      <c r="D216" s="88" t="s">
        <v>12</v>
      </c>
      <c r="E216" s="88" t="s">
        <v>13</v>
      </c>
      <c r="F216" s="89"/>
      <c r="G216" s="90"/>
      <c r="H216" s="1017"/>
      <c r="I216" s="1020"/>
      <c r="J216" s="1014"/>
    </row>
    <row r="217" spans="2:10" ht="13.5" customHeight="1" thickBot="1">
      <c r="B217" s="91"/>
      <c r="C217" s="1006"/>
      <c r="D217" s="93"/>
      <c r="E217" s="92" t="s">
        <v>14</v>
      </c>
      <c r="F217" s="94" t="s">
        <v>15</v>
      </c>
      <c r="G217" s="95"/>
      <c r="H217" s="1018"/>
      <c r="I217" s="1021"/>
      <c r="J217" s="1015"/>
    </row>
    <row r="218" spans="2:10" ht="12.75" customHeight="1" thickTop="1">
      <c r="B218" s="38">
        <f>B174+1</f>
        <v>139</v>
      </c>
      <c r="C218" s="6"/>
      <c r="D218" s="12"/>
      <c r="E218" s="73"/>
      <c r="F218" s="281" t="s">
        <v>128</v>
      </c>
      <c r="G218" s="282"/>
      <c r="H218" s="283"/>
      <c r="I218" s="283"/>
      <c r="J218" s="808"/>
    </row>
    <row r="219" spans="2:10" ht="13.5" customHeight="1">
      <c r="B219" s="60">
        <f t="shared" si="5"/>
        <v>140</v>
      </c>
      <c r="C219" s="6"/>
      <c r="D219" s="12"/>
      <c r="E219" s="73"/>
      <c r="F219" s="139" t="s">
        <v>129</v>
      </c>
      <c r="G219" s="140"/>
      <c r="H219" s="262">
        <f>H220+H230</f>
        <v>194270</v>
      </c>
      <c r="I219" s="262">
        <f>I220+I230+I248+I256+I270</f>
        <v>287837</v>
      </c>
      <c r="J219" s="809">
        <f aca="true" t="shared" si="6" ref="J219:J247">I219/H219*100</f>
        <v>148.16338086168736</v>
      </c>
    </row>
    <row r="220" spans="2:10" ht="12.75">
      <c r="B220" s="60">
        <f t="shared" si="5"/>
        <v>141</v>
      </c>
      <c r="C220" s="6" t="s">
        <v>40</v>
      </c>
      <c r="D220" s="6"/>
      <c r="E220" s="8"/>
      <c r="F220" s="41" t="s">
        <v>41</v>
      </c>
      <c r="G220" s="74"/>
      <c r="H220" s="261">
        <f>H221</f>
        <v>81880</v>
      </c>
      <c r="I220" s="261">
        <f>I221</f>
        <v>91613</v>
      </c>
      <c r="J220" s="803">
        <f t="shared" si="6"/>
        <v>111.88690766976062</v>
      </c>
    </row>
    <row r="221" spans="2:10" ht="12.75">
      <c r="B221" s="60">
        <f t="shared" si="5"/>
        <v>142</v>
      </c>
      <c r="C221" s="50"/>
      <c r="D221" s="166" t="s">
        <v>42</v>
      </c>
      <c r="E221" s="47" t="s">
        <v>21</v>
      </c>
      <c r="F221" s="46" t="s">
        <v>80</v>
      </c>
      <c r="G221" s="74"/>
      <c r="H221" s="257">
        <f>SUM(H222:H229)</f>
        <v>81880</v>
      </c>
      <c r="I221" s="257">
        <f>SUM(I222:I229)</f>
        <v>91613</v>
      </c>
      <c r="J221" s="803">
        <f t="shared" si="6"/>
        <v>111.88690766976062</v>
      </c>
    </row>
    <row r="222" spans="2:10" ht="12.75">
      <c r="B222" s="60">
        <f t="shared" si="5"/>
        <v>143</v>
      </c>
      <c r="C222" s="50"/>
      <c r="D222" s="166"/>
      <c r="E222" s="47"/>
      <c r="F222" s="46"/>
      <c r="G222" s="324" t="s">
        <v>591</v>
      </c>
      <c r="H222" s="257">
        <v>40010</v>
      </c>
      <c r="I222" s="257">
        <v>41470</v>
      </c>
      <c r="J222" s="803">
        <f t="shared" si="6"/>
        <v>103.64908772806798</v>
      </c>
    </row>
    <row r="223" spans="2:10" ht="12.75">
      <c r="B223" s="60">
        <f t="shared" si="5"/>
        <v>144</v>
      </c>
      <c r="C223" s="50"/>
      <c r="D223" s="166"/>
      <c r="E223" s="47"/>
      <c r="F223" s="46"/>
      <c r="G223" s="324" t="s">
        <v>592</v>
      </c>
      <c r="H223" s="257">
        <v>2500</v>
      </c>
      <c r="I223" s="257">
        <v>1718</v>
      </c>
      <c r="J223" s="803">
        <f t="shared" si="6"/>
        <v>68.72</v>
      </c>
    </row>
    <row r="224" spans="2:10" ht="12.75">
      <c r="B224" s="60">
        <f t="shared" si="5"/>
        <v>145</v>
      </c>
      <c r="C224" s="50"/>
      <c r="D224" s="166"/>
      <c r="E224" s="47"/>
      <c r="F224" s="46"/>
      <c r="G224" s="324" t="s">
        <v>593</v>
      </c>
      <c r="H224" s="257">
        <v>3010</v>
      </c>
      <c r="I224" s="257">
        <v>2627</v>
      </c>
      <c r="J224" s="803">
        <f t="shared" si="6"/>
        <v>87.27574750830564</v>
      </c>
    </row>
    <row r="225" spans="2:10" ht="12.75">
      <c r="B225" s="60">
        <f t="shared" si="5"/>
        <v>146</v>
      </c>
      <c r="C225" s="50"/>
      <c r="D225" s="166"/>
      <c r="E225" s="47"/>
      <c r="F225" s="46"/>
      <c r="G225" s="324" t="s">
        <v>594</v>
      </c>
      <c r="H225" s="257">
        <v>3500</v>
      </c>
      <c r="I225" s="257">
        <v>2770</v>
      </c>
      <c r="J225" s="803">
        <f t="shared" si="6"/>
        <v>79.14285714285715</v>
      </c>
    </row>
    <row r="226" spans="2:10" ht="12.75">
      <c r="B226" s="60">
        <f t="shared" si="5"/>
        <v>147</v>
      </c>
      <c r="C226" s="50"/>
      <c r="D226" s="166"/>
      <c r="E226" s="47"/>
      <c r="F226" s="46"/>
      <c r="G226" s="324" t="s">
        <v>595</v>
      </c>
      <c r="H226" s="257">
        <v>2300</v>
      </c>
      <c r="I226" s="257">
        <v>1454</v>
      </c>
      <c r="J226" s="803">
        <f t="shared" si="6"/>
        <v>63.21739130434783</v>
      </c>
    </row>
    <row r="227" spans="2:10" ht="12.75">
      <c r="B227" s="60">
        <f t="shared" si="5"/>
        <v>148</v>
      </c>
      <c r="C227" s="50"/>
      <c r="D227" s="166"/>
      <c r="E227" s="47"/>
      <c r="F227" s="46"/>
      <c r="G227" s="324" t="s">
        <v>596</v>
      </c>
      <c r="H227" s="257">
        <f>5010</f>
        <v>5010</v>
      </c>
      <c r="I227" s="257">
        <v>6770</v>
      </c>
      <c r="J227" s="803">
        <f t="shared" si="6"/>
        <v>135.12974051896208</v>
      </c>
    </row>
    <row r="228" spans="2:10" ht="12.75">
      <c r="B228" s="60">
        <f t="shared" si="5"/>
        <v>149</v>
      </c>
      <c r="C228" s="50"/>
      <c r="D228" s="166"/>
      <c r="E228" s="47"/>
      <c r="F228" s="46"/>
      <c r="G228" s="324" t="s">
        <v>597</v>
      </c>
      <c r="H228" s="257">
        <v>7010</v>
      </c>
      <c r="I228" s="257">
        <v>18782</v>
      </c>
      <c r="J228" s="803">
        <f t="shared" si="6"/>
        <v>267.9315263908702</v>
      </c>
    </row>
    <row r="229" spans="2:10" ht="12.75">
      <c r="B229" s="60">
        <f t="shared" si="5"/>
        <v>150</v>
      </c>
      <c r="C229" s="50"/>
      <c r="D229" s="166"/>
      <c r="E229" s="47"/>
      <c r="F229" s="46"/>
      <c r="G229" s="324" t="s">
        <v>598</v>
      </c>
      <c r="H229" s="257">
        <v>18540</v>
      </c>
      <c r="I229" s="257">
        <v>16022</v>
      </c>
      <c r="J229" s="803">
        <f t="shared" si="6"/>
        <v>86.4185544768069</v>
      </c>
    </row>
    <row r="230" spans="2:10" ht="12.75">
      <c r="B230" s="60">
        <f t="shared" si="5"/>
        <v>151</v>
      </c>
      <c r="C230" s="6" t="s">
        <v>47</v>
      </c>
      <c r="D230" s="50"/>
      <c r="E230" s="51"/>
      <c r="F230" s="41" t="s">
        <v>48</v>
      </c>
      <c r="G230" s="74"/>
      <c r="H230" s="261">
        <f>H231+H240</f>
        <v>112390</v>
      </c>
      <c r="I230" s="261">
        <f>I231+I240</f>
        <v>173473</v>
      </c>
      <c r="J230" s="803">
        <f t="shared" si="6"/>
        <v>154.3491413826853</v>
      </c>
    </row>
    <row r="231" spans="2:10" ht="12.75">
      <c r="B231" s="60">
        <f t="shared" si="5"/>
        <v>152</v>
      </c>
      <c r="C231" s="50"/>
      <c r="D231" s="250" t="s">
        <v>54</v>
      </c>
      <c r="E231" s="250" t="s">
        <v>29</v>
      </c>
      <c r="F231" s="216" t="s">
        <v>82</v>
      </c>
      <c r="G231" s="74"/>
      <c r="H231" s="257">
        <f>SUM(H232:H239)</f>
        <v>60650</v>
      </c>
      <c r="I231" s="257">
        <f>SUM(I232:I239)</f>
        <v>81379</v>
      </c>
      <c r="J231" s="803">
        <f t="shared" si="6"/>
        <v>134.17807089859852</v>
      </c>
    </row>
    <row r="232" spans="2:10" ht="12.75">
      <c r="B232" s="60">
        <f t="shared" si="5"/>
        <v>153</v>
      </c>
      <c r="C232" s="50"/>
      <c r="D232" s="250"/>
      <c r="E232" s="250"/>
      <c r="F232" s="46"/>
      <c r="G232" s="324" t="s">
        <v>591</v>
      </c>
      <c r="H232" s="257">
        <v>8940</v>
      </c>
      <c r="I232" s="257">
        <v>10310</v>
      </c>
      <c r="J232" s="803">
        <f t="shared" si="6"/>
        <v>115.32438478747204</v>
      </c>
    </row>
    <row r="233" spans="2:10" ht="12.75">
      <c r="B233" s="60">
        <f t="shared" si="5"/>
        <v>154</v>
      </c>
      <c r="C233" s="50"/>
      <c r="D233" s="250"/>
      <c r="E233" s="250"/>
      <c r="F233" s="46"/>
      <c r="G233" s="324" t="s">
        <v>592</v>
      </c>
      <c r="H233" s="257">
        <v>6400</v>
      </c>
      <c r="I233" s="257">
        <v>15327</v>
      </c>
      <c r="J233" s="803">
        <f t="shared" si="6"/>
        <v>239.48437500000003</v>
      </c>
    </row>
    <row r="234" spans="2:10" ht="12.75">
      <c r="B234" s="60">
        <f t="shared" si="5"/>
        <v>155</v>
      </c>
      <c r="C234" s="50"/>
      <c r="D234" s="250"/>
      <c r="E234" s="250"/>
      <c r="F234" s="46"/>
      <c r="G234" s="476" t="s">
        <v>593</v>
      </c>
      <c r="H234" s="257">
        <v>6500</v>
      </c>
      <c r="I234" s="257">
        <v>7987</v>
      </c>
      <c r="J234" s="803">
        <f t="shared" si="6"/>
        <v>122.87692307692308</v>
      </c>
    </row>
    <row r="235" spans="2:10" ht="12.75" customHeight="1">
      <c r="B235" s="60">
        <f t="shared" si="5"/>
        <v>156</v>
      </c>
      <c r="C235" s="50"/>
      <c r="D235" s="250"/>
      <c r="E235" s="250"/>
      <c r="F235" s="46"/>
      <c r="G235" s="476" t="s">
        <v>594</v>
      </c>
      <c r="H235" s="257">
        <v>5500</v>
      </c>
      <c r="I235" s="257">
        <v>7034</v>
      </c>
      <c r="J235" s="803">
        <f t="shared" si="6"/>
        <v>127.8909090909091</v>
      </c>
    </row>
    <row r="236" spans="2:10" ht="12.75" customHeight="1">
      <c r="B236" s="60">
        <f t="shared" si="5"/>
        <v>157</v>
      </c>
      <c r="C236" s="50"/>
      <c r="D236" s="250"/>
      <c r="E236" s="250"/>
      <c r="F236" s="46"/>
      <c r="G236" s="476" t="s">
        <v>595</v>
      </c>
      <c r="H236" s="257">
        <v>10000</v>
      </c>
      <c r="I236" s="257">
        <v>12129</v>
      </c>
      <c r="J236" s="803">
        <f t="shared" si="6"/>
        <v>121.29</v>
      </c>
    </row>
    <row r="237" spans="2:10" ht="12.75" customHeight="1">
      <c r="B237" s="60">
        <f t="shared" si="5"/>
        <v>158</v>
      </c>
      <c r="C237" s="50"/>
      <c r="D237" s="250"/>
      <c r="E237" s="250"/>
      <c r="F237" s="46"/>
      <c r="G237" s="476" t="s">
        <v>596</v>
      </c>
      <c r="H237" s="257">
        <v>3500</v>
      </c>
      <c r="I237" s="257">
        <v>4549</v>
      </c>
      <c r="J237" s="803">
        <f t="shared" si="6"/>
        <v>129.9714285714286</v>
      </c>
    </row>
    <row r="238" spans="2:10" ht="12.75" customHeight="1">
      <c r="B238" s="60">
        <f t="shared" si="5"/>
        <v>159</v>
      </c>
      <c r="C238" s="50"/>
      <c r="D238" s="250"/>
      <c r="E238" s="250"/>
      <c r="F238" s="46"/>
      <c r="G238" s="324" t="s">
        <v>597</v>
      </c>
      <c r="H238" s="257">
        <v>3560</v>
      </c>
      <c r="I238" s="257">
        <v>4677</v>
      </c>
      <c r="J238" s="803">
        <f t="shared" si="6"/>
        <v>131.37640449438203</v>
      </c>
    </row>
    <row r="239" spans="2:10" ht="12.75" customHeight="1">
      <c r="B239" s="60">
        <f t="shared" si="5"/>
        <v>160</v>
      </c>
      <c r="C239" s="50"/>
      <c r="D239" s="250"/>
      <c r="E239" s="250"/>
      <c r="F239" s="46"/>
      <c r="G239" s="324" t="s">
        <v>598</v>
      </c>
      <c r="H239" s="257">
        <v>16250</v>
      </c>
      <c r="I239" s="257">
        <v>19366</v>
      </c>
      <c r="J239" s="803">
        <f t="shared" si="6"/>
        <v>119.17538461538462</v>
      </c>
    </row>
    <row r="240" spans="2:10" ht="13.5" customHeight="1">
      <c r="B240" s="60">
        <f t="shared" si="5"/>
        <v>161</v>
      </c>
      <c r="C240" s="50"/>
      <c r="D240" s="250" t="s">
        <v>54</v>
      </c>
      <c r="E240" s="250" t="s">
        <v>29</v>
      </c>
      <c r="F240" s="215" t="s">
        <v>130</v>
      </c>
      <c r="G240" s="74"/>
      <c r="H240" s="257">
        <f>SUM(H241:H247)</f>
        <v>51740</v>
      </c>
      <c r="I240" s="257">
        <f>SUM(I241:I247)</f>
        <v>92094</v>
      </c>
      <c r="J240" s="803">
        <f t="shared" si="6"/>
        <v>177.99381522999613</v>
      </c>
    </row>
    <row r="241" spans="2:10" ht="12.75" customHeight="1">
      <c r="B241" s="60">
        <f t="shared" si="5"/>
        <v>162</v>
      </c>
      <c r="C241" s="50"/>
      <c r="D241" s="250"/>
      <c r="E241" s="250"/>
      <c r="F241" s="42"/>
      <c r="G241" s="324" t="s">
        <v>591</v>
      </c>
      <c r="H241" s="257">
        <v>12840</v>
      </c>
      <c r="I241" s="257">
        <v>19856</v>
      </c>
      <c r="J241" s="803">
        <f t="shared" si="6"/>
        <v>154.6417445482866</v>
      </c>
    </row>
    <row r="242" spans="2:10" ht="12.75" customHeight="1">
      <c r="B242" s="60">
        <f t="shared" si="5"/>
        <v>163</v>
      </c>
      <c r="C242" s="50"/>
      <c r="D242" s="250"/>
      <c r="E242" s="250"/>
      <c r="F242" s="42"/>
      <c r="G242" s="324" t="s">
        <v>592</v>
      </c>
      <c r="H242" s="257">
        <v>9400</v>
      </c>
      <c r="I242" s="257">
        <v>15445</v>
      </c>
      <c r="J242" s="803">
        <f t="shared" si="6"/>
        <v>164.3085106382979</v>
      </c>
    </row>
    <row r="243" spans="2:10" ht="13.5" customHeight="1">
      <c r="B243" s="60">
        <f t="shared" si="5"/>
        <v>164</v>
      </c>
      <c r="C243" s="50"/>
      <c r="D243" s="250"/>
      <c r="E243" s="250"/>
      <c r="F243" s="42"/>
      <c r="G243" s="324" t="s">
        <v>593</v>
      </c>
      <c r="H243" s="257">
        <v>6000</v>
      </c>
      <c r="I243" s="257">
        <v>8143</v>
      </c>
      <c r="J243" s="803">
        <f t="shared" si="6"/>
        <v>135.71666666666667</v>
      </c>
    </row>
    <row r="244" spans="2:10" ht="12.75">
      <c r="B244" s="60">
        <f t="shared" si="5"/>
        <v>165</v>
      </c>
      <c r="C244" s="50"/>
      <c r="D244" s="250"/>
      <c r="E244" s="250"/>
      <c r="F244" s="42"/>
      <c r="G244" s="324" t="s">
        <v>594</v>
      </c>
      <c r="H244" s="257">
        <v>3200</v>
      </c>
      <c r="I244" s="257">
        <v>7659</v>
      </c>
      <c r="J244" s="803">
        <f t="shared" si="6"/>
        <v>239.34375</v>
      </c>
    </row>
    <row r="245" spans="2:10" ht="12.75">
      <c r="B245" s="60">
        <f t="shared" si="5"/>
        <v>166</v>
      </c>
      <c r="C245" s="50"/>
      <c r="D245" s="250"/>
      <c r="E245" s="250"/>
      <c r="F245" s="42"/>
      <c r="G245" s="324" t="s">
        <v>595</v>
      </c>
      <c r="H245" s="257">
        <v>6800</v>
      </c>
      <c r="I245" s="257">
        <v>6049</v>
      </c>
      <c r="J245" s="803">
        <f t="shared" si="6"/>
        <v>88.95588235294117</v>
      </c>
    </row>
    <row r="246" spans="2:10" ht="12.75" customHeight="1">
      <c r="B246" s="60">
        <f t="shared" si="5"/>
        <v>167</v>
      </c>
      <c r="C246" s="50"/>
      <c r="D246" s="250"/>
      <c r="E246" s="250"/>
      <c r="F246" s="42"/>
      <c r="G246" s="324" t="s">
        <v>596</v>
      </c>
      <c r="H246" s="257">
        <v>7500</v>
      </c>
      <c r="I246" s="257">
        <v>8766</v>
      </c>
      <c r="J246" s="803">
        <f t="shared" si="6"/>
        <v>116.88000000000001</v>
      </c>
    </row>
    <row r="247" spans="2:10" ht="12.75">
      <c r="B247" s="60">
        <f t="shared" si="5"/>
        <v>168</v>
      </c>
      <c r="C247" s="50"/>
      <c r="D247" s="250"/>
      <c r="E247" s="250"/>
      <c r="F247" s="42"/>
      <c r="G247" s="324" t="s">
        <v>597</v>
      </c>
      <c r="H247" s="257">
        <v>6000</v>
      </c>
      <c r="I247" s="257">
        <v>26176</v>
      </c>
      <c r="J247" s="803">
        <f t="shared" si="6"/>
        <v>436.26666666666665</v>
      </c>
    </row>
    <row r="248" spans="2:10" ht="12.75">
      <c r="B248" s="60">
        <f t="shared" si="5"/>
        <v>169</v>
      </c>
      <c r="C248" s="57" t="s">
        <v>58</v>
      </c>
      <c r="D248" s="56"/>
      <c r="E248" s="426"/>
      <c r="F248" s="58" t="s">
        <v>59</v>
      </c>
      <c r="G248" s="80"/>
      <c r="H248" s="258"/>
      <c r="I248" s="258">
        <f>SUM(I249:I255)</f>
        <v>40</v>
      </c>
      <c r="J248" s="803"/>
    </row>
    <row r="249" spans="2:10" ht="12.75">
      <c r="B249" s="60">
        <f t="shared" si="5"/>
        <v>170</v>
      </c>
      <c r="C249" s="50"/>
      <c r="D249" s="250"/>
      <c r="E249" s="250"/>
      <c r="F249" s="42"/>
      <c r="G249" s="324" t="s">
        <v>591</v>
      </c>
      <c r="H249" s="257"/>
      <c r="I249" s="257">
        <v>10</v>
      </c>
      <c r="J249" s="803"/>
    </row>
    <row r="250" spans="2:10" ht="12.75">
      <c r="B250" s="60">
        <f t="shared" si="5"/>
        <v>171</v>
      </c>
      <c r="C250" s="50"/>
      <c r="D250" s="250"/>
      <c r="E250" s="250"/>
      <c r="F250" s="42"/>
      <c r="G250" s="476" t="s">
        <v>593</v>
      </c>
      <c r="H250" s="257"/>
      <c r="I250" s="257">
        <v>4</v>
      </c>
      <c r="J250" s="803"/>
    </row>
    <row r="251" spans="2:10" ht="12.75">
      <c r="B251" s="60">
        <f t="shared" si="5"/>
        <v>172</v>
      </c>
      <c r="C251" s="50"/>
      <c r="D251" s="250"/>
      <c r="E251" s="250"/>
      <c r="F251" s="42"/>
      <c r="G251" s="476" t="s">
        <v>594</v>
      </c>
      <c r="H251" s="257"/>
      <c r="I251" s="257">
        <v>3</v>
      </c>
      <c r="J251" s="803"/>
    </row>
    <row r="252" spans="2:10" ht="12.75">
      <c r="B252" s="60">
        <f t="shared" si="5"/>
        <v>173</v>
      </c>
      <c r="C252" s="50"/>
      <c r="D252" s="250"/>
      <c r="E252" s="250"/>
      <c r="F252" s="42"/>
      <c r="G252" s="476" t="s">
        <v>595</v>
      </c>
      <c r="H252" s="257"/>
      <c r="I252" s="257">
        <v>1</v>
      </c>
      <c r="J252" s="803"/>
    </row>
    <row r="253" spans="2:10" ht="12.75">
      <c r="B253" s="60">
        <f t="shared" si="5"/>
        <v>174</v>
      </c>
      <c r="C253" s="50"/>
      <c r="D253" s="250"/>
      <c r="E253" s="250"/>
      <c r="F253" s="42"/>
      <c r="G253" s="476" t="s">
        <v>596</v>
      </c>
      <c r="H253" s="257"/>
      <c r="I253" s="257">
        <v>6</v>
      </c>
      <c r="J253" s="803"/>
    </row>
    <row r="254" spans="2:10" ht="12.75">
      <c r="B254" s="60">
        <f t="shared" si="5"/>
        <v>175</v>
      </c>
      <c r="C254" s="50"/>
      <c r="D254" s="250"/>
      <c r="E254" s="250"/>
      <c r="F254" s="42"/>
      <c r="G254" s="324" t="s">
        <v>597</v>
      </c>
      <c r="H254" s="257"/>
      <c r="I254" s="257">
        <v>10</v>
      </c>
      <c r="J254" s="803"/>
    </row>
    <row r="255" spans="2:10" ht="12.75">
      <c r="B255" s="60">
        <f t="shared" si="5"/>
        <v>176</v>
      </c>
      <c r="C255" s="50"/>
      <c r="D255" s="250"/>
      <c r="E255" s="250"/>
      <c r="F255" s="42"/>
      <c r="G255" s="324" t="s">
        <v>598</v>
      </c>
      <c r="H255" s="257"/>
      <c r="I255" s="257">
        <v>6</v>
      </c>
      <c r="J255" s="803"/>
    </row>
    <row r="256" spans="2:10" ht="12.75">
      <c r="B256" s="60">
        <f t="shared" si="5"/>
        <v>177</v>
      </c>
      <c r="C256" s="57" t="s">
        <v>60</v>
      </c>
      <c r="D256" s="56"/>
      <c r="E256" s="426"/>
      <c r="F256" s="58" t="s">
        <v>61</v>
      </c>
      <c r="G256" s="80"/>
      <c r="H256" s="263"/>
      <c r="I256" s="925">
        <f>I259+I267+I257</f>
        <v>19161</v>
      </c>
      <c r="J256" s="803"/>
    </row>
    <row r="257" spans="2:10" ht="12.75">
      <c r="B257" s="60">
        <f t="shared" si="5"/>
        <v>178</v>
      </c>
      <c r="C257" s="57"/>
      <c r="D257" s="932" t="s">
        <v>62</v>
      </c>
      <c r="E257" s="933" t="s">
        <v>797</v>
      </c>
      <c r="F257" s="944" t="s">
        <v>798</v>
      </c>
      <c r="G257" s="945"/>
      <c r="H257" s="936"/>
      <c r="I257" s="938">
        <f>SUM(I258:I258)</f>
        <v>428</v>
      </c>
      <c r="J257" s="803"/>
    </row>
    <row r="258" spans="2:10" ht="12.75">
      <c r="B258" s="60">
        <f t="shared" si="5"/>
        <v>179</v>
      </c>
      <c r="C258" s="57"/>
      <c r="D258" s="939"/>
      <c r="E258" s="940"/>
      <c r="F258" s="946"/>
      <c r="G258" s="476" t="s">
        <v>596</v>
      </c>
      <c r="H258" s="942"/>
      <c r="I258" s="943">
        <v>428</v>
      </c>
      <c r="J258" s="803"/>
    </row>
    <row r="259" spans="2:10" ht="12.75">
      <c r="B259" s="60">
        <f t="shared" si="5"/>
        <v>180</v>
      </c>
      <c r="C259" s="57"/>
      <c r="D259" s="932" t="s">
        <v>62</v>
      </c>
      <c r="E259" s="933" t="s">
        <v>35</v>
      </c>
      <c r="F259" s="944" t="s">
        <v>795</v>
      </c>
      <c r="G259" s="945"/>
      <c r="H259" s="936"/>
      <c r="I259" s="938">
        <f>SUM(I260:I266)</f>
        <v>18226</v>
      </c>
      <c r="J259" s="803"/>
    </row>
    <row r="260" spans="2:10" ht="12.75">
      <c r="B260" s="60">
        <f t="shared" si="5"/>
        <v>181</v>
      </c>
      <c r="C260" s="6"/>
      <c r="D260" s="939"/>
      <c r="E260" s="940"/>
      <c r="F260" s="946"/>
      <c r="G260" s="324" t="s">
        <v>591</v>
      </c>
      <c r="H260" s="942"/>
      <c r="I260" s="943">
        <v>426</v>
      </c>
      <c r="J260" s="803"/>
    </row>
    <row r="261" spans="2:10" ht="12.75">
      <c r="B261" s="60">
        <f t="shared" si="5"/>
        <v>182</v>
      </c>
      <c r="C261" s="6"/>
      <c r="D261" s="939"/>
      <c r="E261" s="940"/>
      <c r="F261" s="946"/>
      <c r="G261" s="324" t="s">
        <v>592</v>
      </c>
      <c r="H261" s="942"/>
      <c r="I261" s="943">
        <v>433</v>
      </c>
      <c r="J261" s="803"/>
    </row>
    <row r="262" spans="2:10" ht="12.75">
      <c r="B262" s="60">
        <f t="shared" si="5"/>
        <v>183</v>
      </c>
      <c r="C262" s="6"/>
      <c r="D262" s="939"/>
      <c r="E262" s="940"/>
      <c r="F262" s="946"/>
      <c r="G262" s="476" t="s">
        <v>594</v>
      </c>
      <c r="H262" s="942"/>
      <c r="I262" s="943">
        <v>4186</v>
      </c>
      <c r="J262" s="803"/>
    </row>
    <row r="263" spans="2:10" ht="12.75">
      <c r="B263" s="60">
        <f t="shared" si="5"/>
        <v>184</v>
      </c>
      <c r="C263" s="6"/>
      <c r="D263" s="939"/>
      <c r="E263" s="940"/>
      <c r="F263" s="946"/>
      <c r="G263" s="476" t="s">
        <v>595</v>
      </c>
      <c r="H263" s="942"/>
      <c r="I263" s="943">
        <v>17</v>
      </c>
      <c r="J263" s="803"/>
    </row>
    <row r="264" spans="2:10" ht="12.75">
      <c r="B264" s="60">
        <f t="shared" si="5"/>
        <v>185</v>
      </c>
      <c r="C264" s="6"/>
      <c r="D264" s="939"/>
      <c r="E264" s="940"/>
      <c r="F264" s="946"/>
      <c r="G264" s="476" t="s">
        <v>596</v>
      </c>
      <c r="H264" s="942"/>
      <c r="I264" s="943">
        <v>2382</v>
      </c>
      <c r="J264" s="803"/>
    </row>
    <row r="265" spans="2:10" ht="12.75">
      <c r="B265" s="60">
        <f t="shared" si="5"/>
        <v>186</v>
      </c>
      <c r="C265" s="6"/>
      <c r="D265" s="939"/>
      <c r="E265" s="940"/>
      <c r="F265" s="946"/>
      <c r="G265" s="324" t="s">
        <v>597</v>
      </c>
      <c r="H265" s="942"/>
      <c r="I265" s="943">
        <v>156</v>
      </c>
      <c r="J265" s="803"/>
    </row>
    <row r="266" spans="2:10" ht="12.75">
      <c r="B266" s="60">
        <f t="shared" si="5"/>
        <v>187</v>
      </c>
      <c r="C266" s="6"/>
      <c r="D266" s="939"/>
      <c r="E266" s="940"/>
      <c r="F266" s="946"/>
      <c r="G266" s="324" t="s">
        <v>598</v>
      </c>
      <c r="H266" s="942"/>
      <c r="I266" s="943">
        <v>10626</v>
      </c>
      <c r="J266" s="803"/>
    </row>
    <row r="267" spans="2:10" ht="12.75">
      <c r="B267" s="60">
        <f t="shared" si="5"/>
        <v>188</v>
      </c>
      <c r="C267" s="6"/>
      <c r="D267" s="166" t="s">
        <v>62</v>
      </c>
      <c r="E267" s="250" t="s">
        <v>733</v>
      </c>
      <c r="F267" s="947" t="s">
        <v>796</v>
      </c>
      <c r="G267" s="948"/>
      <c r="H267" s="942"/>
      <c r="I267" s="943">
        <f>SUM(I268:I269)</f>
        <v>507</v>
      </c>
      <c r="J267" s="803"/>
    </row>
    <row r="268" spans="2:10" ht="12.75">
      <c r="B268" s="60">
        <f t="shared" si="5"/>
        <v>189</v>
      </c>
      <c r="C268" s="6"/>
      <c r="D268" s="939"/>
      <c r="E268" s="940"/>
      <c r="F268" s="946"/>
      <c r="G268" s="324" t="s">
        <v>591</v>
      </c>
      <c r="H268" s="942"/>
      <c r="I268" s="943">
        <v>480</v>
      </c>
      <c r="J268" s="803"/>
    </row>
    <row r="269" spans="2:10" ht="12.75">
      <c r="B269" s="60">
        <f t="shared" si="5"/>
        <v>190</v>
      </c>
      <c r="C269" s="6"/>
      <c r="D269" s="939"/>
      <c r="E269" s="940"/>
      <c r="F269" s="941"/>
      <c r="G269" s="324" t="s">
        <v>597</v>
      </c>
      <c r="H269" s="942"/>
      <c r="I269" s="943">
        <v>27</v>
      </c>
      <c r="J269" s="803"/>
    </row>
    <row r="270" spans="2:10" ht="12.75">
      <c r="B270" s="60">
        <f t="shared" si="5"/>
        <v>191</v>
      </c>
      <c r="C270" s="50"/>
      <c r="D270" s="7" t="s">
        <v>736</v>
      </c>
      <c r="E270" s="9"/>
      <c r="F270" s="70" t="s">
        <v>738</v>
      </c>
      <c r="G270" s="74"/>
      <c r="H270" s="557"/>
      <c r="I270" s="557">
        <f>SUM(I271:I274)</f>
        <v>3550</v>
      </c>
      <c r="J270" s="803"/>
    </row>
    <row r="271" spans="2:10" ht="12.75">
      <c r="B271" s="60">
        <f t="shared" si="5"/>
        <v>192</v>
      </c>
      <c r="C271" s="50"/>
      <c r="D271" s="250"/>
      <c r="E271" s="250"/>
      <c r="F271" s="42"/>
      <c r="G271" s="324" t="s">
        <v>591</v>
      </c>
      <c r="H271" s="257"/>
      <c r="I271" s="257">
        <v>1000</v>
      </c>
      <c r="J271" s="803"/>
    </row>
    <row r="272" spans="2:10" ht="12.75">
      <c r="B272" s="60">
        <f t="shared" si="5"/>
        <v>193</v>
      </c>
      <c r="C272" s="50"/>
      <c r="D272" s="250"/>
      <c r="E272" s="250"/>
      <c r="F272" s="42"/>
      <c r="G272" s="476" t="s">
        <v>593</v>
      </c>
      <c r="H272" s="257"/>
      <c r="I272" s="257">
        <v>330</v>
      </c>
      <c r="J272" s="803"/>
    </row>
    <row r="273" spans="2:10" ht="12.75">
      <c r="B273" s="60">
        <f t="shared" si="5"/>
        <v>194</v>
      </c>
      <c r="C273" s="50"/>
      <c r="D273" s="250"/>
      <c r="E273" s="250"/>
      <c r="F273" s="42"/>
      <c r="G273" s="476" t="s">
        <v>596</v>
      </c>
      <c r="H273" s="257"/>
      <c r="I273" s="257">
        <v>720</v>
      </c>
      <c r="J273" s="803"/>
    </row>
    <row r="274" spans="2:10" ht="12.75">
      <c r="B274" s="60">
        <f t="shared" si="5"/>
        <v>195</v>
      </c>
      <c r="C274" s="50"/>
      <c r="D274" s="250"/>
      <c r="E274" s="250"/>
      <c r="F274" s="42"/>
      <c r="G274" s="324" t="s">
        <v>597</v>
      </c>
      <c r="H274" s="257"/>
      <c r="I274" s="257">
        <v>1500</v>
      </c>
      <c r="J274" s="803"/>
    </row>
    <row r="275" spans="2:10" ht="12.75">
      <c r="B275" s="60">
        <f t="shared" si="5"/>
        <v>196</v>
      </c>
      <c r="C275" s="50"/>
      <c r="D275" s="250"/>
      <c r="E275" s="250"/>
      <c r="F275" s="42"/>
      <c r="G275" s="74"/>
      <c r="H275" s="257"/>
      <c r="I275" s="257"/>
      <c r="J275" s="803"/>
    </row>
    <row r="276" spans="2:10" ht="12.75" customHeight="1">
      <c r="B276" s="60">
        <f t="shared" si="5"/>
        <v>197</v>
      </c>
      <c r="C276" s="6"/>
      <c r="D276" s="12"/>
      <c r="E276" s="8"/>
      <c r="F276" s="139" t="s">
        <v>127</v>
      </c>
      <c r="G276" s="140"/>
      <c r="H276" s="260">
        <v>95100</v>
      </c>
      <c r="I276" s="260">
        <v>87584</v>
      </c>
      <c r="J276" s="803">
        <f>I276/H276*100</f>
        <v>92.09674027339642</v>
      </c>
    </row>
    <row r="277" spans="2:10" ht="12.75" customHeight="1" thickBot="1">
      <c r="B277" s="966">
        <f t="shared" si="5"/>
        <v>198</v>
      </c>
      <c r="C277" s="558"/>
      <c r="D277" s="559"/>
      <c r="E277" s="560"/>
      <c r="F277" s="281" t="s">
        <v>781</v>
      </c>
      <c r="G277" s="282"/>
      <c r="H277" s="967"/>
      <c r="I277" s="967">
        <f>2566+11621</f>
        <v>14187</v>
      </c>
      <c r="J277" s="808"/>
    </row>
    <row r="278" spans="2:10" ht="12" customHeight="1">
      <c r="B278" s="955"/>
      <c r="C278" s="968"/>
      <c r="D278" s="969"/>
      <c r="E278" s="970"/>
      <c r="F278" s="957"/>
      <c r="G278" s="971"/>
      <c r="H278" s="972"/>
      <c r="I278" s="972"/>
      <c r="J278" s="973"/>
    </row>
    <row r="279" spans="2:10" ht="12" customHeight="1">
      <c r="B279" s="920"/>
      <c r="C279" s="387"/>
      <c r="D279" s="974"/>
      <c r="E279" s="389"/>
      <c r="F279" s="953"/>
      <c r="G279" s="391"/>
      <c r="H279" s="386"/>
      <c r="I279" s="386"/>
      <c r="J279" s="975"/>
    </row>
    <row r="280" spans="2:10" ht="12" customHeight="1">
      <c r="B280" s="920"/>
      <c r="C280" s="387"/>
      <c r="D280" s="974"/>
      <c r="E280" s="389"/>
      <c r="F280" s="953"/>
      <c r="G280" s="391"/>
      <c r="H280" s="386"/>
      <c r="I280" s="386"/>
      <c r="J280" s="975"/>
    </row>
    <row r="281" spans="2:10" ht="12" customHeight="1">
      <c r="B281" s="920"/>
      <c r="C281" s="387"/>
      <c r="D281" s="974"/>
      <c r="E281" s="389"/>
      <c r="F281" s="953"/>
      <c r="G281" s="391"/>
      <c r="H281" s="386"/>
      <c r="I281" s="386"/>
      <c r="J281" s="975"/>
    </row>
    <row r="282" spans="2:10" ht="12" customHeight="1">
      <c r="B282" s="920"/>
      <c r="C282" s="387"/>
      <c r="D282" s="974"/>
      <c r="E282" s="389"/>
      <c r="F282" s="953"/>
      <c r="G282" s="391"/>
      <c r="H282" s="386"/>
      <c r="I282" s="386"/>
      <c r="J282" s="975"/>
    </row>
    <row r="283" spans="2:10" ht="12" customHeight="1">
      <c r="B283" s="920"/>
      <c r="C283" s="387"/>
      <c r="D283" s="974"/>
      <c r="E283" s="389"/>
      <c r="F283" s="953"/>
      <c r="G283" s="391"/>
      <c r="H283" s="386"/>
      <c r="I283" s="386"/>
      <c r="J283" s="975"/>
    </row>
    <row r="284" spans="2:10" ht="12" customHeight="1">
      <c r="B284" s="920"/>
      <c r="C284" s="387"/>
      <c r="D284" s="974"/>
      <c r="E284" s="389"/>
      <c r="F284" s="953"/>
      <c r="G284" s="391"/>
      <c r="H284" s="386"/>
      <c r="I284" s="386"/>
      <c r="J284" s="975"/>
    </row>
    <row r="285" spans="2:10" ht="12" customHeight="1">
      <c r="B285" s="920"/>
      <c r="C285" s="387"/>
      <c r="D285" s="974"/>
      <c r="E285" s="389"/>
      <c r="F285" s="953"/>
      <c r="G285" s="391"/>
      <c r="H285" s="386"/>
      <c r="I285" s="386"/>
      <c r="J285" s="975"/>
    </row>
    <row r="286" spans="2:10" ht="12" customHeight="1">
      <c r="B286" s="920"/>
      <c r="C286" s="387"/>
      <c r="D286" s="974"/>
      <c r="E286" s="389"/>
      <c r="F286" s="953"/>
      <c r="G286" s="391"/>
      <c r="H286" s="386"/>
      <c r="I286" s="386"/>
      <c r="J286" s="975"/>
    </row>
    <row r="287" spans="2:10" ht="12" customHeight="1" thickBot="1">
      <c r="B287" s="961"/>
      <c r="C287" s="976"/>
      <c r="D287" s="977"/>
      <c r="E287" s="978"/>
      <c r="F287" s="963"/>
      <c r="G287" s="979"/>
      <c r="H287" s="980"/>
      <c r="I287" s="980"/>
      <c r="J287" s="981"/>
    </row>
    <row r="288" spans="2:10" ht="12" customHeight="1">
      <c r="B288" s="1007" t="s">
        <v>10</v>
      </c>
      <c r="C288" s="1008"/>
      <c r="D288" s="1008"/>
      <c r="E288" s="1008"/>
      <c r="F288" s="1008"/>
      <c r="G288" s="1009"/>
      <c r="H288" s="1016" t="s">
        <v>664</v>
      </c>
      <c r="I288" s="1019" t="s">
        <v>772</v>
      </c>
      <c r="J288" s="1013" t="s">
        <v>773</v>
      </c>
    </row>
    <row r="289" spans="2:10" ht="12" customHeight="1">
      <c r="B289" s="1010"/>
      <c r="C289" s="1011"/>
      <c r="D289" s="1011"/>
      <c r="E289" s="1011"/>
      <c r="F289" s="1011"/>
      <c r="G289" s="1012"/>
      <c r="H289" s="1017"/>
      <c r="I289" s="1020"/>
      <c r="J289" s="1014"/>
    </row>
    <row r="290" spans="2:10" ht="12" customHeight="1">
      <c r="B290" s="87"/>
      <c r="C290" s="1005" t="s">
        <v>11</v>
      </c>
      <c r="D290" s="88" t="s">
        <v>12</v>
      </c>
      <c r="E290" s="88" t="s">
        <v>13</v>
      </c>
      <c r="F290" s="89"/>
      <c r="G290" s="90"/>
      <c r="H290" s="1017"/>
      <c r="I290" s="1020"/>
      <c r="J290" s="1014"/>
    </row>
    <row r="291" spans="2:10" ht="12" customHeight="1" thickBot="1">
      <c r="B291" s="91"/>
      <c r="C291" s="1006"/>
      <c r="D291" s="93"/>
      <c r="E291" s="92" t="s">
        <v>14</v>
      </c>
      <c r="F291" s="94" t="s">
        <v>15</v>
      </c>
      <c r="G291" s="95"/>
      <c r="H291" s="1018"/>
      <c r="I291" s="1021"/>
      <c r="J291" s="1015"/>
    </row>
    <row r="292" spans="2:10" ht="19.5" customHeight="1" thickTop="1">
      <c r="B292" s="841">
        <f>B277+1</f>
        <v>199</v>
      </c>
      <c r="C292" s="119" t="s">
        <v>83</v>
      </c>
      <c r="D292" s="120"/>
      <c r="E292" s="121"/>
      <c r="F292" s="123" t="s">
        <v>84</v>
      </c>
      <c r="G292" s="122"/>
      <c r="H292" s="469">
        <f>H294+H300</f>
        <v>6083987</v>
      </c>
      <c r="I292" s="597">
        <f>I294+I300</f>
        <v>6688014</v>
      </c>
      <c r="J292" s="803">
        <f>I292/H292*100</f>
        <v>109.92814415941388</v>
      </c>
    </row>
    <row r="293" spans="2:10" ht="12.75">
      <c r="B293" s="60">
        <f t="shared" si="5"/>
        <v>200</v>
      </c>
      <c r="C293" s="6"/>
      <c r="D293" s="7"/>
      <c r="E293" s="9"/>
      <c r="F293" s="70"/>
      <c r="G293" s="74"/>
      <c r="H293" s="185"/>
      <c r="I293" s="185"/>
      <c r="J293" s="803"/>
    </row>
    <row r="294" spans="2:10" ht="12.75">
      <c r="B294" s="60">
        <f t="shared" si="5"/>
        <v>201</v>
      </c>
      <c r="C294" s="6"/>
      <c r="D294" s="7" t="s">
        <v>736</v>
      </c>
      <c r="E294" s="9"/>
      <c r="F294" s="70" t="s">
        <v>738</v>
      </c>
      <c r="G294" s="74"/>
      <c r="H294" s="557">
        <f>H295+H296+H297</f>
        <v>4200</v>
      </c>
      <c r="I294" s="557">
        <f>SUM(I295:I298)</f>
        <v>4300</v>
      </c>
      <c r="J294" s="803">
        <f>I294/H294*100</f>
        <v>102.38095238095238</v>
      </c>
    </row>
    <row r="295" spans="2:10" ht="12.75">
      <c r="B295" s="60">
        <f t="shared" si="5"/>
        <v>202</v>
      </c>
      <c r="C295" s="6"/>
      <c r="D295" s="7"/>
      <c r="E295" s="9"/>
      <c r="F295" s="556" t="s">
        <v>739</v>
      </c>
      <c r="G295" s="74"/>
      <c r="H295" s="185">
        <v>3000</v>
      </c>
      <c r="I295" s="1001">
        <v>3000</v>
      </c>
      <c r="J295" s="803">
        <f>I295/H295*100</f>
        <v>100</v>
      </c>
    </row>
    <row r="296" spans="2:10" ht="12.75">
      <c r="B296" s="60">
        <f t="shared" si="5"/>
        <v>203</v>
      </c>
      <c r="C296" s="6"/>
      <c r="D296" s="7"/>
      <c r="E296" s="9"/>
      <c r="F296" s="556" t="s">
        <v>740</v>
      </c>
      <c r="G296" s="74"/>
      <c r="H296" s="185">
        <v>1000</v>
      </c>
      <c r="I296" s="1001">
        <v>1000</v>
      </c>
      <c r="J296" s="803">
        <f>I296/H296*100</f>
        <v>100</v>
      </c>
    </row>
    <row r="297" spans="2:10" ht="12.75">
      <c r="B297" s="60">
        <f t="shared" si="5"/>
        <v>204</v>
      </c>
      <c r="C297" s="6"/>
      <c r="D297" s="7"/>
      <c r="E297" s="9"/>
      <c r="F297" s="556" t="s">
        <v>768</v>
      </c>
      <c r="G297" s="74"/>
      <c r="H297" s="185">
        <v>200</v>
      </c>
      <c r="I297" s="1001">
        <v>200</v>
      </c>
      <c r="J297" s="803">
        <f>I297/H297*100</f>
        <v>100</v>
      </c>
    </row>
    <row r="298" spans="2:10" ht="12.75">
      <c r="B298" s="60">
        <f t="shared" si="5"/>
        <v>205</v>
      </c>
      <c r="C298" s="6"/>
      <c r="D298" s="7"/>
      <c r="E298" s="9"/>
      <c r="F298" s="556" t="s">
        <v>803</v>
      </c>
      <c r="G298" s="74"/>
      <c r="H298" s="185"/>
      <c r="I298" s="1001">
        <v>100</v>
      </c>
      <c r="J298" s="803"/>
    </row>
    <row r="299" spans="2:10" ht="12.75">
      <c r="B299" s="60">
        <f t="shared" si="5"/>
        <v>206</v>
      </c>
      <c r="C299" s="6"/>
      <c r="D299" s="7"/>
      <c r="E299" s="9"/>
      <c r="F299" s="70"/>
      <c r="G299" s="74"/>
      <c r="H299" s="185"/>
      <c r="I299" s="1001"/>
      <c r="J299" s="803"/>
    </row>
    <row r="300" spans="2:10" ht="12.75" customHeight="1">
      <c r="B300" s="60">
        <f t="shared" si="5"/>
        <v>207</v>
      </c>
      <c r="C300" s="6"/>
      <c r="D300" s="7" t="s">
        <v>85</v>
      </c>
      <c r="E300" s="9"/>
      <c r="F300" s="70" t="s">
        <v>86</v>
      </c>
      <c r="G300" s="74"/>
      <c r="H300" s="261">
        <f>H301</f>
        <v>6079787</v>
      </c>
      <c r="I300" s="1002">
        <f>I301</f>
        <v>6683714</v>
      </c>
      <c r="J300" s="803">
        <f aca="true" t="shared" si="7" ref="J300:J314">I300/H300*100</f>
        <v>109.93335786270144</v>
      </c>
    </row>
    <row r="301" spans="2:10" ht="12.75">
      <c r="B301" s="60">
        <f t="shared" si="5"/>
        <v>208</v>
      </c>
      <c r="C301" s="6"/>
      <c r="D301" s="9"/>
      <c r="E301" s="9" t="s">
        <v>27</v>
      </c>
      <c r="F301" s="37" t="s">
        <v>87</v>
      </c>
      <c r="G301" s="74"/>
      <c r="H301" s="185">
        <f>SUM(H302:H314)</f>
        <v>6079787</v>
      </c>
      <c r="I301" s="1001">
        <f>SUM(I302:I320)</f>
        <v>6683714</v>
      </c>
      <c r="J301" s="803">
        <f t="shared" si="7"/>
        <v>109.93335786270144</v>
      </c>
    </row>
    <row r="302" spans="2:10" ht="12.75">
      <c r="B302" s="60">
        <f t="shared" si="5"/>
        <v>209</v>
      </c>
      <c r="C302" s="57"/>
      <c r="D302" s="10"/>
      <c r="E302" s="10"/>
      <c r="F302" s="83" t="s">
        <v>88</v>
      </c>
      <c r="G302" s="80"/>
      <c r="H302" s="263">
        <f>4933784+66270+28314</f>
        <v>5028368</v>
      </c>
      <c r="I302" s="270">
        <f>5173604+91814+21600+22062+1800+6068+13631-1</f>
        <v>5330578</v>
      </c>
      <c r="J302" s="803">
        <f t="shared" si="7"/>
        <v>106.01010109045322</v>
      </c>
    </row>
    <row r="303" spans="2:10" ht="12.75" customHeight="1">
      <c r="B303" s="60">
        <f t="shared" si="5"/>
        <v>210</v>
      </c>
      <c r="C303" s="6"/>
      <c r="D303" s="9"/>
      <c r="E303" s="9"/>
      <c r="F303" s="40" t="s">
        <v>165</v>
      </c>
      <c r="G303" s="74"/>
      <c r="H303" s="257">
        <v>70981</v>
      </c>
      <c r="I303" s="256">
        <v>73765</v>
      </c>
      <c r="J303" s="803">
        <f t="shared" si="7"/>
        <v>103.9221763570533</v>
      </c>
    </row>
    <row r="304" spans="2:10" ht="12.75" customHeight="1">
      <c r="B304" s="60">
        <f t="shared" si="5"/>
        <v>211</v>
      </c>
      <c r="C304" s="6"/>
      <c r="D304" s="9"/>
      <c r="E304" s="9"/>
      <c r="F304" s="46" t="s">
        <v>89</v>
      </c>
      <c r="G304" s="74"/>
      <c r="H304" s="257">
        <f>250000+443883</f>
        <v>693883</v>
      </c>
      <c r="I304" s="256">
        <v>892110</v>
      </c>
      <c r="J304" s="803">
        <f t="shared" si="7"/>
        <v>128.56778448239834</v>
      </c>
    </row>
    <row r="305" spans="2:10" ht="12.75">
      <c r="B305" s="60">
        <f t="shared" si="5"/>
        <v>212</v>
      </c>
      <c r="C305" s="6"/>
      <c r="D305" s="12"/>
      <c r="E305" s="8"/>
      <c r="F305" s="46" t="s">
        <v>90</v>
      </c>
      <c r="G305" s="74"/>
      <c r="H305" s="257">
        <v>62000</v>
      </c>
      <c r="I305" s="256">
        <v>69945</v>
      </c>
      <c r="J305" s="803">
        <f t="shared" si="7"/>
        <v>112.81451612903226</v>
      </c>
    </row>
    <row r="306" spans="2:10" ht="12.75">
      <c r="B306" s="60">
        <f t="shared" si="5"/>
        <v>213</v>
      </c>
      <c r="C306" s="6"/>
      <c r="D306" s="12"/>
      <c r="E306" s="8"/>
      <c r="F306" s="46" t="s">
        <v>79</v>
      </c>
      <c r="G306" s="74"/>
      <c r="H306" s="257">
        <v>50000</v>
      </c>
      <c r="I306" s="256">
        <v>55439</v>
      </c>
      <c r="J306" s="803">
        <f t="shared" si="7"/>
        <v>110.87800000000001</v>
      </c>
    </row>
    <row r="307" spans="2:10" ht="12.75">
      <c r="B307" s="60">
        <f aca="true" t="shared" si="8" ref="B307:B314">B306+1</f>
        <v>214</v>
      </c>
      <c r="C307" s="6"/>
      <c r="D307" s="12"/>
      <c r="E307" s="8"/>
      <c r="F307" s="46" t="s">
        <v>91</v>
      </c>
      <c r="G307" s="74"/>
      <c r="H307" s="257">
        <v>36840</v>
      </c>
      <c r="I307" s="256">
        <v>38018</v>
      </c>
      <c r="J307" s="803">
        <f t="shared" si="7"/>
        <v>103.19761129207383</v>
      </c>
    </row>
    <row r="308" spans="2:10" ht="12.75">
      <c r="B308" s="60">
        <f t="shared" si="8"/>
        <v>215</v>
      </c>
      <c r="C308" s="6"/>
      <c r="D308" s="12"/>
      <c r="E308" s="8"/>
      <c r="F308" s="46" t="s">
        <v>2</v>
      </c>
      <c r="G308" s="74"/>
      <c r="H308" s="257">
        <v>18855</v>
      </c>
      <c r="I308" s="256">
        <v>18613</v>
      </c>
      <c r="J308" s="803">
        <f t="shared" si="7"/>
        <v>98.71652081675948</v>
      </c>
    </row>
    <row r="309" spans="2:10" ht="14.25" customHeight="1">
      <c r="B309" s="60">
        <f t="shared" si="8"/>
        <v>216</v>
      </c>
      <c r="C309" s="6"/>
      <c r="D309" s="12"/>
      <c r="E309" s="8"/>
      <c r="F309" s="46" t="s">
        <v>92</v>
      </c>
      <c r="G309" s="74"/>
      <c r="H309" s="257">
        <v>24500</v>
      </c>
      <c r="I309" s="256">
        <v>24395</v>
      </c>
      <c r="J309" s="803">
        <f t="shared" si="7"/>
        <v>99.57142857142857</v>
      </c>
    </row>
    <row r="310" spans="2:10" ht="13.5" customHeight="1">
      <c r="B310" s="60">
        <f t="shared" si="8"/>
        <v>217</v>
      </c>
      <c r="C310" s="6"/>
      <c r="D310" s="12"/>
      <c r="E310" s="8"/>
      <c r="F310" s="46" t="s">
        <v>366</v>
      </c>
      <c r="G310" s="74"/>
      <c r="H310" s="257">
        <f>1700+4398</f>
        <v>6098</v>
      </c>
      <c r="I310" s="256">
        <v>6098</v>
      </c>
      <c r="J310" s="803">
        <f t="shared" si="7"/>
        <v>100</v>
      </c>
    </row>
    <row r="311" spans="2:10" ht="12.75">
      <c r="B311" s="60">
        <f t="shared" si="8"/>
        <v>218</v>
      </c>
      <c r="C311" s="6"/>
      <c r="D311" s="12"/>
      <c r="E311" s="8"/>
      <c r="F311" s="46" t="s">
        <v>704</v>
      </c>
      <c r="G311" s="74"/>
      <c r="H311" s="257">
        <v>5762</v>
      </c>
      <c r="I311" s="256">
        <v>5762</v>
      </c>
      <c r="J311" s="803">
        <f t="shared" si="7"/>
        <v>100</v>
      </c>
    </row>
    <row r="312" spans="2:10" ht="12.75">
      <c r="B312" s="60">
        <f t="shared" si="8"/>
        <v>219</v>
      </c>
      <c r="C312" s="558"/>
      <c r="D312" s="559"/>
      <c r="E312" s="560"/>
      <c r="F312" s="36" t="s">
        <v>741</v>
      </c>
      <c r="G312" s="79"/>
      <c r="H312" s="561">
        <v>500</v>
      </c>
      <c r="I312" s="1003">
        <v>500</v>
      </c>
      <c r="J312" s="803">
        <f t="shared" si="7"/>
        <v>100</v>
      </c>
    </row>
    <row r="313" spans="2:10" ht="12.75">
      <c r="B313" s="60">
        <f t="shared" si="8"/>
        <v>220</v>
      </c>
      <c r="C313" s="57"/>
      <c r="D313" s="61"/>
      <c r="E313" s="562"/>
      <c r="F313" s="54" t="s">
        <v>742</v>
      </c>
      <c r="G313" s="80"/>
      <c r="H313" s="263">
        <v>7000</v>
      </c>
      <c r="I313" s="270">
        <v>7000</v>
      </c>
      <c r="J313" s="803">
        <f t="shared" si="7"/>
        <v>100</v>
      </c>
    </row>
    <row r="314" spans="2:10" ht="12.75">
      <c r="B314" s="60">
        <f t="shared" si="8"/>
        <v>221</v>
      </c>
      <c r="C314" s="570"/>
      <c r="D314" s="571"/>
      <c r="E314" s="572"/>
      <c r="F314" s="535" t="s">
        <v>751</v>
      </c>
      <c r="G314" s="573"/>
      <c r="H314" s="574">
        <v>75000</v>
      </c>
      <c r="I314" s="1004">
        <v>75287</v>
      </c>
      <c r="J314" s="803">
        <f t="shared" si="7"/>
        <v>100.38266666666667</v>
      </c>
    </row>
    <row r="315" spans="2:10" ht="12.75">
      <c r="B315" s="60">
        <f aca="true" t="shared" si="9" ref="B315:B322">B314+1</f>
        <v>222</v>
      </c>
      <c r="C315" s="570"/>
      <c r="D315" s="571"/>
      <c r="E315" s="572"/>
      <c r="F315" s="535" t="s">
        <v>805</v>
      </c>
      <c r="G315" s="573"/>
      <c r="H315" s="574"/>
      <c r="I315" s="1004">
        <f>101+1507+377</f>
        <v>1985</v>
      </c>
      <c r="J315" s="803"/>
    </row>
    <row r="316" spans="2:10" ht="12.75">
      <c r="B316" s="60">
        <f t="shared" si="9"/>
        <v>223</v>
      </c>
      <c r="C316" s="570"/>
      <c r="D316" s="571"/>
      <c r="E316" s="572"/>
      <c r="F316" s="535" t="s">
        <v>804</v>
      </c>
      <c r="G316" s="573"/>
      <c r="H316" s="574"/>
      <c r="I316" s="1004">
        <f>3669+19426</f>
        <v>23095</v>
      </c>
      <c r="J316" s="803"/>
    </row>
    <row r="317" spans="2:10" ht="12.75">
      <c r="B317" s="60">
        <f t="shared" si="9"/>
        <v>224</v>
      </c>
      <c r="C317" s="570"/>
      <c r="D317" s="571"/>
      <c r="E317" s="572"/>
      <c r="F317" s="535" t="s">
        <v>775</v>
      </c>
      <c r="G317" s="573"/>
      <c r="H317" s="574"/>
      <c r="I317" s="1004">
        <v>3846</v>
      </c>
      <c r="J317" s="803"/>
    </row>
    <row r="318" spans="2:10" ht="12.75">
      <c r="B318" s="60">
        <f t="shared" si="9"/>
        <v>225</v>
      </c>
      <c r="C318" s="570"/>
      <c r="D318" s="571"/>
      <c r="E318" s="572"/>
      <c r="F318" s="535" t="s">
        <v>782</v>
      </c>
      <c r="G318" s="573"/>
      <c r="H318" s="574"/>
      <c r="I318" s="1004">
        <v>48943</v>
      </c>
      <c r="J318" s="803"/>
    </row>
    <row r="319" spans="2:10" ht="12.75">
      <c r="B319" s="60">
        <f t="shared" si="9"/>
        <v>226</v>
      </c>
      <c r="C319" s="570"/>
      <c r="D319" s="571"/>
      <c r="E319" s="572"/>
      <c r="F319" s="535" t="s">
        <v>806</v>
      </c>
      <c r="G319" s="573"/>
      <c r="H319" s="574"/>
      <c r="I319" s="1004">
        <v>1932</v>
      </c>
      <c r="J319" s="803"/>
    </row>
    <row r="320" spans="2:10" ht="12.75">
      <c r="B320" s="60">
        <f t="shared" si="9"/>
        <v>227</v>
      </c>
      <c r="C320" s="570"/>
      <c r="D320" s="571"/>
      <c r="E320" s="572"/>
      <c r="F320" s="535" t="s">
        <v>807</v>
      </c>
      <c r="G320" s="573"/>
      <c r="H320" s="574"/>
      <c r="I320" s="1004">
        <v>6403</v>
      </c>
      <c r="J320" s="803"/>
    </row>
    <row r="321" spans="2:10" ht="12.75" customHeight="1" thickBot="1">
      <c r="B321" s="60">
        <f t="shared" si="9"/>
        <v>228</v>
      </c>
      <c r="C321" s="132"/>
      <c r="D321" s="133"/>
      <c r="E321" s="134"/>
      <c r="F321" s="135"/>
      <c r="G321" s="136"/>
      <c r="H321" s="264"/>
      <c r="I321" s="264"/>
      <c r="J321" s="803"/>
    </row>
    <row r="322" spans="1:10" s="591" customFormat="1" ht="31.5" customHeight="1" thickBot="1" thickTop="1">
      <c r="A322" s="585"/>
      <c r="B322" s="841">
        <f t="shared" si="9"/>
        <v>229</v>
      </c>
      <c r="C322" s="586"/>
      <c r="D322" s="587"/>
      <c r="E322" s="588"/>
      <c r="F322" s="810" t="s">
        <v>93</v>
      </c>
      <c r="G322" s="589"/>
      <c r="H322" s="590">
        <f>H292+H24+H7</f>
        <v>29358313</v>
      </c>
      <c r="I322" s="598">
        <f>I292+I24+I7</f>
        <v>29996956</v>
      </c>
      <c r="J322" s="803">
        <f>I322/H322*100</f>
        <v>102.17533957077165</v>
      </c>
    </row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 thickBot="1"/>
    <row r="353" spans="2:10" ht="13.5" customHeight="1">
      <c r="B353" s="1007" t="s">
        <v>202</v>
      </c>
      <c r="C353" s="1023"/>
      <c r="D353" s="1023"/>
      <c r="E353" s="1023"/>
      <c r="F353" s="1023"/>
      <c r="G353" s="1023"/>
      <c r="H353" s="1016" t="s">
        <v>664</v>
      </c>
      <c r="I353" s="1019" t="s">
        <v>772</v>
      </c>
      <c r="J353" s="1013" t="s">
        <v>773</v>
      </c>
    </row>
    <row r="354" spans="2:10" ht="12.75" customHeight="1">
      <c r="B354" s="1024"/>
      <c r="C354" s="1025"/>
      <c r="D354" s="1025"/>
      <c r="E354" s="1025"/>
      <c r="F354" s="1025"/>
      <c r="G354" s="1025"/>
      <c r="H354" s="1017"/>
      <c r="I354" s="1020"/>
      <c r="J354" s="1014"/>
    </row>
    <row r="355" spans="2:10" ht="12.75" customHeight="1">
      <c r="B355" s="87"/>
      <c r="C355" s="1026" t="s">
        <v>11</v>
      </c>
      <c r="D355" s="88" t="s">
        <v>12</v>
      </c>
      <c r="E355" s="88" t="s">
        <v>13</v>
      </c>
      <c r="F355" s="90"/>
      <c r="G355" s="90"/>
      <c r="H355" s="1017"/>
      <c r="I355" s="1020"/>
      <c r="J355" s="1014"/>
    </row>
    <row r="356" spans="2:10" ht="13.5" customHeight="1" thickBot="1">
      <c r="B356" s="91"/>
      <c r="C356" s="1006"/>
      <c r="D356" s="93"/>
      <c r="E356" s="92" t="s">
        <v>14</v>
      </c>
      <c r="F356" s="95" t="s">
        <v>15</v>
      </c>
      <c r="G356" s="95"/>
      <c r="H356" s="1018"/>
      <c r="I356" s="1021"/>
      <c r="J356" s="1015"/>
    </row>
    <row r="357" spans="2:10" ht="16.5" thickTop="1">
      <c r="B357" s="97">
        <v>1</v>
      </c>
      <c r="C357" s="98" t="s">
        <v>38</v>
      </c>
      <c r="D357" s="99"/>
      <c r="E357" s="447"/>
      <c r="F357" s="448" t="s">
        <v>39</v>
      </c>
      <c r="G357" s="449"/>
      <c r="H357" s="470">
        <f>H359+H365</f>
        <v>3146211</v>
      </c>
      <c r="I357" s="599">
        <f>I359+I371</f>
        <v>2053202</v>
      </c>
      <c r="J357" s="811">
        <f aca="true" t="shared" si="10" ref="J357:J378">I357/H357*100</f>
        <v>65.25951374526375</v>
      </c>
    </row>
    <row r="358" spans="2:10" ht="15">
      <c r="B358" s="100">
        <f>B357+1</f>
        <v>2</v>
      </c>
      <c r="C358" s="12"/>
      <c r="D358" s="6"/>
      <c r="E358" s="73"/>
      <c r="F358" s="41"/>
      <c r="G358" s="101"/>
      <c r="H358" s="471"/>
      <c r="I358" s="471"/>
      <c r="J358" s="812"/>
    </row>
    <row r="359" spans="2:10" ht="12.75">
      <c r="B359" s="100">
        <f aca="true" t="shared" si="11" ref="B359:B377">B358+1</f>
        <v>3</v>
      </c>
      <c r="C359" s="57" t="s">
        <v>203</v>
      </c>
      <c r="D359" s="57"/>
      <c r="E359" s="73"/>
      <c r="F359" s="101" t="s">
        <v>205</v>
      </c>
      <c r="G359" s="46"/>
      <c r="H359" s="472">
        <f>H360</f>
        <v>1639931</v>
      </c>
      <c r="I359" s="472">
        <f>I360+I365</f>
        <v>2053169</v>
      </c>
      <c r="J359" s="812">
        <f t="shared" si="10"/>
        <v>125.19849920514949</v>
      </c>
    </row>
    <row r="360" spans="2:10" ht="12.75">
      <c r="B360" s="100">
        <f t="shared" si="11"/>
        <v>4</v>
      </c>
      <c r="C360" s="48"/>
      <c r="D360" s="48" t="s">
        <v>204</v>
      </c>
      <c r="E360" s="48"/>
      <c r="F360" s="102" t="s">
        <v>205</v>
      </c>
      <c r="G360" s="46"/>
      <c r="H360" s="473">
        <f>SUM(H361:H363)</f>
        <v>1639931</v>
      </c>
      <c r="I360" s="982">
        <f>SUM(I361:I363)</f>
        <v>1257174</v>
      </c>
      <c r="J360" s="812">
        <f t="shared" si="10"/>
        <v>76.66017655620877</v>
      </c>
    </row>
    <row r="361" spans="2:10" ht="12.75">
      <c r="B361" s="100">
        <f t="shared" si="11"/>
        <v>5</v>
      </c>
      <c r="C361" s="7"/>
      <c r="D361" s="31"/>
      <c r="E361" s="31"/>
      <c r="F361" s="443" t="s">
        <v>206</v>
      </c>
      <c r="G361" s="54"/>
      <c r="H361" s="474">
        <f>2700000-177760+25000-2000000-334900</f>
        <v>212340</v>
      </c>
      <c r="I361" s="474">
        <v>31625</v>
      </c>
      <c r="J361" s="813">
        <f t="shared" si="10"/>
        <v>14.893566920975793</v>
      </c>
    </row>
    <row r="362" spans="2:10" ht="12.75">
      <c r="B362" s="100">
        <f t="shared" si="11"/>
        <v>6</v>
      </c>
      <c r="C362" s="6"/>
      <c r="D362" s="7"/>
      <c r="E362" s="7"/>
      <c r="F362" s="444" t="s">
        <v>207</v>
      </c>
      <c r="G362" s="54"/>
      <c r="H362" s="456">
        <v>400000</v>
      </c>
      <c r="I362" s="474">
        <f>382637+8032</f>
        <v>390669</v>
      </c>
      <c r="J362" s="813">
        <f t="shared" si="10"/>
        <v>97.66725000000001</v>
      </c>
    </row>
    <row r="363" spans="2:10" ht="12.75">
      <c r="B363" s="100">
        <f t="shared" si="11"/>
        <v>7</v>
      </c>
      <c r="C363" s="6"/>
      <c r="D363" s="7"/>
      <c r="E363" s="48"/>
      <c r="F363" s="18" t="s">
        <v>230</v>
      </c>
      <c r="G363" s="46"/>
      <c r="H363" s="419">
        <f>1113000-5509-79900</f>
        <v>1027591</v>
      </c>
      <c r="I363" s="419">
        <v>834880</v>
      </c>
      <c r="J363" s="812">
        <f t="shared" si="10"/>
        <v>81.24633244160371</v>
      </c>
    </row>
    <row r="364" spans="2:10" ht="15.75" customHeight="1">
      <c r="B364" s="100">
        <f t="shared" si="11"/>
        <v>8</v>
      </c>
      <c r="C364" s="6"/>
      <c r="D364" s="7"/>
      <c r="E364" s="7"/>
      <c r="F364" s="446"/>
      <c r="G364" s="54"/>
      <c r="H364" s="456"/>
      <c r="I364" s="456"/>
      <c r="J364" s="813"/>
    </row>
    <row r="365" spans="2:10" ht="13.5" customHeight="1">
      <c r="B365" s="100">
        <f t="shared" si="11"/>
        <v>9</v>
      </c>
      <c r="C365" s="6"/>
      <c r="D365" s="48" t="s">
        <v>208</v>
      </c>
      <c r="E365" s="7" t="s">
        <v>27</v>
      </c>
      <c r="F365" s="444" t="s">
        <v>209</v>
      </c>
      <c r="G365" s="54"/>
      <c r="H365" s="852">
        <f>SUM(H366:H370)</f>
        <v>1506280</v>
      </c>
      <c r="I365" s="852">
        <f>SUM(I366:I369)</f>
        <v>795995</v>
      </c>
      <c r="J365" s="813">
        <f t="shared" si="10"/>
        <v>52.84508856255145</v>
      </c>
    </row>
    <row r="366" spans="2:10" ht="12.75">
      <c r="B366" s="100">
        <f t="shared" si="11"/>
        <v>10</v>
      </c>
      <c r="C366" s="7"/>
      <c r="D366" s="7"/>
      <c r="E366" s="7"/>
      <c r="F366" s="444" t="s">
        <v>210</v>
      </c>
      <c r="G366" s="54"/>
      <c r="H366" s="456">
        <f>120000+334900</f>
        <v>454900</v>
      </c>
      <c r="I366" s="456">
        <f>485099+15000</f>
        <v>500099</v>
      </c>
      <c r="J366" s="813">
        <f t="shared" si="10"/>
        <v>109.9360298966806</v>
      </c>
    </row>
    <row r="367" spans="2:10" ht="12.75">
      <c r="B367" s="100">
        <f t="shared" si="11"/>
        <v>11</v>
      </c>
      <c r="C367" s="7"/>
      <c r="D367" s="10"/>
      <c r="E367" s="48"/>
      <c r="F367" s="18" t="s">
        <v>211</v>
      </c>
      <c r="G367" s="46"/>
      <c r="H367" s="419">
        <f>1600000-800000</f>
        <v>800000</v>
      </c>
      <c r="I367" s="419">
        <v>33019</v>
      </c>
      <c r="J367" s="812">
        <f t="shared" si="10"/>
        <v>4.127375</v>
      </c>
    </row>
    <row r="368" spans="2:10" ht="12.75">
      <c r="B368" s="100">
        <f t="shared" si="11"/>
        <v>12</v>
      </c>
      <c r="C368" s="7"/>
      <c r="D368" s="10"/>
      <c r="E368" s="7"/>
      <c r="F368" s="444" t="s">
        <v>764</v>
      </c>
      <c r="G368" s="54"/>
      <c r="H368" s="456">
        <v>79900</v>
      </c>
      <c r="I368" s="456">
        <v>91398</v>
      </c>
      <c r="J368" s="813">
        <f t="shared" si="10"/>
        <v>114.39048811013768</v>
      </c>
    </row>
    <row r="369" spans="2:10" ht="12.75">
      <c r="B369" s="100">
        <f t="shared" si="11"/>
        <v>13</v>
      </c>
      <c r="C369" s="7"/>
      <c r="D369" s="7"/>
      <c r="E369" s="7"/>
      <c r="F369" s="444" t="s">
        <v>226</v>
      </c>
      <c r="G369" s="54"/>
      <c r="H369" s="456">
        <f>2690000-2518520</f>
        <v>171480</v>
      </c>
      <c r="I369" s="456">
        <v>171479</v>
      </c>
      <c r="J369" s="813">
        <f t="shared" si="10"/>
        <v>99.99941684161419</v>
      </c>
    </row>
    <row r="370" spans="2:10" ht="12.75">
      <c r="B370" s="100">
        <f t="shared" si="11"/>
        <v>14</v>
      </c>
      <c r="C370" s="7"/>
      <c r="D370" s="9"/>
      <c r="E370" s="48"/>
      <c r="F370" s="37"/>
      <c r="G370" s="46"/>
      <c r="H370" s="419"/>
      <c r="I370" s="419"/>
      <c r="J370" s="812"/>
    </row>
    <row r="371" spans="2:10" ht="12.75">
      <c r="B371" s="100">
        <f t="shared" si="11"/>
        <v>15</v>
      </c>
      <c r="C371" s="7"/>
      <c r="D371" s="10"/>
      <c r="E371" s="48"/>
      <c r="F371" s="37" t="s">
        <v>783</v>
      </c>
      <c r="G371" s="75"/>
      <c r="H371" s="419"/>
      <c r="I371" s="419">
        <v>33</v>
      </c>
      <c r="J371" s="812"/>
    </row>
    <row r="372" spans="2:10" ht="14.25">
      <c r="B372" s="100">
        <f t="shared" si="11"/>
        <v>16</v>
      </c>
      <c r="C372" s="7"/>
      <c r="D372" s="10"/>
      <c r="E372" s="48"/>
      <c r="F372" s="445"/>
      <c r="G372" s="9"/>
      <c r="H372" s="420"/>
      <c r="I372" s="420"/>
      <c r="J372" s="814"/>
    </row>
    <row r="373" spans="2:10" ht="15.75">
      <c r="B373" s="100">
        <f t="shared" si="11"/>
        <v>17</v>
      </c>
      <c r="C373" s="103" t="s">
        <v>83</v>
      </c>
      <c r="D373" s="450"/>
      <c r="E373" s="450"/>
      <c r="F373" s="454" t="s">
        <v>212</v>
      </c>
      <c r="G373" s="104"/>
      <c r="H373" s="475">
        <f>H375+H376</f>
        <v>504900</v>
      </c>
      <c r="I373" s="600">
        <f>I375+I376</f>
        <v>497953</v>
      </c>
      <c r="J373" s="812">
        <f t="shared" si="10"/>
        <v>98.62408397702515</v>
      </c>
    </row>
    <row r="374" spans="2:10" ht="15">
      <c r="B374" s="100">
        <f t="shared" si="11"/>
        <v>18</v>
      </c>
      <c r="C374" s="105"/>
      <c r="D374" s="452"/>
      <c r="E374" s="452"/>
      <c r="F374" s="453"/>
      <c r="G374" s="46"/>
      <c r="H374" s="421"/>
      <c r="I374" s="421"/>
      <c r="J374" s="812"/>
    </row>
    <row r="375" spans="2:10" ht="12.75">
      <c r="B375" s="100">
        <f t="shared" si="11"/>
        <v>19</v>
      </c>
      <c r="C375" s="105"/>
      <c r="D375" s="31" t="s">
        <v>527</v>
      </c>
      <c r="E375" s="31" t="s">
        <v>27</v>
      </c>
      <c r="F375" s="444" t="s">
        <v>227</v>
      </c>
      <c r="G375" s="54"/>
      <c r="H375" s="456">
        <f>417460-12560</f>
        <v>404900</v>
      </c>
      <c r="I375" s="456">
        <v>397953</v>
      </c>
      <c r="J375" s="813">
        <f t="shared" si="10"/>
        <v>98.2842677204248</v>
      </c>
    </row>
    <row r="376" spans="2:10" ht="12.75">
      <c r="B376" s="100">
        <f t="shared" si="11"/>
        <v>20</v>
      </c>
      <c r="C376" s="529"/>
      <c r="D376" s="530" t="s">
        <v>695</v>
      </c>
      <c r="E376" s="531"/>
      <c r="F376" s="390" t="s">
        <v>696</v>
      </c>
      <c r="G376" s="36"/>
      <c r="H376" s="532">
        <v>100000</v>
      </c>
      <c r="I376" s="532">
        <v>100000</v>
      </c>
      <c r="J376" s="815">
        <f t="shared" si="10"/>
        <v>100</v>
      </c>
    </row>
    <row r="377" spans="2:10" ht="15.75" customHeight="1">
      <c r="B377" s="100">
        <f t="shared" si="11"/>
        <v>21</v>
      </c>
      <c r="C377" s="105"/>
      <c r="D377" s="533"/>
      <c r="E377" s="31"/>
      <c r="F377" s="534"/>
      <c r="G377" s="535"/>
      <c r="H377" s="536"/>
      <c r="I377" s="536"/>
      <c r="J377" s="813"/>
    </row>
    <row r="378" spans="2:10" ht="25.5" customHeight="1" thickBot="1">
      <c r="B378" s="106">
        <f>B377+1</f>
        <v>22</v>
      </c>
      <c r="C378" s="442"/>
      <c r="D378" s="816"/>
      <c r="E378" s="451"/>
      <c r="F378" s="817" t="s">
        <v>213</v>
      </c>
      <c r="G378" s="455"/>
      <c r="H378" s="422">
        <f>H373+H357</f>
        <v>3651111</v>
      </c>
      <c r="I378" s="601">
        <f>I373+I357</f>
        <v>2551155</v>
      </c>
      <c r="J378" s="789">
        <f t="shared" si="10"/>
        <v>69.8733892231707</v>
      </c>
    </row>
    <row r="379" spans="2:8" ht="13.5" customHeight="1">
      <c r="B379" s="382"/>
      <c r="C379" s="388"/>
      <c r="D379" s="388"/>
      <c r="E379" s="388"/>
      <c r="F379" s="392"/>
      <c r="G379" s="392"/>
      <c r="H379" s="169"/>
    </row>
    <row r="380" spans="2:8" ht="13.5" customHeight="1">
      <c r="B380" s="382"/>
      <c r="C380" s="388"/>
      <c r="D380" s="388"/>
      <c r="E380" s="388"/>
      <c r="F380" s="392"/>
      <c r="G380" s="392"/>
      <c r="H380" s="169"/>
    </row>
    <row r="381" spans="2:8" ht="13.5" customHeight="1">
      <c r="B381" s="382"/>
      <c r="C381" s="388"/>
      <c r="D381" s="388"/>
      <c r="E381" s="388"/>
      <c r="F381" s="392"/>
      <c r="G381" s="392"/>
      <c r="H381" s="169"/>
    </row>
    <row r="382" spans="2:8" ht="13.5" thickBot="1">
      <c r="B382" s="382"/>
      <c r="C382" s="388"/>
      <c r="D382" s="388"/>
      <c r="E382" s="388"/>
      <c r="F382" s="392"/>
      <c r="G382" s="393"/>
      <c r="H382" s="169"/>
    </row>
    <row r="383" spans="2:10" ht="12.75" customHeight="1">
      <c r="B383" s="1007" t="s">
        <v>222</v>
      </c>
      <c r="C383" s="1023"/>
      <c r="D383" s="1023"/>
      <c r="E383" s="1023"/>
      <c r="F383" s="1023"/>
      <c r="G383" s="1023"/>
      <c r="H383" s="1027" t="s">
        <v>560</v>
      </c>
      <c r="I383" s="1030" t="s">
        <v>772</v>
      </c>
      <c r="J383" s="1013" t="s">
        <v>773</v>
      </c>
    </row>
    <row r="384" spans="2:10" ht="12.75" customHeight="1">
      <c r="B384" s="1024"/>
      <c r="C384" s="1025"/>
      <c r="D384" s="1025"/>
      <c r="E384" s="1025"/>
      <c r="F384" s="1025"/>
      <c r="G384" s="1025"/>
      <c r="H384" s="1028"/>
      <c r="I384" s="1031"/>
      <c r="J384" s="1014"/>
    </row>
    <row r="385" spans="2:10" ht="17.25" customHeight="1">
      <c r="B385" s="87"/>
      <c r="C385" s="88" t="s">
        <v>11</v>
      </c>
      <c r="D385" s="88" t="s">
        <v>12</v>
      </c>
      <c r="E385" s="88" t="s">
        <v>13</v>
      </c>
      <c r="F385" s="90"/>
      <c r="G385" s="90"/>
      <c r="H385" s="1028"/>
      <c r="I385" s="1031"/>
      <c r="J385" s="1014"/>
    </row>
    <row r="386" spans="2:10" ht="20.25" customHeight="1" thickBot="1">
      <c r="B386" s="91"/>
      <c r="C386" s="92"/>
      <c r="D386" s="93"/>
      <c r="E386" s="92" t="s">
        <v>14</v>
      </c>
      <c r="F386" s="95"/>
      <c r="G386" s="95"/>
      <c r="H386" s="1029"/>
      <c r="I386" s="1032"/>
      <c r="J386" s="1015"/>
    </row>
    <row r="387" spans="2:10" ht="16.5" thickTop="1">
      <c r="B387" s="100">
        <v>1</v>
      </c>
      <c r="C387" s="107"/>
      <c r="D387" s="107"/>
      <c r="E387" s="108"/>
      <c r="F387" s="109" t="s">
        <v>93</v>
      </c>
      <c r="G387" s="109"/>
      <c r="H387" s="285">
        <f>H322</f>
        <v>29358313</v>
      </c>
      <c r="I387" s="818">
        <f>I322</f>
        <v>29996956</v>
      </c>
      <c r="J387" s="803">
        <f>I387/H387*100</f>
        <v>102.17533957077165</v>
      </c>
    </row>
    <row r="388" spans="2:10" ht="16.5" thickBot="1">
      <c r="B388" s="110">
        <f>B387+1</f>
        <v>2</v>
      </c>
      <c r="C388" s="111"/>
      <c r="D388" s="111"/>
      <c r="E388" s="112"/>
      <c r="F388" s="113" t="s">
        <v>213</v>
      </c>
      <c r="G388" s="113"/>
      <c r="H388" s="286">
        <f>H378</f>
        <v>3651111</v>
      </c>
      <c r="I388" s="819">
        <f>I378</f>
        <v>2551155</v>
      </c>
      <c r="J388" s="803">
        <f>I388/H388*100</f>
        <v>69.8733892231707</v>
      </c>
    </row>
    <row r="389" spans="2:10" ht="17.25" thickBot="1" thickTop="1">
      <c r="B389" s="114">
        <f>B388+1</f>
        <v>3</v>
      </c>
      <c r="C389" s="437"/>
      <c r="D389" s="438"/>
      <c r="E389" s="439"/>
      <c r="F389" s="440" t="s">
        <v>214</v>
      </c>
      <c r="G389" s="441"/>
      <c r="H389" s="287">
        <f>H387+H388</f>
        <v>33009424</v>
      </c>
      <c r="I389" s="820">
        <f>I388+I387</f>
        <v>32548111</v>
      </c>
      <c r="J389" s="821">
        <f>I389/H389*100</f>
        <v>98.60248091575303</v>
      </c>
    </row>
    <row r="390" spans="6:9" ht="12.75">
      <c r="F390" s="4"/>
      <c r="G390" s="4"/>
      <c r="I390" s="15"/>
    </row>
  </sheetData>
  <sheetProtection selectLockedCells="1" selectUnlockedCells="1"/>
  <mergeCells count="35">
    <mergeCell ref="B142:G143"/>
    <mergeCell ref="H142:H145"/>
    <mergeCell ref="I142:I145"/>
    <mergeCell ref="J142:J145"/>
    <mergeCell ref="C144:C145"/>
    <mergeCell ref="B288:G289"/>
    <mergeCell ref="H288:H291"/>
    <mergeCell ref="I288:I291"/>
    <mergeCell ref="J288:J291"/>
    <mergeCell ref="C290:C291"/>
    <mergeCell ref="B353:G354"/>
    <mergeCell ref="H353:H356"/>
    <mergeCell ref="I353:I356"/>
    <mergeCell ref="J353:J356"/>
    <mergeCell ref="C355:C356"/>
    <mergeCell ref="B383:G384"/>
    <mergeCell ref="H383:H386"/>
    <mergeCell ref="I383:I386"/>
    <mergeCell ref="J383:J386"/>
    <mergeCell ref="B68:G69"/>
    <mergeCell ref="H68:H71"/>
    <mergeCell ref="I68:I71"/>
    <mergeCell ref="J68:J71"/>
    <mergeCell ref="C70:C71"/>
    <mergeCell ref="B214:G215"/>
    <mergeCell ref="H214:H217"/>
    <mergeCell ref="I214:I217"/>
    <mergeCell ref="J214:J217"/>
    <mergeCell ref="C216:C217"/>
    <mergeCell ref="C5:C6"/>
    <mergeCell ref="B3:G4"/>
    <mergeCell ref="J3:J6"/>
    <mergeCell ref="H3:H6"/>
    <mergeCell ref="I3:I6"/>
    <mergeCell ref="B1:J1"/>
  </mergeCells>
  <printOptions/>
  <pageMargins left="0.65" right="0.1968503937007874" top="0.29" bottom="0.15748031496062992" header="0.26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5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4.57421875" style="0" customWidth="1"/>
    <col min="4" max="4" width="3.140625" style="0" customWidth="1"/>
    <col min="5" max="5" width="7.140625" style="0" customWidth="1"/>
    <col min="6" max="6" width="5.57421875" style="0" customWidth="1"/>
    <col min="7" max="7" width="42.421875" style="0" customWidth="1"/>
    <col min="8" max="8" width="13.140625" style="0" customWidth="1"/>
    <col min="9" max="9" width="13.28125" style="0" customWidth="1"/>
    <col min="10" max="10" width="5.57421875" style="709" customWidth="1"/>
    <col min="11" max="11" width="1.28515625" style="0" customWidth="1"/>
    <col min="12" max="13" width="12.00390625" style="0" customWidth="1"/>
    <col min="14" max="14" width="5.8515625" style="583" customWidth="1"/>
    <col min="15" max="15" width="2.140625" style="0" customWidth="1"/>
    <col min="16" max="16" width="11.8515625" style="0" customWidth="1"/>
    <col min="17" max="17" width="13.8515625" style="0" customWidth="1"/>
    <col min="18" max="18" width="6.8515625" style="583" customWidth="1"/>
  </cols>
  <sheetData>
    <row r="3" spans="2:16" ht="27.75" thickBot="1">
      <c r="B3" s="379" t="s">
        <v>166</v>
      </c>
      <c r="C3" s="379"/>
      <c r="D3" s="379"/>
      <c r="E3" s="379"/>
      <c r="F3" s="379"/>
      <c r="G3" s="379"/>
      <c r="H3" s="379"/>
      <c r="I3" s="379"/>
      <c r="J3" s="688"/>
      <c r="K3" s="379"/>
      <c r="L3" s="379"/>
      <c r="M3" s="379"/>
      <c r="N3" s="689"/>
      <c r="O3" s="379"/>
      <c r="P3" s="379"/>
    </row>
    <row r="4" spans="2:18" ht="13.5" thickBot="1">
      <c r="B4" s="1037" t="s">
        <v>236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9"/>
      <c r="O4" s="151"/>
      <c r="P4" s="1052" t="s">
        <v>627</v>
      </c>
      <c r="Q4" s="1040" t="s">
        <v>772</v>
      </c>
      <c r="R4" s="1047" t="s">
        <v>774</v>
      </c>
    </row>
    <row r="5" spans="2:18" ht="12.75" customHeight="1">
      <c r="B5" s="26"/>
      <c r="C5" s="1043" t="s">
        <v>613</v>
      </c>
      <c r="D5" s="1045" t="s">
        <v>612</v>
      </c>
      <c r="E5" s="1045" t="s">
        <v>610</v>
      </c>
      <c r="F5" s="1045" t="s">
        <v>611</v>
      </c>
      <c r="G5" s="288" t="s">
        <v>4</v>
      </c>
      <c r="H5" s="1074" t="s">
        <v>662</v>
      </c>
      <c r="I5" s="1033" t="s">
        <v>772</v>
      </c>
      <c r="J5" s="1035" t="s">
        <v>774</v>
      </c>
      <c r="K5" s="86"/>
      <c r="L5" s="1050" t="s">
        <v>663</v>
      </c>
      <c r="M5" s="1033" t="s">
        <v>772</v>
      </c>
      <c r="N5" s="1035" t="s">
        <v>774</v>
      </c>
      <c r="O5" s="86"/>
      <c r="P5" s="1053"/>
      <c r="Q5" s="1041"/>
      <c r="R5" s="1048"/>
    </row>
    <row r="6" spans="2:18" ht="49.5" customHeight="1" thickBot="1">
      <c r="B6" s="29"/>
      <c r="C6" s="1044"/>
      <c r="D6" s="1044"/>
      <c r="E6" s="1044"/>
      <c r="F6" s="1044"/>
      <c r="G6" s="289"/>
      <c r="H6" s="1075"/>
      <c r="I6" s="1034"/>
      <c r="J6" s="1046"/>
      <c r="K6" s="86"/>
      <c r="L6" s="1051"/>
      <c r="M6" s="1034"/>
      <c r="N6" s="1046"/>
      <c r="O6" s="86"/>
      <c r="P6" s="1054"/>
      <c r="Q6" s="1042"/>
      <c r="R6" s="1049"/>
    </row>
    <row r="7" spans="2:18" ht="17.25" thickBot="1" thickTop="1">
      <c r="B7" s="224">
        <v>1</v>
      </c>
      <c r="C7" s="359" t="s">
        <v>242</v>
      </c>
      <c r="D7" s="125"/>
      <c r="E7" s="125"/>
      <c r="F7" s="125"/>
      <c r="G7" s="290"/>
      <c r="H7" s="514">
        <f>H8+H26+H38+H39+H40+H41+H47+H56+H34</f>
        <v>838944</v>
      </c>
      <c r="I7" s="593">
        <f>I8+I26+I34+I38+I39+I40+I41+I47+I56</f>
        <v>511576</v>
      </c>
      <c r="J7" s="690">
        <f>I7/H7*100</f>
        <v>60.978563527482166</v>
      </c>
      <c r="K7" s="127"/>
      <c r="L7" s="295">
        <f>L8+L26+L38+L39+L40+L41+L47+L56</f>
        <v>33000</v>
      </c>
      <c r="M7" s="593">
        <f>M8+M26+M34+M38+M39+M40+M41+M47+M56</f>
        <v>31786</v>
      </c>
      <c r="N7" s="690">
        <f>M7/L7*100</f>
        <v>96.32121212121211</v>
      </c>
      <c r="O7" s="127"/>
      <c r="P7" s="691">
        <f aca="true" t="shared" si="0" ref="P7:P56">H7+L7</f>
        <v>871944</v>
      </c>
      <c r="Q7" s="692">
        <f>M7+I7</f>
        <v>543362</v>
      </c>
      <c r="R7" s="693">
        <f>Q7/P7*100</f>
        <v>62.31615791839843</v>
      </c>
    </row>
    <row r="8" spans="2:18" ht="16.5" thickTop="1">
      <c r="B8" s="224">
        <f aca="true" t="shared" si="1" ref="B8:B56">B7+1</f>
        <v>2</v>
      </c>
      <c r="C8" s="27">
        <v>1</v>
      </c>
      <c r="D8" s="160" t="s">
        <v>134</v>
      </c>
      <c r="E8" s="28"/>
      <c r="F8" s="28"/>
      <c r="G8" s="291"/>
      <c r="H8" s="694">
        <f>H9+H14+H16+H18+H20</f>
        <v>138200</v>
      </c>
      <c r="I8" s="695">
        <f>I9+I14+I16+I18+I20</f>
        <v>132310</v>
      </c>
      <c r="J8" s="683">
        <f aca="true" t="shared" si="2" ref="J8:J55">I8/H8*100</f>
        <v>95.73806078147612</v>
      </c>
      <c r="K8" s="96"/>
      <c r="L8" s="297">
        <v>0</v>
      </c>
      <c r="M8" s="695"/>
      <c r="N8" s="683"/>
      <c r="O8" s="96"/>
      <c r="P8" s="299">
        <f t="shared" si="0"/>
        <v>138200</v>
      </c>
      <c r="Q8" s="608">
        <f aca="true" t="shared" si="3" ref="Q8:Q56">M8+I8</f>
        <v>132310</v>
      </c>
      <c r="R8" s="696">
        <f aca="true" t="shared" si="4" ref="R8:R55">Q8/P8*100</f>
        <v>95.73806078147612</v>
      </c>
    </row>
    <row r="9" spans="2:18" ht="15">
      <c r="B9" s="224">
        <f t="shared" si="1"/>
        <v>3</v>
      </c>
      <c r="C9" s="165"/>
      <c r="D9" s="303" t="s">
        <v>5</v>
      </c>
      <c r="E9" s="1068" t="s">
        <v>102</v>
      </c>
      <c r="F9" s="1069"/>
      <c r="G9" s="1070"/>
      <c r="H9" s="435">
        <f>SUM(H10:H13)</f>
        <v>11500</v>
      </c>
      <c r="I9" s="435">
        <f>SUM(I10:I13)</f>
        <v>11257</v>
      </c>
      <c r="J9" s="697">
        <f t="shared" si="2"/>
        <v>97.88695652173914</v>
      </c>
      <c r="K9" s="23"/>
      <c r="L9" s="304"/>
      <c r="M9" s="304"/>
      <c r="N9" s="698"/>
      <c r="O9" s="23"/>
      <c r="P9" s="318">
        <f t="shared" si="0"/>
        <v>11500</v>
      </c>
      <c r="Q9" s="318">
        <f t="shared" si="3"/>
        <v>11257</v>
      </c>
      <c r="R9" s="699">
        <f t="shared" si="4"/>
        <v>97.88695652173914</v>
      </c>
    </row>
    <row r="10" spans="2:18" ht="12.75">
      <c r="B10" s="224">
        <f t="shared" si="1"/>
        <v>4</v>
      </c>
      <c r="C10" s="165"/>
      <c r="D10" s="166"/>
      <c r="E10" s="166" t="s">
        <v>277</v>
      </c>
      <c r="F10" s="166" t="s">
        <v>238</v>
      </c>
      <c r="G10" s="292" t="s">
        <v>643</v>
      </c>
      <c r="H10" s="172">
        <f>300+9500-2500-300-500</f>
        <v>6500</v>
      </c>
      <c r="I10" s="172">
        <f>6580-80</f>
        <v>6500</v>
      </c>
      <c r="J10" s="697">
        <f t="shared" si="2"/>
        <v>100</v>
      </c>
      <c r="K10" s="168"/>
      <c r="L10" s="186"/>
      <c r="M10" s="186"/>
      <c r="N10" s="698"/>
      <c r="O10" s="168"/>
      <c r="P10" s="175">
        <f t="shared" si="0"/>
        <v>6500</v>
      </c>
      <c r="Q10" s="175">
        <f t="shared" si="3"/>
        <v>6500</v>
      </c>
      <c r="R10" s="699">
        <f t="shared" si="4"/>
        <v>100</v>
      </c>
    </row>
    <row r="11" spans="2:18" ht="12.75">
      <c r="B11" s="224">
        <f t="shared" si="1"/>
        <v>5</v>
      </c>
      <c r="C11" s="165"/>
      <c r="D11" s="166"/>
      <c r="E11" s="166" t="s">
        <v>277</v>
      </c>
      <c r="F11" s="166" t="s">
        <v>254</v>
      </c>
      <c r="G11" s="292" t="s">
        <v>743</v>
      </c>
      <c r="H11" s="172">
        <v>300</v>
      </c>
      <c r="I11" s="172">
        <v>244</v>
      </c>
      <c r="J11" s="697">
        <f t="shared" si="2"/>
        <v>81.33333333333333</v>
      </c>
      <c r="K11" s="168"/>
      <c r="L11" s="186"/>
      <c r="M11" s="186"/>
      <c r="N11" s="698"/>
      <c r="O11" s="168"/>
      <c r="P11" s="175">
        <v>300</v>
      </c>
      <c r="Q11" s="175">
        <f t="shared" si="3"/>
        <v>244</v>
      </c>
      <c r="R11" s="699">
        <f t="shared" si="4"/>
        <v>81.33333333333333</v>
      </c>
    </row>
    <row r="12" spans="2:18" ht="12.75">
      <c r="B12" s="224">
        <f t="shared" si="1"/>
        <v>6</v>
      </c>
      <c r="C12" s="165"/>
      <c r="D12" s="166"/>
      <c r="E12" s="166" t="s">
        <v>277</v>
      </c>
      <c r="F12" s="166" t="s">
        <v>239</v>
      </c>
      <c r="G12" s="292" t="s">
        <v>641</v>
      </c>
      <c r="H12" s="172">
        <v>200</v>
      </c>
      <c r="I12" s="172">
        <v>190</v>
      </c>
      <c r="J12" s="697">
        <f t="shared" si="2"/>
        <v>95</v>
      </c>
      <c r="K12" s="168"/>
      <c r="L12" s="186"/>
      <c r="M12" s="186"/>
      <c r="N12" s="698"/>
      <c r="O12" s="168"/>
      <c r="P12" s="175">
        <f t="shared" si="0"/>
        <v>200</v>
      </c>
      <c r="Q12" s="175">
        <f t="shared" si="3"/>
        <v>190</v>
      </c>
      <c r="R12" s="699">
        <f t="shared" si="4"/>
        <v>95</v>
      </c>
    </row>
    <row r="13" spans="2:18" ht="12.75">
      <c r="B13" s="224">
        <f t="shared" si="1"/>
        <v>7</v>
      </c>
      <c r="C13" s="165"/>
      <c r="D13" s="166"/>
      <c r="E13" s="166" t="s">
        <v>277</v>
      </c>
      <c r="F13" s="166" t="s">
        <v>255</v>
      </c>
      <c r="G13" s="292" t="s">
        <v>644</v>
      </c>
      <c r="H13" s="172">
        <f>7000-2500</f>
        <v>4500</v>
      </c>
      <c r="I13" s="172">
        <f>4243+80</f>
        <v>4323</v>
      </c>
      <c r="J13" s="697">
        <f t="shared" si="2"/>
        <v>96.06666666666666</v>
      </c>
      <c r="K13" s="168"/>
      <c r="L13" s="186"/>
      <c r="M13" s="186"/>
      <c r="N13" s="698"/>
      <c r="O13" s="168"/>
      <c r="P13" s="175">
        <f t="shared" si="0"/>
        <v>4500</v>
      </c>
      <c r="Q13" s="175">
        <f t="shared" si="3"/>
        <v>4323</v>
      </c>
      <c r="R13" s="699">
        <f t="shared" si="4"/>
        <v>96.06666666666666</v>
      </c>
    </row>
    <row r="14" spans="2:18" ht="15">
      <c r="B14" s="224">
        <f t="shared" si="1"/>
        <v>8</v>
      </c>
      <c r="C14" s="165"/>
      <c r="D14" s="303" t="s">
        <v>6</v>
      </c>
      <c r="E14" s="1068" t="s">
        <v>395</v>
      </c>
      <c r="F14" s="1069"/>
      <c r="G14" s="1070"/>
      <c r="H14" s="435">
        <f>H15</f>
        <v>1000</v>
      </c>
      <c r="I14" s="435">
        <f>I15</f>
        <v>851</v>
      </c>
      <c r="J14" s="697">
        <f t="shared" si="2"/>
        <v>85.1</v>
      </c>
      <c r="K14" s="23"/>
      <c r="L14" s="304"/>
      <c r="M14" s="304"/>
      <c r="N14" s="698"/>
      <c r="O14" s="23"/>
      <c r="P14" s="318">
        <f t="shared" si="0"/>
        <v>1000</v>
      </c>
      <c r="Q14" s="318">
        <f t="shared" si="3"/>
        <v>851</v>
      </c>
      <c r="R14" s="699">
        <f t="shared" si="4"/>
        <v>85.1</v>
      </c>
    </row>
    <row r="15" spans="2:18" ht="12.75">
      <c r="B15" s="224">
        <f t="shared" si="1"/>
        <v>9</v>
      </c>
      <c r="C15" s="165"/>
      <c r="D15" s="166"/>
      <c r="E15" s="166" t="s">
        <v>277</v>
      </c>
      <c r="F15" s="166" t="s">
        <v>238</v>
      </c>
      <c r="G15" s="292" t="s">
        <v>645</v>
      </c>
      <c r="H15" s="172">
        <v>1000</v>
      </c>
      <c r="I15" s="172">
        <v>851</v>
      </c>
      <c r="J15" s="697">
        <f t="shared" si="2"/>
        <v>85.1</v>
      </c>
      <c r="K15" s="168"/>
      <c r="L15" s="186"/>
      <c r="M15" s="186"/>
      <c r="N15" s="698"/>
      <c r="O15" s="168"/>
      <c r="P15" s="175">
        <f t="shared" si="0"/>
        <v>1000</v>
      </c>
      <c r="Q15" s="175">
        <f t="shared" si="3"/>
        <v>851</v>
      </c>
      <c r="R15" s="699">
        <f t="shared" si="4"/>
        <v>85.1</v>
      </c>
    </row>
    <row r="16" spans="2:18" ht="15">
      <c r="B16" s="224">
        <f t="shared" si="1"/>
        <v>10</v>
      </c>
      <c r="C16" s="171"/>
      <c r="D16" s="303" t="s">
        <v>7</v>
      </c>
      <c r="E16" s="1068" t="s">
        <v>125</v>
      </c>
      <c r="F16" s="1069"/>
      <c r="G16" s="1070"/>
      <c r="H16" s="435">
        <f>H17</f>
        <v>400</v>
      </c>
      <c r="I16" s="435">
        <f>I17</f>
        <v>395</v>
      </c>
      <c r="J16" s="697">
        <f t="shared" si="2"/>
        <v>98.75</v>
      </c>
      <c r="K16" s="23"/>
      <c r="L16" s="304"/>
      <c r="M16" s="304"/>
      <c r="N16" s="698"/>
      <c r="O16" s="23"/>
      <c r="P16" s="318">
        <f t="shared" si="0"/>
        <v>400</v>
      </c>
      <c r="Q16" s="318">
        <f t="shared" si="3"/>
        <v>395</v>
      </c>
      <c r="R16" s="699">
        <f t="shared" si="4"/>
        <v>98.75</v>
      </c>
    </row>
    <row r="17" spans="2:18" ht="12.75">
      <c r="B17" s="224">
        <f t="shared" si="1"/>
        <v>11</v>
      </c>
      <c r="C17" s="165"/>
      <c r="D17" s="165"/>
      <c r="E17" s="166" t="s">
        <v>277</v>
      </c>
      <c r="F17" s="166" t="s">
        <v>238</v>
      </c>
      <c r="G17" s="292" t="s">
        <v>645</v>
      </c>
      <c r="H17" s="172">
        <v>400</v>
      </c>
      <c r="I17" s="172">
        <v>395</v>
      </c>
      <c r="J17" s="697">
        <f t="shared" si="2"/>
        <v>98.75</v>
      </c>
      <c r="K17" s="168"/>
      <c r="L17" s="186"/>
      <c r="M17" s="186"/>
      <c r="N17" s="698"/>
      <c r="O17" s="168"/>
      <c r="P17" s="175">
        <f t="shared" si="0"/>
        <v>400</v>
      </c>
      <c r="Q17" s="175">
        <f t="shared" si="3"/>
        <v>395</v>
      </c>
      <c r="R17" s="699">
        <f t="shared" si="4"/>
        <v>98.75</v>
      </c>
    </row>
    <row r="18" spans="2:18" ht="15">
      <c r="B18" s="224">
        <f t="shared" si="1"/>
        <v>12</v>
      </c>
      <c r="C18" s="171"/>
      <c r="D18" s="303" t="s">
        <v>8</v>
      </c>
      <c r="E18" s="1068" t="s">
        <v>189</v>
      </c>
      <c r="F18" s="1069"/>
      <c r="G18" s="1070"/>
      <c r="H18" s="435">
        <f>H19</f>
        <v>1000</v>
      </c>
      <c r="I18" s="435">
        <f>I19</f>
        <v>756</v>
      </c>
      <c r="J18" s="697">
        <f t="shared" si="2"/>
        <v>75.6</v>
      </c>
      <c r="K18" s="23"/>
      <c r="L18" s="304"/>
      <c r="M18" s="304"/>
      <c r="N18" s="698"/>
      <c r="O18" s="23"/>
      <c r="P18" s="318">
        <f t="shared" si="0"/>
        <v>1000</v>
      </c>
      <c r="Q18" s="318">
        <f t="shared" si="3"/>
        <v>756</v>
      </c>
      <c r="R18" s="699">
        <f t="shared" si="4"/>
        <v>75.6</v>
      </c>
    </row>
    <row r="19" spans="2:18" ht="12.75">
      <c r="B19" s="224">
        <f t="shared" si="1"/>
        <v>13</v>
      </c>
      <c r="C19" s="171"/>
      <c r="D19" s="166"/>
      <c r="E19" s="166" t="s">
        <v>277</v>
      </c>
      <c r="F19" s="166" t="s">
        <v>255</v>
      </c>
      <c r="G19" s="292" t="s">
        <v>339</v>
      </c>
      <c r="H19" s="172">
        <f>4000-3000</f>
        <v>1000</v>
      </c>
      <c r="I19" s="172">
        <v>756</v>
      </c>
      <c r="J19" s="697">
        <f t="shared" si="2"/>
        <v>75.6</v>
      </c>
      <c r="K19" s="168"/>
      <c r="L19" s="186"/>
      <c r="M19" s="186"/>
      <c r="N19" s="698"/>
      <c r="O19" s="168"/>
      <c r="P19" s="175">
        <f t="shared" si="0"/>
        <v>1000</v>
      </c>
      <c r="Q19" s="175">
        <f t="shared" si="3"/>
        <v>756</v>
      </c>
      <c r="R19" s="699">
        <f t="shared" si="4"/>
        <v>75.6</v>
      </c>
    </row>
    <row r="20" spans="2:18" ht="15">
      <c r="B20" s="224">
        <f t="shared" si="1"/>
        <v>14</v>
      </c>
      <c r="C20" s="171"/>
      <c r="D20" s="303" t="s">
        <v>9</v>
      </c>
      <c r="E20" s="1068" t="s">
        <v>103</v>
      </c>
      <c r="F20" s="1069"/>
      <c r="G20" s="1070"/>
      <c r="H20" s="435">
        <f>SUM(H21:H25)</f>
        <v>124300</v>
      </c>
      <c r="I20" s="435">
        <f>SUM(I21:I25)</f>
        <v>119051</v>
      </c>
      <c r="J20" s="697">
        <f t="shared" si="2"/>
        <v>95.77715205148833</v>
      </c>
      <c r="K20" s="23"/>
      <c r="L20" s="304"/>
      <c r="M20" s="304"/>
      <c r="N20" s="698"/>
      <c r="O20" s="23"/>
      <c r="P20" s="318">
        <f t="shared" si="0"/>
        <v>124300</v>
      </c>
      <c r="Q20" s="318">
        <f t="shared" si="3"/>
        <v>119051</v>
      </c>
      <c r="R20" s="699">
        <f t="shared" si="4"/>
        <v>95.77715205148833</v>
      </c>
    </row>
    <row r="21" spans="2:18" ht="12.75">
      <c r="B21" s="224">
        <f t="shared" si="1"/>
        <v>15</v>
      </c>
      <c r="C21" s="165"/>
      <c r="D21" s="166"/>
      <c r="E21" s="166" t="s">
        <v>277</v>
      </c>
      <c r="F21" s="166" t="s">
        <v>251</v>
      </c>
      <c r="G21" s="292" t="s">
        <v>282</v>
      </c>
      <c r="H21" s="172">
        <f>20000+6500</f>
        <v>26500</v>
      </c>
      <c r="I21" s="172">
        <v>26500</v>
      </c>
      <c r="J21" s="697">
        <f t="shared" si="2"/>
        <v>100</v>
      </c>
      <c r="K21" s="168"/>
      <c r="L21" s="186"/>
      <c r="M21" s="186"/>
      <c r="N21" s="698"/>
      <c r="O21" s="168"/>
      <c r="P21" s="175">
        <f t="shared" si="0"/>
        <v>26500</v>
      </c>
      <c r="Q21" s="175">
        <f t="shared" si="3"/>
        <v>26500</v>
      </c>
      <c r="R21" s="699">
        <f t="shared" si="4"/>
        <v>100</v>
      </c>
    </row>
    <row r="22" spans="2:18" ht="12.75">
      <c r="B22" s="224">
        <f t="shared" si="1"/>
        <v>16</v>
      </c>
      <c r="C22" s="165"/>
      <c r="D22" s="166"/>
      <c r="E22" s="166" t="s">
        <v>277</v>
      </c>
      <c r="F22" s="166" t="s">
        <v>237</v>
      </c>
      <c r="G22" s="292" t="s">
        <v>562</v>
      </c>
      <c r="H22" s="172">
        <v>19000</v>
      </c>
      <c r="I22" s="172">
        <v>15011</v>
      </c>
      <c r="J22" s="697">
        <f t="shared" si="2"/>
        <v>79.00526315789473</v>
      </c>
      <c r="K22" s="168"/>
      <c r="L22" s="186"/>
      <c r="M22" s="186"/>
      <c r="N22" s="698"/>
      <c r="O22" s="168"/>
      <c r="P22" s="175">
        <f t="shared" si="0"/>
        <v>19000</v>
      </c>
      <c r="Q22" s="175">
        <f t="shared" si="3"/>
        <v>15011</v>
      </c>
      <c r="R22" s="699">
        <f t="shared" si="4"/>
        <v>79.00526315789473</v>
      </c>
    </row>
    <row r="23" spans="2:18" ht="12.75">
      <c r="B23" s="224">
        <f t="shared" si="1"/>
        <v>17</v>
      </c>
      <c r="C23" s="165"/>
      <c r="D23" s="166"/>
      <c r="E23" s="166" t="s">
        <v>277</v>
      </c>
      <c r="F23" s="166" t="s">
        <v>238</v>
      </c>
      <c r="G23" s="292" t="s">
        <v>642</v>
      </c>
      <c r="H23" s="172">
        <v>1200</v>
      </c>
      <c r="I23" s="172"/>
      <c r="J23" s="697">
        <f t="shared" si="2"/>
        <v>0</v>
      </c>
      <c r="K23" s="168"/>
      <c r="L23" s="182"/>
      <c r="M23" s="182"/>
      <c r="N23" s="700"/>
      <c r="O23" s="168"/>
      <c r="P23" s="175">
        <f t="shared" si="0"/>
        <v>1200</v>
      </c>
      <c r="Q23" s="175">
        <f t="shared" si="3"/>
        <v>0</v>
      </c>
      <c r="R23" s="699">
        <f t="shared" si="4"/>
        <v>0</v>
      </c>
    </row>
    <row r="24" spans="2:18" ht="12.75">
      <c r="B24" s="224">
        <f t="shared" si="1"/>
        <v>18</v>
      </c>
      <c r="C24" s="165"/>
      <c r="D24" s="166"/>
      <c r="E24" s="166" t="s">
        <v>277</v>
      </c>
      <c r="F24" s="166" t="s">
        <v>255</v>
      </c>
      <c r="G24" s="292" t="s">
        <v>563</v>
      </c>
      <c r="H24" s="172">
        <f>79800-2300</f>
        <v>77500</v>
      </c>
      <c r="I24" s="172">
        <v>77500</v>
      </c>
      <c r="J24" s="697">
        <f t="shared" si="2"/>
        <v>100</v>
      </c>
      <c r="K24" s="168"/>
      <c r="L24" s="182"/>
      <c r="M24" s="182"/>
      <c r="N24" s="700"/>
      <c r="O24" s="168"/>
      <c r="P24" s="175">
        <f t="shared" si="0"/>
        <v>77500</v>
      </c>
      <c r="Q24" s="175">
        <f t="shared" si="3"/>
        <v>77500</v>
      </c>
      <c r="R24" s="699">
        <f t="shared" si="4"/>
        <v>100</v>
      </c>
    </row>
    <row r="25" spans="2:18" ht="12.75">
      <c r="B25" s="224">
        <f t="shared" si="1"/>
        <v>19</v>
      </c>
      <c r="C25" s="165"/>
      <c r="D25" s="244"/>
      <c r="E25" s="166" t="s">
        <v>277</v>
      </c>
      <c r="F25" s="434" t="s">
        <v>256</v>
      </c>
      <c r="G25" s="292" t="s">
        <v>752</v>
      </c>
      <c r="H25" s="172">
        <v>100</v>
      </c>
      <c r="I25" s="172">
        <v>40</v>
      </c>
      <c r="J25" s="697">
        <f t="shared" si="2"/>
        <v>40</v>
      </c>
      <c r="K25" s="168"/>
      <c r="L25" s="182"/>
      <c r="M25" s="182"/>
      <c r="N25" s="700"/>
      <c r="O25" s="168"/>
      <c r="P25" s="175">
        <f t="shared" si="0"/>
        <v>100</v>
      </c>
      <c r="Q25" s="175">
        <f t="shared" si="3"/>
        <v>40</v>
      </c>
      <c r="R25" s="699">
        <f t="shared" si="4"/>
        <v>40</v>
      </c>
    </row>
    <row r="26" spans="2:18" ht="15.75">
      <c r="B26" s="224">
        <f t="shared" si="1"/>
        <v>20</v>
      </c>
      <c r="C26" s="27">
        <v>2</v>
      </c>
      <c r="D26" s="160" t="s">
        <v>197</v>
      </c>
      <c r="E26" s="28"/>
      <c r="F26" s="28"/>
      <c r="G26" s="291"/>
      <c r="H26" s="701">
        <f>SUM(H27:H31)</f>
        <v>7500</v>
      </c>
      <c r="I26" s="678">
        <f>SUM(I27:I33)</f>
        <v>3950</v>
      </c>
      <c r="J26" s="684">
        <f t="shared" si="2"/>
        <v>52.666666666666664</v>
      </c>
      <c r="K26" s="96"/>
      <c r="L26" s="305">
        <f>SUM(L27:L33)</f>
        <v>33000</v>
      </c>
      <c r="M26" s="610">
        <f>SUM(M27:M33)</f>
        <v>31786</v>
      </c>
      <c r="N26" s="702">
        <f>M26/L26*100</f>
        <v>96.32121212121211</v>
      </c>
      <c r="O26" s="96"/>
      <c r="P26" s="300">
        <f t="shared" si="0"/>
        <v>40500</v>
      </c>
      <c r="Q26" s="609">
        <f t="shared" si="3"/>
        <v>35736</v>
      </c>
      <c r="R26" s="702">
        <f t="shared" si="4"/>
        <v>88.23703703703704</v>
      </c>
    </row>
    <row r="27" spans="2:18" ht="12.75">
      <c r="B27" s="224">
        <f t="shared" si="1"/>
        <v>21</v>
      </c>
      <c r="C27" s="165"/>
      <c r="D27" s="165"/>
      <c r="E27" s="173" t="s">
        <v>289</v>
      </c>
      <c r="F27" s="170">
        <v>635</v>
      </c>
      <c r="G27" s="292" t="s">
        <v>285</v>
      </c>
      <c r="H27" s="172">
        <f>5000-1200-1900</f>
        <v>1900</v>
      </c>
      <c r="I27" s="172">
        <v>1871</v>
      </c>
      <c r="J27" s="697">
        <f t="shared" si="2"/>
        <v>98.47368421052632</v>
      </c>
      <c r="K27" s="168"/>
      <c r="L27" s="182"/>
      <c r="M27" s="182"/>
      <c r="N27" s="700"/>
      <c r="O27" s="168"/>
      <c r="P27" s="175">
        <f t="shared" si="0"/>
        <v>1900</v>
      </c>
      <c r="Q27" s="175">
        <f t="shared" si="3"/>
        <v>1871</v>
      </c>
      <c r="R27" s="699">
        <f t="shared" si="4"/>
        <v>98.47368421052632</v>
      </c>
    </row>
    <row r="28" spans="2:18" ht="12.75">
      <c r="B28" s="224">
        <f t="shared" si="1"/>
        <v>22</v>
      </c>
      <c r="C28" s="165"/>
      <c r="D28" s="165"/>
      <c r="E28" s="173" t="s">
        <v>289</v>
      </c>
      <c r="F28" s="170">
        <v>633</v>
      </c>
      <c r="G28" s="292" t="s">
        <v>683</v>
      </c>
      <c r="H28" s="172">
        <v>1200</v>
      </c>
      <c r="I28" s="172">
        <v>1179</v>
      </c>
      <c r="J28" s="697">
        <f t="shared" si="2"/>
        <v>98.25</v>
      </c>
      <c r="K28" s="168"/>
      <c r="L28" s="208"/>
      <c r="M28" s="208"/>
      <c r="N28" s="703"/>
      <c r="O28" s="168"/>
      <c r="P28" s="175">
        <f t="shared" si="0"/>
        <v>1200</v>
      </c>
      <c r="Q28" s="175">
        <f t="shared" si="3"/>
        <v>1179</v>
      </c>
      <c r="R28" s="699">
        <f t="shared" si="4"/>
        <v>98.25</v>
      </c>
    </row>
    <row r="29" spans="2:18" ht="12.75">
      <c r="B29" s="224">
        <f t="shared" si="1"/>
        <v>23</v>
      </c>
      <c r="C29" s="165"/>
      <c r="D29" s="165"/>
      <c r="E29" s="173" t="s">
        <v>289</v>
      </c>
      <c r="F29" s="170">
        <v>637</v>
      </c>
      <c r="G29" s="292" t="s">
        <v>705</v>
      </c>
      <c r="H29" s="172">
        <v>500</v>
      </c>
      <c r="I29" s="172">
        <v>500</v>
      </c>
      <c r="J29" s="697">
        <f t="shared" si="2"/>
        <v>100</v>
      </c>
      <c r="K29" s="168"/>
      <c r="L29" s="208"/>
      <c r="M29" s="208"/>
      <c r="N29" s="703"/>
      <c r="O29" s="168"/>
      <c r="P29" s="175">
        <f t="shared" si="0"/>
        <v>500</v>
      </c>
      <c r="Q29" s="175">
        <f t="shared" si="3"/>
        <v>500</v>
      </c>
      <c r="R29" s="699">
        <f t="shared" si="4"/>
        <v>100</v>
      </c>
    </row>
    <row r="30" spans="2:18" ht="12.75">
      <c r="B30" s="224">
        <f t="shared" si="1"/>
        <v>24</v>
      </c>
      <c r="C30" s="165"/>
      <c r="D30" s="165"/>
      <c r="E30" s="173" t="s">
        <v>289</v>
      </c>
      <c r="F30" s="170">
        <v>637</v>
      </c>
      <c r="G30" s="292" t="s">
        <v>753</v>
      </c>
      <c r="H30" s="172">
        <v>3900</v>
      </c>
      <c r="I30" s="172">
        <v>400</v>
      </c>
      <c r="J30" s="697">
        <f t="shared" si="2"/>
        <v>10.256410256410255</v>
      </c>
      <c r="K30" s="168"/>
      <c r="L30" s="208"/>
      <c r="M30" s="208"/>
      <c r="N30" s="703"/>
      <c r="O30" s="168"/>
      <c r="P30" s="175">
        <f t="shared" si="0"/>
        <v>3900</v>
      </c>
      <c r="Q30" s="175">
        <f t="shared" si="3"/>
        <v>400</v>
      </c>
      <c r="R30" s="699">
        <f t="shared" si="4"/>
        <v>10.256410256410255</v>
      </c>
    </row>
    <row r="31" spans="2:18" ht="12.75">
      <c r="B31" s="224">
        <f t="shared" si="1"/>
        <v>25</v>
      </c>
      <c r="C31" s="165"/>
      <c r="D31" s="165"/>
      <c r="E31" s="173" t="s">
        <v>289</v>
      </c>
      <c r="F31" s="170">
        <v>716</v>
      </c>
      <c r="G31" s="292" t="s">
        <v>286</v>
      </c>
      <c r="H31" s="172"/>
      <c r="I31" s="172"/>
      <c r="J31" s="697"/>
      <c r="K31" s="168"/>
      <c r="L31" s="208">
        <f>30000-20000-8287</f>
        <v>1713</v>
      </c>
      <c r="M31" s="208">
        <v>500</v>
      </c>
      <c r="N31" s="703">
        <f>M31/L31*100</f>
        <v>29.188558085230586</v>
      </c>
      <c r="O31" s="168"/>
      <c r="P31" s="175">
        <f t="shared" si="0"/>
        <v>1713</v>
      </c>
      <c r="Q31" s="175">
        <f t="shared" si="3"/>
        <v>500</v>
      </c>
      <c r="R31" s="699">
        <f t="shared" si="4"/>
        <v>29.188558085230586</v>
      </c>
    </row>
    <row r="32" spans="2:18" ht="12.75">
      <c r="B32" s="224">
        <f t="shared" si="1"/>
        <v>26</v>
      </c>
      <c r="C32" s="165"/>
      <c r="D32" s="209"/>
      <c r="E32" s="173" t="s">
        <v>289</v>
      </c>
      <c r="F32" s="173">
        <v>711</v>
      </c>
      <c r="G32" s="292" t="s">
        <v>286</v>
      </c>
      <c r="H32" s="172"/>
      <c r="I32" s="172"/>
      <c r="J32" s="697"/>
      <c r="K32" s="168"/>
      <c r="L32" s="208">
        <f>20000-2000+8287</f>
        <v>26287</v>
      </c>
      <c r="M32" s="208">
        <v>26287</v>
      </c>
      <c r="N32" s="703">
        <f>M32/L32*100</f>
        <v>100</v>
      </c>
      <c r="O32" s="168"/>
      <c r="P32" s="175">
        <f t="shared" si="0"/>
        <v>26287</v>
      </c>
      <c r="Q32" s="175">
        <f t="shared" si="3"/>
        <v>26287</v>
      </c>
      <c r="R32" s="699">
        <f t="shared" si="4"/>
        <v>100</v>
      </c>
    </row>
    <row r="33" spans="2:18" ht="12.75">
      <c r="B33" s="224">
        <f t="shared" si="1"/>
        <v>27</v>
      </c>
      <c r="C33" s="165"/>
      <c r="D33" s="209"/>
      <c r="E33" s="173" t="s">
        <v>289</v>
      </c>
      <c r="F33" s="173">
        <v>713</v>
      </c>
      <c r="G33" s="292" t="s">
        <v>706</v>
      </c>
      <c r="H33" s="172"/>
      <c r="I33" s="172"/>
      <c r="J33" s="697"/>
      <c r="K33" s="168"/>
      <c r="L33" s="208">
        <v>5000</v>
      </c>
      <c r="M33" s="208">
        <v>4999</v>
      </c>
      <c r="N33" s="703">
        <f>M33/L33*100</f>
        <v>99.98</v>
      </c>
      <c r="O33" s="168"/>
      <c r="P33" s="175">
        <f t="shared" si="0"/>
        <v>5000</v>
      </c>
      <c r="Q33" s="175">
        <f t="shared" si="3"/>
        <v>4999</v>
      </c>
      <c r="R33" s="699">
        <f t="shared" si="4"/>
        <v>99.98</v>
      </c>
    </row>
    <row r="34" spans="2:18" ht="15.75">
      <c r="B34" s="224">
        <f t="shared" si="1"/>
        <v>28</v>
      </c>
      <c r="C34" s="27">
        <v>3</v>
      </c>
      <c r="D34" s="1071" t="s">
        <v>516</v>
      </c>
      <c r="E34" s="1072"/>
      <c r="F34" s="1072"/>
      <c r="G34" s="1073"/>
      <c r="H34" s="701">
        <f>SUM(H35:H37)</f>
        <v>11000</v>
      </c>
      <c r="I34" s="678">
        <f>SUM(I35:I37)</f>
        <v>8677</v>
      </c>
      <c r="J34" s="684">
        <f t="shared" si="2"/>
        <v>78.88181818181819</v>
      </c>
      <c r="K34" s="168"/>
      <c r="L34" s="297">
        <f>SUM(L35:L40)</f>
        <v>0</v>
      </c>
      <c r="M34" s="611"/>
      <c r="N34" s="696"/>
      <c r="O34" s="168"/>
      <c r="P34" s="372">
        <f t="shared" si="0"/>
        <v>11000</v>
      </c>
      <c r="Q34" s="614">
        <f t="shared" si="3"/>
        <v>8677</v>
      </c>
      <c r="R34" s="699">
        <f t="shared" si="4"/>
        <v>78.88181818181819</v>
      </c>
    </row>
    <row r="35" spans="2:18" ht="12.75">
      <c r="B35" s="224">
        <f t="shared" si="1"/>
        <v>29</v>
      </c>
      <c r="C35" s="165"/>
      <c r="D35" s="209"/>
      <c r="E35" s="166" t="s">
        <v>277</v>
      </c>
      <c r="F35" s="173">
        <v>637</v>
      </c>
      <c r="G35" s="292" t="s">
        <v>650</v>
      </c>
      <c r="H35" s="172">
        <v>4000</v>
      </c>
      <c r="I35" s="172">
        <f>3052+150</f>
        <v>3202</v>
      </c>
      <c r="J35" s="697">
        <f t="shared" si="2"/>
        <v>80.05</v>
      </c>
      <c r="K35" s="168"/>
      <c r="L35" s="208"/>
      <c r="M35" s="208"/>
      <c r="N35" s="703"/>
      <c r="O35" s="168"/>
      <c r="P35" s="175">
        <f t="shared" si="0"/>
        <v>4000</v>
      </c>
      <c r="Q35" s="175">
        <f t="shared" si="3"/>
        <v>3202</v>
      </c>
      <c r="R35" s="699">
        <f t="shared" si="4"/>
        <v>80.05</v>
      </c>
    </row>
    <row r="36" spans="2:18" ht="12.75">
      <c r="B36" s="224">
        <f t="shared" si="1"/>
        <v>30</v>
      </c>
      <c r="C36" s="165"/>
      <c r="D36" s="209"/>
      <c r="E36" s="166" t="s">
        <v>277</v>
      </c>
      <c r="F36" s="170">
        <v>631</v>
      </c>
      <c r="G36" s="292" t="s">
        <v>564</v>
      </c>
      <c r="H36" s="172">
        <v>1000</v>
      </c>
      <c r="I36" s="172">
        <v>770</v>
      </c>
      <c r="J36" s="697">
        <f t="shared" si="2"/>
        <v>77</v>
      </c>
      <c r="K36" s="168"/>
      <c r="L36" s="208"/>
      <c r="M36" s="208"/>
      <c r="N36" s="703"/>
      <c r="O36" s="168"/>
      <c r="P36" s="175">
        <f t="shared" si="0"/>
        <v>1000</v>
      </c>
      <c r="Q36" s="175">
        <f t="shared" si="3"/>
        <v>770</v>
      </c>
      <c r="R36" s="699">
        <f t="shared" si="4"/>
        <v>77</v>
      </c>
    </row>
    <row r="37" spans="2:18" ht="12.75">
      <c r="B37" s="224">
        <f t="shared" si="1"/>
        <v>31</v>
      </c>
      <c r="C37" s="165"/>
      <c r="D37" s="209"/>
      <c r="E37" s="166" t="s">
        <v>277</v>
      </c>
      <c r="F37" s="170">
        <v>637</v>
      </c>
      <c r="G37" s="292" t="s">
        <v>565</v>
      </c>
      <c r="H37" s="172">
        <f>5000+1000</f>
        <v>6000</v>
      </c>
      <c r="I37" s="172">
        <v>4705</v>
      </c>
      <c r="J37" s="697">
        <f t="shared" si="2"/>
        <v>78.41666666666667</v>
      </c>
      <c r="K37" s="168"/>
      <c r="L37" s="208"/>
      <c r="M37" s="208"/>
      <c r="N37" s="703"/>
      <c r="O37" s="168"/>
      <c r="P37" s="175">
        <f t="shared" si="0"/>
        <v>6000</v>
      </c>
      <c r="Q37" s="175">
        <f t="shared" si="3"/>
        <v>4705</v>
      </c>
      <c r="R37" s="699">
        <f t="shared" si="4"/>
        <v>78.41666666666667</v>
      </c>
    </row>
    <row r="38" spans="2:18" ht="15.75">
      <c r="B38" s="224">
        <f t="shared" si="1"/>
        <v>32</v>
      </c>
      <c r="C38" s="24">
        <v>4</v>
      </c>
      <c r="D38" s="159" t="s">
        <v>135</v>
      </c>
      <c r="E38" s="159"/>
      <c r="F38" s="25"/>
      <c r="G38" s="293"/>
      <c r="H38" s="701">
        <v>0</v>
      </c>
      <c r="I38" s="678"/>
      <c r="J38" s="684"/>
      <c r="K38" s="96"/>
      <c r="L38" s="297">
        <v>0</v>
      </c>
      <c r="M38" s="611"/>
      <c r="N38" s="696"/>
      <c r="O38" s="126"/>
      <c r="P38" s="300">
        <f t="shared" si="0"/>
        <v>0</v>
      </c>
      <c r="Q38" s="609">
        <f t="shared" si="3"/>
        <v>0</v>
      </c>
      <c r="R38" s="702"/>
    </row>
    <row r="39" spans="2:18" ht="15.75">
      <c r="B39" s="224">
        <f t="shared" si="1"/>
        <v>33</v>
      </c>
      <c r="C39" s="24">
        <v>5</v>
      </c>
      <c r="D39" s="159" t="s">
        <v>567</v>
      </c>
      <c r="E39" s="159"/>
      <c r="F39" s="25"/>
      <c r="G39" s="293"/>
      <c r="H39" s="701">
        <v>0</v>
      </c>
      <c r="I39" s="678"/>
      <c r="J39" s="684"/>
      <c r="K39" s="96"/>
      <c r="L39" s="297">
        <v>0</v>
      </c>
      <c r="M39" s="611"/>
      <c r="N39" s="696"/>
      <c r="O39" s="126"/>
      <c r="P39" s="300">
        <f t="shared" si="0"/>
        <v>0</v>
      </c>
      <c r="Q39" s="609">
        <f t="shared" si="3"/>
        <v>0</v>
      </c>
      <c r="R39" s="702"/>
    </row>
    <row r="40" spans="2:18" ht="15.75">
      <c r="B40" s="224">
        <f t="shared" si="1"/>
        <v>34</v>
      </c>
      <c r="C40" s="24">
        <v>6</v>
      </c>
      <c r="D40" s="159" t="s">
        <v>136</v>
      </c>
      <c r="E40" s="159"/>
      <c r="F40" s="25"/>
      <c r="G40" s="293"/>
      <c r="H40" s="701">
        <v>0</v>
      </c>
      <c r="I40" s="678"/>
      <c r="J40" s="684"/>
      <c r="K40" s="96"/>
      <c r="L40" s="297">
        <v>0</v>
      </c>
      <c r="M40" s="611"/>
      <c r="N40" s="696"/>
      <c r="O40" s="126"/>
      <c r="P40" s="300">
        <f t="shared" si="0"/>
        <v>0</v>
      </c>
      <c r="Q40" s="609">
        <f t="shared" si="3"/>
        <v>0</v>
      </c>
      <c r="R40" s="702"/>
    </row>
    <row r="41" spans="2:18" ht="15.75">
      <c r="B41" s="224">
        <f t="shared" si="1"/>
        <v>35</v>
      </c>
      <c r="C41" s="24">
        <v>7</v>
      </c>
      <c r="D41" s="159" t="s">
        <v>619</v>
      </c>
      <c r="E41" s="159"/>
      <c r="F41" s="25"/>
      <c r="G41" s="293"/>
      <c r="H41" s="701">
        <f>SUM(H42:H46)</f>
        <v>671194</v>
      </c>
      <c r="I41" s="678">
        <f>SUM(I42:I46)</f>
        <v>306926</v>
      </c>
      <c r="J41" s="684">
        <f t="shared" si="2"/>
        <v>45.728358715959914</v>
      </c>
      <c r="K41" s="96"/>
      <c r="L41" s="297">
        <v>0</v>
      </c>
      <c r="M41" s="611"/>
      <c r="N41" s="696"/>
      <c r="O41" s="126"/>
      <c r="P41" s="300">
        <f t="shared" si="0"/>
        <v>671194</v>
      </c>
      <c r="Q41" s="609">
        <f t="shared" si="3"/>
        <v>306926</v>
      </c>
      <c r="R41" s="702">
        <f t="shared" si="4"/>
        <v>45.728358715959914</v>
      </c>
    </row>
    <row r="42" spans="2:18" ht="12.75">
      <c r="B42" s="224">
        <f t="shared" si="1"/>
        <v>36</v>
      </c>
      <c r="C42" s="165"/>
      <c r="D42" s="165"/>
      <c r="E42" s="173" t="s">
        <v>345</v>
      </c>
      <c r="F42" s="173">
        <v>637</v>
      </c>
      <c r="G42" s="292" t="s">
        <v>647</v>
      </c>
      <c r="H42" s="172">
        <f>6000+30000+30000-2000-36000-4150+590000-13000</f>
        <v>600850</v>
      </c>
      <c r="I42" s="172">
        <v>255953</v>
      </c>
      <c r="J42" s="697">
        <f t="shared" si="2"/>
        <v>42.598485478904884</v>
      </c>
      <c r="K42" s="168"/>
      <c r="L42" s="186"/>
      <c r="M42" s="186"/>
      <c r="N42" s="698"/>
      <c r="O42" s="168"/>
      <c r="P42" s="176">
        <f t="shared" si="0"/>
        <v>600850</v>
      </c>
      <c r="Q42" s="176">
        <f t="shared" si="3"/>
        <v>255953</v>
      </c>
      <c r="R42" s="704">
        <f t="shared" si="4"/>
        <v>42.598485478904884</v>
      </c>
    </row>
    <row r="43" spans="2:18" ht="12.75">
      <c r="B43" s="224">
        <f t="shared" si="1"/>
        <v>37</v>
      </c>
      <c r="C43" s="165"/>
      <c r="D43" s="165"/>
      <c r="E43" s="166" t="s">
        <v>277</v>
      </c>
      <c r="F43" s="170">
        <v>637</v>
      </c>
      <c r="G43" s="292" t="s">
        <v>754</v>
      </c>
      <c r="H43" s="172">
        <v>19525</v>
      </c>
      <c r="I43" s="172">
        <v>19525</v>
      </c>
      <c r="J43" s="697">
        <f t="shared" si="2"/>
        <v>100</v>
      </c>
      <c r="K43" s="168"/>
      <c r="L43" s="186"/>
      <c r="M43" s="186"/>
      <c r="N43" s="698"/>
      <c r="O43" s="168"/>
      <c r="P43" s="176">
        <f t="shared" si="0"/>
        <v>19525</v>
      </c>
      <c r="Q43" s="176">
        <f t="shared" si="3"/>
        <v>19525</v>
      </c>
      <c r="R43" s="704">
        <f t="shared" si="4"/>
        <v>100</v>
      </c>
    </row>
    <row r="44" spans="2:18" ht="12.75">
      <c r="B44" s="224">
        <f t="shared" si="1"/>
        <v>38</v>
      </c>
      <c r="C44" s="165"/>
      <c r="D44" s="165"/>
      <c r="E44" s="166" t="s">
        <v>277</v>
      </c>
      <c r="F44" s="170">
        <v>620</v>
      </c>
      <c r="G44" s="292" t="s">
        <v>755</v>
      </c>
      <c r="H44" s="172">
        <v>25</v>
      </c>
      <c r="I44" s="172">
        <v>25</v>
      </c>
      <c r="J44" s="697">
        <f t="shared" si="2"/>
        <v>100</v>
      </c>
      <c r="K44" s="168"/>
      <c r="L44" s="186"/>
      <c r="M44" s="186"/>
      <c r="N44" s="698"/>
      <c r="O44" s="168"/>
      <c r="P44" s="176">
        <f t="shared" si="0"/>
        <v>25</v>
      </c>
      <c r="Q44" s="176">
        <f t="shared" si="3"/>
        <v>25</v>
      </c>
      <c r="R44" s="704">
        <f t="shared" si="4"/>
        <v>100</v>
      </c>
    </row>
    <row r="45" spans="2:18" ht="12.75">
      <c r="B45" s="224">
        <f t="shared" si="1"/>
        <v>39</v>
      </c>
      <c r="C45" s="165"/>
      <c r="D45" s="165"/>
      <c r="E45" s="166" t="s">
        <v>277</v>
      </c>
      <c r="F45" s="170">
        <v>633</v>
      </c>
      <c r="G45" s="292" t="s">
        <v>646</v>
      </c>
      <c r="H45" s="172">
        <v>8900</v>
      </c>
      <c r="I45" s="172">
        <v>6122</v>
      </c>
      <c r="J45" s="697">
        <f t="shared" si="2"/>
        <v>68.78651685393258</v>
      </c>
      <c r="K45" s="168"/>
      <c r="L45" s="186"/>
      <c r="M45" s="186"/>
      <c r="N45" s="698"/>
      <c r="O45" s="168"/>
      <c r="P45" s="176">
        <f t="shared" si="0"/>
        <v>8900</v>
      </c>
      <c r="Q45" s="176">
        <f t="shared" si="3"/>
        <v>6122</v>
      </c>
      <c r="R45" s="704">
        <f t="shared" si="4"/>
        <v>68.78651685393258</v>
      </c>
    </row>
    <row r="46" spans="2:18" ht="12.75">
      <c r="B46" s="224">
        <f t="shared" si="1"/>
        <v>40</v>
      </c>
      <c r="C46" s="165"/>
      <c r="D46" s="165"/>
      <c r="E46" s="166" t="s">
        <v>277</v>
      </c>
      <c r="F46" s="170">
        <v>632</v>
      </c>
      <c r="G46" s="292" t="s">
        <v>346</v>
      </c>
      <c r="H46" s="172">
        <f>12000+2000+36000-6550-1556</f>
        <v>41894</v>
      </c>
      <c r="I46" s="172">
        <v>25301</v>
      </c>
      <c r="J46" s="697">
        <f t="shared" si="2"/>
        <v>60.392896357473624</v>
      </c>
      <c r="K46" s="168"/>
      <c r="L46" s="186"/>
      <c r="M46" s="186"/>
      <c r="N46" s="698"/>
      <c r="O46" s="168"/>
      <c r="P46" s="176">
        <f t="shared" si="0"/>
        <v>41894</v>
      </c>
      <c r="Q46" s="176">
        <f t="shared" si="3"/>
        <v>25301</v>
      </c>
      <c r="R46" s="704">
        <f t="shared" si="4"/>
        <v>60.392896357473624</v>
      </c>
    </row>
    <row r="47" spans="2:18" ht="15.75">
      <c r="B47" s="224">
        <f t="shared" si="1"/>
        <v>41</v>
      </c>
      <c r="C47" s="24">
        <v>8</v>
      </c>
      <c r="D47" s="159" t="s">
        <v>620</v>
      </c>
      <c r="E47" s="25"/>
      <c r="F47" s="25"/>
      <c r="G47" s="293"/>
      <c r="H47" s="701">
        <f>H48</f>
        <v>11050</v>
      </c>
      <c r="I47" s="678">
        <f>I48</f>
        <v>10880</v>
      </c>
      <c r="J47" s="684">
        <f t="shared" si="2"/>
        <v>98.46153846153847</v>
      </c>
      <c r="K47" s="96"/>
      <c r="L47" s="305">
        <v>0</v>
      </c>
      <c r="M47" s="610"/>
      <c r="N47" s="702"/>
      <c r="O47" s="126"/>
      <c r="P47" s="300">
        <f t="shared" si="0"/>
        <v>11050</v>
      </c>
      <c r="Q47" s="609">
        <f t="shared" si="3"/>
        <v>10880</v>
      </c>
      <c r="R47" s="702">
        <f t="shared" si="4"/>
        <v>98.46153846153847</v>
      </c>
    </row>
    <row r="48" spans="2:18" ht="14.25">
      <c r="B48" s="224">
        <f t="shared" si="1"/>
        <v>42</v>
      </c>
      <c r="C48" s="165"/>
      <c r="D48" s="165"/>
      <c r="E48" s="173" t="s">
        <v>340</v>
      </c>
      <c r="F48" s="173">
        <v>642</v>
      </c>
      <c r="G48" s="292" t="s">
        <v>374</v>
      </c>
      <c r="H48" s="172">
        <f>SUM(H49:H55)</f>
        <v>11050</v>
      </c>
      <c r="I48" s="172">
        <f>SUM(I49:I55)</f>
        <v>10880</v>
      </c>
      <c r="J48" s="697">
        <f t="shared" si="2"/>
        <v>98.46153846153847</v>
      </c>
      <c r="K48" s="168"/>
      <c r="L48" s="306"/>
      <c r="M48" s="306"/>
      <c r="N48" s="698"/>
      <c r="O48" s="168"/>
      <c r="P48" s="176">
        <f t="shared" si="0"/>
        <v>11050</v>
      </c>
      <c r="Q48" s="176">
        <f t="shared" si="3"/>
        <v>10880</v>
      </c>
      <c r="R48" s="704">
        <f t="shared" si="4"/>
        <v>98.46153846153847</v>
      </c>
    </row>
    <row r="49" spans="2:18" ht="14.25">
      <c r="B49" s="224">
        <f t="shared" si="1"/>
        <v>43</v>
      </c>
      <c r="C49" s="165"/>
      <c r="D49" s="165"/>
      <c r="E49" s="173"/>
      <c r="F49" s="173"/>
      <c r="G49" s="292" t="s">
        <v>614</v>
      </c>
      <c r="H49" s="172">
        <v>700</v>
      </c>
      <c r="I49" s="172">
        <v>700</v>
      </c>
      <c r="J49" s="697">
        <f t="shared" si="2"/>
        <v>100</v>
      </c>
      <c r="K49" s="168"/>
      <c r="L49" s="306"/>
      <c r="M49" s="306"/>
      <c r="N49" s="698"/>
      <c r="O49" s="168"/>
      <c r="P49" s="176">
        <f t="shared" si="0"/>
        <v>700</v>
      </c>
      <c r="Q49" s="176">
        <f t="shared" si="3"/>
        <v>700</v>
      </c>
      <c r="R49" s="704">
        <f t="shared" si="4"/>
        <v>100</v>
      </c>
    </row>
    <row r="50" spans="2:18" ht="14.25">
      <c r="B50" s="224">
        <f t="shared" si="1"/>
        <v>44</v>
      </c>
      <c r="C50" s="165"/>
      <c r="D50" s="165"/>
      <c r="E50" s="173"/>
      <c r="F50" s="173"/>
      <c r="G50" s="292" t="s">
        <v>361</v>
      </c>
      <c r="H50" s="172">
        <v>50</v>
      </c>
      <c r="I50" s="172">
        <v>50</v>
      </c>
      <c r="J50" s="697">
        <f t="shared" si="2"/>
        <v>100</v>
      </c>
      <c r="K50" s="168"/>
      <c r="L50" s="306"/>
      <c r="M50" s="306"/>
      <c r="N50" s="698"/>
      <c r="O50" s="168"/>
      <c r="P50" s="176">
        <f t="shared" si="0"/>
        <v>50</v>
      </c>
      <c r="Q50" s="176">
        <f t="shared" si="3"/>
        <v>50</v>
      </c>
      <c r="R50" s="704">
        <f t="shared" si="4"/>
        <v>100</v>
      </c>
    </row>
    <row r="51" spans="2:18" ht="14.25">
      <c r="B51" s="224">
        <f t="shared" si="1"/>
        <v>45</v>
      </c>
      <c r="C51" s="165"/>
      <c r="D51" s="165"/>
      <c r="E51" s="173"/>
      <c r="F51" s="173"/>
      <c r="G51" s="292" t="s">
        <v>362</v>
      </c>
      <c r="H51" s="172">
        <v>5600</v>
      </c>
      <c r="I51" s="172">
        <v>5554</v>
      </c>
      <c r="J51" s="697">
        <f t="shared" si="2"/>
        <v>99.17857142857143</v>
      </c>
      <c r="K51" s="168"/>
      <c r="L51" s="306"/>
      <c r="M51" s="306"/>
      <c r="N51" s="698"/>
      <c r="O51" s="168"/>
      <c r="P51" s="176">
        <f t="shared" si="0"/>
        <v>5600</v>
      </c>
      <c r="Q51" s="176">
        <f t="shared" si="3"/>
        <v>5554</v>
      </c>
      <c r="R51" s="704">
        <f t="shared" si="4"/>
        <v>99.17857142857143</v>
      </c>
    </row>
    <row r="52" spans="2:18" ht="14.25">
      <c r="B52" s="224">
        <f t="shared" si="1"/>
        <v>46</v>
      </c>
      <c r="C52" s="165"/>
      <c r="D52" s="165"/>
      <c r="E52" s="173"/>
      <c r="F52" s="173"/>
      <c r="G52" s="292" t="s">
        <v>517</v>
      </c>
      <c r="H52" s="172">
        <v>200</v>
      </c>
      <c r="I52" s="172">
        <v>140</v>
      </c>
      <c r="J52" s="697">
        <f t="shared" si="2"/>
        <v>70</v>
      </c>
      <c r="K52" s="168"/>
      <c r="L52" s="306"/>
      <c r="M52" s="306"/>
      <c r="N52" s="698"/>
      <c r="O52" s="168"/>
      <c r="P52" s="176">
        <f t="shared" si="0"/>
        <v>200</v>
      </c>
      <c r="Q52" s="176">
        <f t="shared" si="3"/>
        <v>140</v>
      </c>
      <c r="R52" s="704">
        <f t="shared" si="4"/>
        <v>70</v>
      </c>
    </row>
    <row r="53" spans="2:18" ht="14.25">
      <c r="B53" s="224">
        <f t="shared" si="1"/>
        <v>47</v>
      </c>
      <c r="C53" s="165"/>
      <c r="D53" s="165"/>
      <c r="E53" s="173"/>
      <c r="F53" s="173"/>
      <c r="G53" s="292" t="s">
        <v>566</v>
      </c>
      <c r="H53" s="172">
        <v>150</v>
      </c>
      <c r="I53" s="172">
        <v>120</v>
      </c>
      <c r="J53" s="697">
        <f t="shared" si="2"/>
        <v>80</v>
      </c>
      <c r="K53" s="168"/>
      <c r="L53" s="306"/>
      <c r="M53" s="306"/>
      <c r="N53" s="698"/>
      <c r="O53" s="168"/>
      <c r="P53" s="176">
        <f t="shared" si="0"/>
        <v>150</v>
      </c>
      <c r="Q53" s="176">
        <f t="shared" si="3"/>
        <v>120</v>
      </c>
      <c r="R53" s="704">
        <f t="shared" si="4"/>
        <v>80</v>
      </c>
    </row>
    <row r="54" spans="2:18" ht="14.25">
      <c r="B54" s="224">
        <f t="shared" si="1"/>
        <v>48</v>
      </c>
      <c r="C54" s="165"/>
      <c r="D54" s="165"/>
      <c r="E54" s="173"/>
      <c r="F54" s="173"/>
      <c r="G54" s="292" t="s">
        <v>363</v>
      </c>
      <c r="H54" s="172">
        <v>200</v>
      </c>
      <c r="I54" s="172">
        <v>166</v>
      </c>
      <c r="J54" s="697">
        <f t="shared" si="2"/>
        <v>83</v>
      </c>
      <c r="K54" s="168"/>
      <c r="L54" s="306"/>
      <c r="M54" s="306"/>
      <c r="N54" s="698"/>
      <c r="O54" s="168"/>
      <c r="P54" s="176">
        <f t="shared" si="0"/>
        <v>200</v>
      </c>
      <c r="Q54" s="176">
        <f t="shared" si="3"/>
        <v>166</v>
      </c>
      <c r="R54" s="704">
        <f t="shared" si="4"/>
        <v>83</v>
      </c>
    </row>
    <row r="55" spans="2:18" ht="14.25">
      <c r="B55" s="224">
        <f t="shared" si="1"/>
        <v>49</v>
      </c>
      <c r="C55" s="171"/>
      <c r="D55" s="537"/>
      <c r="E55" s="173"/>
      <c r="F55" s="173"/>
      <c r="G55" s="310" t="s">
        <v>700</v>
      </c>
      <c r="H55" s="172">
        <v>4150</v>
      </c>
      <c r="I55" s="172">
        <v>4150</v>
      </c>
      <c r="J55" s="697">
        <f t="shared" si="2"/>
        <v>100</v>
      </c>
      <c r="K55" s="168"/>
      <c r="L55" s="306"/>
      <c r="M55" s="306"/>
      <c r="N55" s="698"/>
      <c r="O55" s="168"/>
      <c r="P55" s="175">
        <f t="shared" si="0"/>
        <v>4150</v>
      </c>
      <c r="Q55" s="175">
        <f t="shared" si="3"/>
        <v>4150</v>
      </c>
      <c r="R55" s="699">
        <f t="shared" si="4"/>
        <v>100</v>
      </c>
    </row>
    <row r="56" spans="2:18" ht="16.5" thickBot="1">
      <c r="B56" s="538">
        <f t="shared" si="1"/>
        <v>50</v>
      </c>
      <c r="C56" s="32">
        <v>9</v>
      </c>
      <c r="D56" s="302" t="s">
        <v>137</v>
      </c>
      <c r="E56" s="33"/>
      <c r="F56" s="33"/>
      <c r="G56" s="294"/>
      <c r="H56" s="705">
        <v>0</v>
      </c>
      <c r="I56" s="706">
        <v>48833</v>
      </c>
      <c r="J56" s="707"/>
      <c r="K56" s="152"/>
      <c r="L56" s="518">
        <v>0</v>
      </c>
      <c r="M56" s="612"/>
      <c r="N56" s="708"/>
      <c r="O56" s="153"/>
      <c r="P56" s="301">
        <f t="shared" si="0"/>
        <v>0</v>
      </c>
      <c r="Q56" s="613">
        <f t="shared" si="3"/>
        <v>48833</v>
      </c>
      <c r="R56" s="708"/>
    </row>
    <row r="59" spans="2:18" ht="31.5" customHeight="1" thickBot="1">
      <c r="B59" s="379" t="s">
        <v>240</v>
      </c>
      <c r="C59" s="379"/>
      <c r="D59" s="379"/>
      <c r="E59" s="379"/>
      <c r="F59" s="379"/>
      <c r="G59" s="379"/>
      <c r="H59" s="379"/>
      <c r="I59" s="379"/>
      <c r="J59" s="710"/>
      <c r="K59" s="379"/>
      <c r="L59" s="379"/>
      <c r="M59" s="379"/>
      <c r="N59" s="602"/>
      <c r="O59" s="379"/>
      <c r="P59" s="379"/>
      <c r="Q59" s="581"/>
      <c r="R59" s="711"/>
    </row>
    <row r="60" spans="2:18" ht="13.5" customHeight="1" thickBot="1">
      <c r="B60" s="1037" t="s">
        <v>236</v>
      </c>
      <c r="C60" s="1038"/>
      <c r="D60" s="1038"/>
      <c r="E60" s="1038"/>
      <c r="F60" s="1038"/>
      <c r="G60" s="1038"/>
      <c r="H60" s="1038"/>
      <c r="I60" s="1038"/>
      <c r="J60" s="1038"/>
      <c r="K60" s="1038"/>
      <c r="L60" s="1038"/>
      <c r="M60" s="1038"/>
      <c r="N60" s="1039"/>
      <c r="O60" s="151"/>
      <c r="P60" s="1052" t="s">
        <v>627</v>
      </c>
      <c r="Q60" s="1040" t="s">
        <v>772</v>
      </c>
      <c r="R60" s="1047" t="s">
        <v>774</v>
      </c>
    </row>
    <row r="61" spans="2:18" ht="23.25" customHeight="1">
      <c r="B61" s="26"/>
      <c r="C61" s="1043" t="s">
        <v>613</v>
      </c>
      <c r="D61" s="1045" t="s">
        <v>612</v>
      </c>
      <c r="E61" s="1045" t="s">
        <v>610</v>
      </c>
      <c r="F61" s="1045" t="s">
        <v>611</v>
      </c>
      <c r="G61" s="288" t="s">
        <v>4</v>
      </c>
      <c r="H61" s="1027" t="s">
        <v>662</v>
      </c>
      <c r="I61" s="1033" t="s">
        <v>772</v>
      </c>
      <c r="J61" s="1035" t="s">
        <v>774</v>
      </c>
      <c r="K61" s="86"/>
      <c r="L61" s="1050" t="s">
        <v>663</v>
      </c>
      <c r="M61" s="1033" t="s">
        <v>772</v>
      </c>
      <c r="N61" s="1035" t="s">
        <v>774</v>
      </c>
      <c r="O61" s="86"/>
      <c r="P61" s="1053"/>
      <c r="Q61" s="1041"/>
      <c r="R61" s="1048"/>
    </row>
    <row r="62" spans="2:18" ht="30.75" customHeight="1" thickBot="1">
      <c r="B62" s="29"/>
      <c r="C62" s="1044"/>
      <c r="D62" s="1044"/>
      <c r="E62" s="1044"/>
      <c r="F62" s="1044"/>
      <c r="G62" s="289"/>
      <c r="H62" s="1029"/>
      <c r="I62" s="1034"/>
      <c r="J62" s="1046"/>
      <c r="K62" s="86"/>
      <c r="L62" s="1051"/>
      <c r="M62" s="1034"/>
      <c r="N62" s="1046"/>
      <c r="O62" s="86"/>
      <c r="P62" s="1054"/>
      <c r="Q62" s="1042"/>
      <c r="R62" s="1049"/>
    </row>
    <row r="63" spans="2:18" ht="17.25" thickBot="1" thickTop="1">
      <c r="B63" s="224">
        <v>1</v>
      </c>
      <c r="C63" s="359" t="s">
        <v>241</v>
      </c>
      <c r="D63" s="125"/>
      <c r="E63" s="125"/>
      <c r="F63" s="125"/>
      <c r="G63" s="290"/>
      <c r="H63" s="225">
        <f>H64+H69</f>
        <v>53400</v>
      </c>
      <c r="I63" s="593">
        <f>I64+I69</f>
        <v>49022</v>
      </c>
      <c r="J63" s="690">
        <f aca="true" t="shared" si="5" ref="J63:J71">I63/H63*100</f>
        <v>91.80149812734082</v>
      </c>
      <c r="K63" s="127"/>
      <c r="L63" s="295">
        <f>L64+L69</f>
        <v>0</v>
      </c>
      <c r="M63" s="593" t="e">
        <f>M64+#REF!+#REF!+#REF!+#REF!+#REF!+#REF!+#REF!+#REF!</f>
        <v>#REF!</v>
      </c>
      <c r="N63" s="690"/>
      <c r="O63" s="127"/>
      <c r="P63" s="691">
        <f aca="true" t="shared" si="6" ref="P63:P71">H63+L63</f>
        <v>53400</v>
      </c>
      <c r="Q63" s="692">
        <f aca="true" t="shared" si="7" ref="Q63:Q73">I63</f>
        <v>49022</v>
      </c>
      <c r="R63" s="693">
        <f aca="true" t="shared" si="8" ref="R63:R71">Q63/P63*100</f>
        <v>91.80149812734082</v>
      </c>
    </row>
    <row r="64" spans="2:18" ht="16.5" thickTop="1">
      <c r="B64" s="224">
        <f aca="true" t="shared" si="9" ref="B64:B73">B63+1</f>
        <v>2</v>
      </c>
      <c r="C64" s="27">
        <v>1</v>
      </c>
      <c r="D64" s="160" t="s">
        <v>193</v>
      </c>
      <c r="E64" s="28"/>
      <c r="F64" s="28"/>
      <c r="G64" s="291"/>
      <c r="H64" s="233">
        <f>SUM(H65:H68)</f>
        <v>47000</v>
      </c>
      <c r="I64" s="695">
        <f>SUM(I65:I68)</f>
        <v>43727</v>
      </c>
      <c r="J64" s="683">
        <f t="shared" si="5"/>
        <v>93.03617021276595</v>
      </c>
      <c r="K64" s="96"/>
      <c r="L64" s="297">
        <v>0</v>
      </c>
      <c r="M64" s="611">
        <v>0</v>
      </c>
      <c r="N64" s="984"/>
      <c r="O64" s="96"/>
      <c r="P64" s="299">
        <f t="shared" si="6"/>
        <v>47000</v>
      </c>
      <c r="Q64" s="712">
        <f t="shared" si="7"/>
        <v>43727</v>
      </c>
      <c r="R64" s="696">
        <f t="shared" si="8"/>
        <v>93.03617021276595</v>
      </c>
    </row>
    <row r="65" spans="2:18" ht="12.75">
      <c r="B65" s="224">
        <f t="shared" si="9"/>
        <v>3</v>
      </c>
      <c r="C65" s="165"/>
      <c r="D65" s="166"/>
      <c r="E65" s="166" t="s">
        <v>277</v>
      </c>
      <c r="F65" s="166" t="s">
        <v>255</v>
      </c>
      <c r="G65" s="292" t="s">
        <v>651</v>
      </c>
      <c r="H65" s="206">
        <f>10000-3000-2000</f>
        <v>5000</v>
      </c>
      <c r="I65" s="206">
        <v>2941</v>
      </c>
      <c r="J65" s="697">
        <f t="shared" si="5"/>
        <v>58.81999999999999</v>
      </c>
      <c r="K65" s="168"/>
      <c r="L65" s="186"/>
      <c r="M65" s="186"/>
      <c r="N65" s="985"/>
      <c r="O65" s="168"/>
      <c r="P65" s="175">
        <f t="shared" si="6"/>
        <v>5000</v>
      </c>
      <c r="Q65" s="605">
        <f t="shared" si="7"/>
        <v>2941</v>
      </c>
      <c r="R65" s="699">
        <f t="shared" si="8"/>
        <v>58.81999999999999</v>
      </c>
    </row>
    <row r="66" spans="2:18" ht="12.75">
      <c r="B66" s="224">
        <f t="shared" si="9"/>
        <v>4</v>
      </c>
      <c r="C66" s="165"/>
      <c r="D66" s="166"/>
      <c r="E66" s="166" t="s">
        <v>277</v>
      </c>
      <c r="F66" s="166" t="s">
        <v>238</v>
      </c>
      <c r="G66" s="292" t="s">
        <v>651</v>
      </c>
      <c r="H66" s="206">
        <v>2000</v>
      </c>
      <c r="I66" s="206">
        <v>1601</v>
      </c>
      <c r="J66" s="697">
        <f t="shared" si="5"/>
        <v>80.05</v>
      </c>
      <c r="K66" s="168"/>
      <c r="L66" s="186"/>
      <c r="M66" s="186"/>
      <c r="N66" s="985"/>
      <c r="O66" s="168"/>
      <c r="P66" s="175">
        <f t="shared" si="6"/>
        <v>2000</v>
      </c>
      <c r="Q66" s="605">
        <f t="shared" si="7"/>
        <v>1601</v>
      </c>
      <c r="R66" s="699">
        <f t="shared" si="8"/>
        <v>80.05</v>
      </c>
    </row>
    <row r="67" spans="2:18" ht="12.75">
      <c r="B67" s="224">
        <f t="shared" si="9"/>
        <v>5</v>
      </c>
      <c r="C67" s="165"/>
      <c r="D67" s="166"/>
      <c r="E67" s="166" t="s">
        <v>529</v>
      </c>
      <c r="F67" s="166" t="s">
        <v>257</v>
      </c>
      <c r="G67" s="292" t="s">
        <v>615</v>
      </c>
      <c r="H67" s="206">
        <f>20000-100</f>
        <v>19900</v>
      </c>
      <c r="I67" s="206">
        <v>19139</v>
      </c>
      <c r="J67" s="697">
        <f t="shared" si="5"/>
        <v>96.17587939698493</v>
      </c>
      <c r="K67" s="168"/>
      <c r="L67" s="186"/>
      <c r="M67" s="186"/>
      <c r="N67" s="985"/>
      <c r="O67" s="168"/>
      <c r="P67" s="175">
        <f t="shared" si="6"/>
        <v>19900</v>
      </c>
      <c r="Q67" s="605">
        <f t="shared" si="7"/>
        <v>19139</v>
      </c>
      <c r="R67" s="699">
        <f t="shared" si="8"/>
        <v>96.17587939698493</v>
      </c>
    </row>
    <row r="68" spans="2:18" ht="12.75">
      <c r="B68" s="224">
        <f t="shared" si="9"/>
        <v>6</v>
      </c>
      <c r="C68" s="165"/>
      <c r="D68" s="166"/>
      <c r="E68" s="166" t="s">
        <v>318</v>
      </c>
      <c r="F68" s="166" t="s">
        <v>255</v>
      </c>
      <c r="G68" s="292" t="s">
        <v>616</v>
      </c>
      <c r="H68" s="206">
        <f>25000-5000+100</f>
        <v>20100</v>
      </c>
      <c r="I68" s="206">
        <v>20046</v>
      </c>
      <c r="J68" s="697">
        <f t="shared" si="5"/>
        <v>99.73134328358209</v>
      </c>
      <c r="K68" s="168"/>
      <c r="L68" s="186"/>
      <c r="M68" s="186"/>
      <c r="N68" s="985"/>
      <c r="O68" s="168"/>
      <c r="P68" s="175">
        <f t="shared" si="6"/>
        <v>20100</v>
      </c>
      <c r="Q68" s="605">
        <f t="shared" si="7"/>
        <v>20046</v>
      </c>
      <c r="R68" s="699">
        <f t="shared" si="8"/>
        <v>99.73134328358209</v>
      </c>
    </row>
    <row r="69" spans="2:18" ht="15.75">
      <c r="B69" s="224">
        <f t="shared" si="9"/>
        <v>7</v>
      </c>
      <c r="C69" s="24">
        <v>2</v>
      </c>
      <c r="D69" s="159" t="s">
        <v>167</v>
      </c>
      <c r="E69" s="25"/>
      <c r="F69" s="25"/>
      <c r="G69" s="293"/>
      <c r="H69" s="233">
        <f>SUM(H70:H73)</f>
        <v>6400</v>
      </c>
      <c r="I69" s="617">
        <f>SUM(I70:I73)</f>
        <v>5295</v>
      </c>
      <c r="J69" s="684">
        <f t="shared" si="5"/>
        <v>82.734375</v>
      </c>
      <c r="K69" s="96"/>
      <c r="L69" s="305">
        <v>0</v>
      </c>
      <c r="M69" s="610">
        <v>0</v>
      </c>
      <c r="N69" s="986"/>
      <c r="O69" s="126"/>
      <c r="P69" s="300">
        <f t="shared" si="6"/>
        <v>6400</v>
      </c>
      <c r="Q69" s="713">
        <f t="shared" si="7"/>
        <v>5295</v>
      </c>
      <c r="R69" s="702">
        <f t="shared" si="8"/>
        <v>82.734375</v>
      </c>
    </row>
    <row r="70" spans="2:18" ht="12.75">
      <c r="B70" s="224">
        <f t="shared" si="9"/>
        <v>8</v>
      </c>
      <c r="C70" s="165"/>
      <c r="D70" s="165"/>
      <c r="E70" s="170" t="s">
        <v>528</v>
      </c>
      <c r="F70" s="170">
        <v>637</v>
      </c>
      <c r="G70" s="292" t="s">
        <v>648</v>
      </c>
      <c r="H70" s="206">
        <f>7000-2000</f>
        <v>5000</v>
      </c>
      <c r="I70" s="206">
        <v>3985</v>
      </c>
      <c r="J70" s="697">
        <f t="shared" si="5"/>
        <v>79.7</v>
      </c>
      <c r="K70" s="168"/>
      <c r="L70" s="182"/>
      <c r="M70" s="182"/>
      <c r="N70" s="987"/>
      <c r="O70" s="168"/>
      <c r="P70" s="176">
        <f t="shared" si="6"/>
        <v>5000</v>
      </c>
      <c r="Q70" s="606">
        <f t="shared" si="7"/>
        <v>3985</v>
      </c>
      <c r="R70" s="704">
        <f t="shared" si="8"/>
        <v>79.7</v>
      </c>
    </row>
    <row r="71" spans="2:18" ht="12.75">
      <c r="B71" s="224">
        <f t="shared" si="9"/>
        <v>9</v>
      </c>
      <c r="C71" s="165"/>
      <c r="D71" s="165"/>
      <c r="E71" s="170" t="s">
        <v>528</v>
      </c>
      <c r="F71" s="170">
        <v>637</v>
      </c>
      <c r="G71" s="292" t="s">
        <v>617</v>
      </c>
      <c r="H71" s="206">
        <f>2000-1000</f>
        <v>1000</v>
      </c>
      <c r="I71" s="206">
        <f>743+167</f>
        <v>910</v>
      </c>
      <c r="J71" s="697">
        <f t="shared" si="5"/>
        <v>91</v>
      </c>
      <c r="K71" s="168"/>
      <c r="L71" s="182"/>
      <c r="M71" s="182"/>
      <c r="N71" s="987"/>
      <c r="O71" s="168"/>
      <c r="P71" s="176">
        <f t="shared" si="6"/>
        <v>1000</v>
      </c>
      <c r="Q71" s="606">
        <f t="shared" si="7"/>
        <v>910</v>
      </c>
      <c r="R71" s="704">
        <f t="shared" si="8"/>
        <v>91</v>
      </c>
    </row>
    <row r="72" spans="2:18" ht="12.75">
      <c r="B72" s="224">
        <f t="shared" si="9"/>
        <v>10</v>
      </c>
      <c r="C72" s="165"/>
      <c r="D72" s="165"/>
      <c r="E72" s="170"/>
      <c r="F72" s="170"/>
      <c r="G72" s="292" t="s">
        <v>649</v>
      </c>
      <c r="H72" s="206"/>
      <c r="I72" s="206"/>
      <c r="J72" s="697"/>
      <c r="K72" s="168"/>
      <c r="L72" s="182"/>
      <c r="M72" s="182"/>
      <c r="N72" s="987"/>
      <c r="O72" s="168"/>
      <c r="P72" s="176"/>
      <c r="Q72" s="606">
        <f t="shared" si="7"/>
        <v>0</v>
      </c>
      <c r="R72" s="704"/>
    </row>
    <row r="73" spans="2:18" ht="13.5" thickBot="1">
      <c r="B73" s="317">
        <f t="shared" si="9"/>
        <v>11</v>
      </c>
      <c r="C73" s="178"/>
      <c r="D73" s="178"/>
      <c r="E73" s="179" t="s">
        <v>528</v>
      </c>
      <c r="F73" s="179">
        <v>637</v>
      </c>
      <c r="G73" s="308" t="s">
        <v>618</v>
      </c>
      <c r="H73" s="212">
        <f>1000-600</f>
        <v>400</v>
      </c>
      <c r="I73" s="212">
        <f>567-167</f>
        <v>400</v>
      </c>
      <c r="J73" s="714">
        <f>I73/H73*100</f>
        <v>100</v>
      </c>
      <c r="K73" s="180"/>
      <c r="L73" s="183"/>
      <c r="M73" s="183"/>
      <c r="N73" s="988"/>
      <c r="O73" s="180"/>
      <c r="P73" s="181">
        <f>H73+L73</f>
        <v>400</v>
      </c>
      <c r="Q73" s="616">
        <f t="shared" si="7"/>
        <v>400</v>
      </c>
      <c r="R73" s="730">
        <f>Q73/P73*100</f>
        <v>100</v>
      </c>
    </row>
    <row r="91" spans="2:16" ht="30.75" customHeight="1" thickBot="1">
      <c r="B91" s="379" t="s">
        <v>243</v>
      </c>
      <c r="C91" s="379"/>
      <c r="D91" s="379"/>
      <c r="E91" s="379"/>
      <c r="F91" s="379"/>
      <c r="G91" s="379"/>
      <c r="H91" s="379"/>
      <c r="I91" s="379"/>
      <c r="J91" s="604"/>
      <c r="K91" s="379"/>
      <c r="L91" s="379"/>
      <c r="M91" s="379"/>
      <c r="N91" s="689"/>
      <c r="O91" s="379"/>
      <c r="P91" s="379"/>
    </row>
    <row r="92" spans="2:18" ht="13.5" thickBot="1">
      <c r="B92" s="1037" t="s">
        <v>236</v>
      </c>
      <c r="C92" s="1038"/>
      <c r="D92" s="1038"/>
      <c r="E92" s="1038"/>
      <c r="F92" s="1038"/>
      <c r="G92" s="1038"/>
      <c r="H92" s="1038"/>
      <c r="I92" s="1038"/>
      <c r="J92" s="1038"/>
      <c r="K92" s="1038"/>
      <c r="L92" s="1038"/>
      <c r="M92" s="1038"/>
      <c r="N92" s="1039"/>
      <c r="O92" s="151"/>
      <c r="P92" s="1052" t="s">
        <v>627</v>
      </c>
      <c r="Q92" s="1040" t="s">
        <v>772</v>
      </c>
      <c r="R92" s="1047" t="s">
        <v>774</v>
      </c>
    </row>
    <row r="93" spans="2:18" ht="21.75" customHeight="1">
      <c r="B93" s="26"/>
      <c r="C93" s="1043" t="s">
        <v>613</v>
      </c>
      <c r="D93" s="1045" t="s">
        <v>612</v>
      </c>
      <c r="E93" s="1045" t="s">
        <v>610</v>
      </c>
      <c r="F93" s="1045" t="s">
        <v>611</v>
      </c>
      <c r="G93" s="288" t="s">
        <v>4</v>
      </c>
      <c r="H93" s="1027" t="s">
        <v>662</v>
      </c>
      <c r="I93" s="1033" t="s">
        <v>772</v>
      </c>
      <c r="J93" s="1035" t="s">
        <v>774</v>
      </c>
      <c r="K93" s="86"/>
      <c r="L93" s="1050" t="s">
        <v>663</v>
      </c>
      <c r="M93" s="1066" t="s">
        <v>772</v>
      </c>
      <c r="N93" s="1035" t="s">
        <v>774</v>
      </c>
      <c r="O93" s="86"/>
      <c r="P93" s="1053"/>
      <c r="Q93" s="1041"/>
      <c r="R93" s="1048"/>
    </row>
    <row r="94" spans="2:18" ht="24" customHeight="1" thickBot="1">
      <c r="B94" s="29"/>
      <c r="C94" s="1044"/>
      <c r="D94" s="1044"/>
      <c r="E94" s="1044"/>
      <c r="F94" s="1044"/>
      <c r="G94" s="289"/>
      <c r="H94" s="1029"/>
      <c r="I94" s="1034"/>
      <c r="J94" s="1046"/>
      <c r="K94" s="86"/>
      <c r="L94" s="1051"/>
      <c r="M94" s="1067"/>
      <c r="N94" s="1046"/>
      <c r="O94" s="86"/>
      <c r="P94" s="1054"/>
      <c r="Q94" s="1042"/>
      <c r="R94" s="1049"/>
    </row>
    <row r="95" spans="2:18" ht="17.25" thickBot="1" thickTop="1">
      <c r="B95" s="224">
        <v>1</v>
      </c>
      <c r="C95" s="359" t="s">
        <v>244</v>
      </c>
      <c r="D95" s="125"/>
      <c r="E95" s="125"/>
      <c r="F95" s="125"/>
      <c r="G95" s="309"/>
      <c r="H95" s="225">
        <f>H96+H100+H108+H110+H125+H137+H140+H147+H150</f>
        <v>3866354</v>
      </c>
      <c r="I95" s="593">
        <f>I96+I100+I108+I110+I125+I137+I140+I147+I150</f>
        <v>3329501</v>
      </c>
      <c r="J95" s="690">
        <f aca="true" t="shared" si="10" ref="J95:J111">I95/H95*100</f>
        <v>86.11474789944221</v>
      </c>
      <c r="K95" s="127"/>
      <c r="L95" s="295">
        <f>L96+L100+L108+L110+L125+L137+L140+L147+L150</f>
        <v>41508</v>
      </c>
      <c r="M95" s="715">
        <f>M96+M100+M108+M110+M125+M137+M140+M147+M150</f>
        <v>41240</v>
      </c>
      <c r="N95" s="690">
        <f>M95/L95*100</f>
        <v>99.35434133179146</v>
      </c>
      <c r="O95" s="127"/>
      <c r="P95" s="691">
        <f aca="true" t="shared" si="11" ref="P95:P111">H95+L95</f>
        <v>3907862</v>
      </c>
      <c r="Q95" s="692">
        <f aca="true" t="shared" si="12" ref="Q95:Q111">I95+M95</f>
        <v>3370741</v>
      </c>
      <c r="R95" s="693">
        <f aca="true" t="shared" si="13" ref="R95:R111">Q95/P95*100</f>
        <v>86.25537442212648</v>
      </c>
    </row>
    <row r="96" spans="2:18" ht="16.5" thickTop="1">
      <c r="B96" s="224">
        <f aca="true" t="shared" si="14" ref="B96:B126">B95+1</f>
        <v>2</v>
      </c>
      <c r="C96" s="27">
        <v>1</v>
      </c>
      <c r="D96" s="160" t="s">
        <v>105</v>
      </c>
      <c r="E96" s="28"/>
      <c r="F96" s="28"/>
      <c r="G96" s="291"/>
      <c r="H96" s="367">
        <f>SUM(H97:H99)</f>
        <v>56000</v>
      </c>
      <c r="I96" s="695">
        <f>SUM(I97:I99)</f>
        <v>22928</v>
      </c>
      <c r="J96" s="683">
        <f t="shared" si="10"/>
        <v>40.94285714285714</v>
      </c>
      <c r="K96" s="96"/>
      <c r="L96" s="638">
        <v>0</v>
      </c>
      <c r="M96" s="695"/>
      <c r="N96" s="683"/>
      <c r="O96" s="96"/>
      <c r="P96" s="299">
        <f t="shared" si="11"/>
        <v>56000</v>
      </c>
      <c r="Q96" s="608">
        <f t="shared" si="12"/>
        <v>22928</v>
      </c>
      <c r="R96" s="696">
        <f t="shared" si="13"/>
        <v>40.94285714285714</v>
      </c>
    </row>
    <row r="97" spans="2:18" ht="12.75">
      <c r="B97" s="224">
        <f t="shared" si="14"/>
        <v>3</v>
      </c>
      <c r="C97" s="165"/>
      <c r="D97" s="166"/>
      <c r="E97" s="166" t="s">
        <v>277</v>
      </c>
      <c r="F97" s="166" t="s">
        <v>255</v>
      </c>
      <c r="G97" s="292" t="s">
        <v>637</v>
      </c>
      <c r="H97" s="206">
        <f>36000-20700</f>
        <v>15300</v>
      </c>
      <c r="I97" s="206">
        <f>13913+89</f>
        <v>14002</v>
      </c>
      <c r="J97" s="697">
        <f t="shared" si="10"/>
        <v>91.51633986928105</v>
      </c>
      <c r="K97" s="168"/>
      <c r="L97" s="634"/>
      <c r="M97" s="238"/>
      <c r="N97" s="716"/>
      <c r="O97" s="168"/>
      <c r="P97" s="175">
        <f t="shared" si="11"/>
        <v>15300</v>
      </c>
      <c r="Q97" s="175">
        <f t="shared" si="12"/>
        <v>14002</v>
      </c>
      <c r="R97" s="699">
        <f t="shared" si="13"/>
        <v>91.51633986928105</v>
      </c>
    </row>
    <row r="98" spans="2:18" ht="12.75">
      <c r="B98" s="224">
        <f t="shared" si="14"/>
        <v>4</v>
      </c>
      <c r="C98" s="165"/>
      <c r="D98" s="166"/>
      <c r="E98" s="166" t="s">
        <v>277</v>
      </c>
      <c r="F98" s="166" t="s">
        <v>255</v>
      </c>
      <c r="G98" s="292" t="s">
        <v>638</v>
      </c>
      <c r="H98" s="206">
        <f>1100+9800</f>
        <v>10900</v>
      </c>
      <c r="I98" s="206">
        <v>2659</v>
      </c>
      <c r="J98" s="697">
        <f t="shared" si="10"/>
        <v>24.394495412844037</v>
      </c>
      <c r="K98" s="168"/>
      <c r="L98" s="634"/>
      <c r="M98" s="238"/>
      <c r="N98" s="716"/>
      <c r="O98" s="168"/>
      <c r="P98" s="175">
        <f t="shared" si="11"/>
        <v>10900</v>
      </c>
      <c r="Q98" s="175">
        <f t="shared" si="12"/>
        <v>2659</v>
      </c>
      <c r="R98" s="699">
        <f t="shared" si="13"/>
        <v>24.394495412844037</v>
      </c>
    </row>
    <row r="99" spans="2:18" ht="12.75">
      <c r="B99" s="224">
        <f t="shared" si="14"/>
        <v>5</v>
      </c>
      <c r="C99" s="165"/>
      <c r="D99" s="166"/>
      <c r="E99" s="166" t="s">
        <v>277</v>
      </c>
      <c r="F99" s="166" t="s">
        <v>255</v>
      </c>
      <c r="G99" s="292" t="s">
        <v>639</v>
      </c>
      <c r="H99" s="206">
        <f>19100+16700-3000-3000</f>
        <v>29800</v>
      </c>
      <c r="I99" s="206">
        <f>6167+100</f>
        <v>6267</v>
      </c>
      <c r="J99" s="697">
        <f t="shared" si="10"/>
        <v>21.030201342281877</v>
      </c>
      <c r="K99" s="168"/>
      <c r="L99" s="636"/>
      <c r="M99" s="172"/>
      <c r="N99" s="697"/>
      <c r="O99" s="168"/>
      <c r="P99" s="175">
        <f t="shared" si="11"/>
        <v>29800</v>
      </c>
      <c r="Q99" s="175">
        <f t="shared" si="12"/>
        <v>6267</v>
      </c>
      <c r="R99" s="699">
        <f t="shared" si="13"/>
        <v>21.030201342281877</v>
      </c>
    </row>
    <row r="100" spans="2:18" ht="15.75">
      <c r="B100" s="224">
        <f t="shared" si="14"/>
        <v>6</v>
      </c>
      <c r="C100" s="24">
        <v>2</v>
      </c>
      <c r="D100" s="159" t="s">
        <v>198</v>
      </c>
      <c r="E100" s="25"/>
      <c r="F100" s="25"/>
      <c r="G100" s="293"/>
      <c r="H100" s="233">
        <f>H101+H103+H105</f>
        <v>103550</v>
      </c>
      <c r="I100" s="617">
        <f>I101+I103+I105</f>
        <v>92332</v>
      </c>
      <c r="J100" s="684">
        <f t="shared" si="10"/>
        <v>89.16658619024625</v>
      </c>
      <c r="K100" s="96"/>
      <c r="L100" s="638">
        <f>L101+L103+L105</f>
        <v>0</v>
      </c>
      <c r="M100" s="644"/>
      <c r="N100" s="717"/>
      <c r="O100" s="126"/>
      <c r="P100" s="300">
        <f t="shared" si="11"/>
        <v>103550</v>
      </c>
      <c r="Q100" s="609">
        <f t="shared" si="12"/>
        <v>92332</v>
      </c>
      <c r="R100" s="702">
        <f t="shared" si="13"/>
        <v>89.16658619024625</v>
      </c>
    </row>
    <row r="101" spans="2:18" ht="12.75">
      <c r="B101" s="224">
        <f t="shared" si="14"/>
        <v>7</v>
      </c>
      <c r="C101" s="165"/>
      <c r="D101" s="303" t="s">
        <v>5</v>
      </c>
      <c r="E101" s="312" t="s">
        <v>138</v>
      </c>
      <c r="F101" s="313"/>
      <c r="G101" s="314"/>
      <c r="H101" s="315">
        <f>SUM(H102:H102)</f>
        <v>2790</v>
      </c>
      <c r="I101" s="315">
        <f>I102</f>
        <v>2567</v>
      </c>
      <c r="J101" s="697">
        <f t="shared" si="10"/>
        <v>92.00716845878136</v>
      </c>
      <c r="K101" s="23"/>
      <c r="L101" s="718"/>
      <c r="M101" s="719"/>
      <c r="N101" s="716"/>
      <c r="O101" s="23"/>
      <c r="P101" s="318">
        <f t="shared" si="11"/>
        <v>2790</v>
      </c>
      <c r="Q101" s="318">
        <f t="shared" si="12"/>
        <v>2567</v>
      </c>
      <c r="R101" s="699">
        <f t="shared" si="13"/>
        <v>92.00716845878136</v>
      </c>
    </row>
    <row r="102" spans="2:18" ht="12.75">
      <c r="B102" s="224">
        <f t="shared" si="14"/>
        <v>8</v>
      </c>
      <c r="C102" s="165"/>
      <c r="D102" s="165"/>
      <c r="E102" s="166" t="s">
        <v>277</v>
      </c>
      <c r="F102" s="170">
        <v>637</v>
      </c>
      <c r="G102" s="292" t="s">
        <v>634</v>
      </c>
      <c r="H102" s="206">
        <f>4490-1700</f>
        <v>2790</v>
      </c>
      <c r="I102" s="206">
        <v>2567</v>
      </c>
      <c r="J102" s="697">
        <f t="shared" si="10"/>
        <v>92.00716845878136</v>
      </c>
      <c r="K102" s="168"/>
      <c r="L102" s="636"/>
      <c r="M102" s="172"/>
      <c r="N102" s="697"/>
      <c r="O102" s="168"/>
      <c r="P102" s="176">
        <f t="shared" si="11"/>
        <v>2790</v>
      </c>
      <c r="Q102" s="176">
        <f t="shared" si="12"/>
        <v>2567</v>
      </c>
      <c r="R102" s="704">
        <f t="shared" si="13"/>
        <v>92.00716845878136</v>
      </c>
    </row>
    <row r="103" spans="2:18" ht="12.75">
      <c r="B103" s="224">
        <f t="shared" si="14"/>
        <v>9</v>
      </c>
      <c r="C103" s="165"/>
      <c r="D103" s="303" t="s">
        <v>6</v>
      </c>
      <c r="E103" s="312" t="s">
        <v>139</v>
      </c>
      <c r="F103" s="313"/>
      <c r="G103" s="314"/>
      <c r="H103" s="315">
        <f>H104</f>
        <v>18845</v>
      </c>
      <c r="I103" s="315">
        <f>I104</f>
        <v>15239</v>
      </c>
      <c r="J103" s="697">
        <f t="shared" si="10"/>
        <v>80.86495091536217</v>
      </c>
      <c r="K103" s="23"/>
      <c r="L103" s="718"/>
      <c r="M103" s="719"/>
      <c r="N103" s="716"/>
      <c r="O103" s="23"/>
      <c r="P103" s="318">
        <f t="shared" si="11"/>
        <v>18845</v>
      </c>
      <c r="Q103" s="318">
        <f t="shared" si="12"/>
        <v>15239</v>
      </c>
      <c r="R103" s="699">
        <f t="shared" si="13"/>
        <v>80.86495091536217</v>
      </c>
    </row>
    <row r="104" spans="2:18" ht="12.75">
      <c r="B104" s="224">
        <f t="shared" si="14"/>
        <v>10</v>
      </c>
      <c r="C104" s="165"/>
      <c r="D104" s="165"/>
      <c r="E104" s="166" t="s">
        <v>277</v>
      </c>
      <c r="F104" s="170">
        <v>637</v>
      </c>
      <c r="G104" s="292" t="s">
        <v>635</v>
      </c>
      <c r="H104" s="206">
        <f>27345-8500</f>
        <v>18845</v>
      </c>
      <c r="I104" s="206">
        <v>15239</v>
      </c>
      <c r="J104" s="697">
        <f t="shared" si="10"/>
        <v>80.86495091536217</v>
      </c>
      <c r="K104" s="168"/>
      <c r="L104" s="636"/>
      <c r="M104" s="172"/>
      <c r="N104" s="697"/>
      <c r="O104" s="168"/>
      <c r="P104" s="176">
        <f t="shared" si="11"/>
        <v>18845</v>
      </c>
      <c r="Q104" s="176">
        <f t="shared" si="12"/>
        <v>15239</v>
      </c>
      <c r="R104" s="704">
        <f t="shared" si="13"/>
        <v>80.86495091536217</v>
      </c>
    </row>
    <row r="105" spans="2:18" ht="12.75">
      <c r="B105" s="224">
        <f t="shared" si="14"/>
        <v>11</v>
      </c>
      <c r="C105" s="165"/>
      <c r="D105" s="303" t="s">
        <v>7</v>
      </c>
      <c r="E105" s="312" t="s">
        <v>140</v>
      </c>
      <c r="F105" s="313"/>
      <c r="G105" s="314"/>
      <c r="H105" s="316">
        <f>SUM(H106:H107)</f>
        <v>81915</v>
      </c>
      <c r="I105" s="316">
        <f>I106+I107</f>
        <v>74526</v>
      </c>
      <c r="J105" s="720">
        <f t="shared" si="10"/>
        <v>90.97967405237137</v>
      </c>
      <c r="K105" s="23"/>
      <c r="L105" s="721"/>
      <c r="M105" s="722"/>
      <c r="N105" s="723"/>
      <c r="O105" s="23"/>
      <c r="P105" s="319">
        <f t="shared" si="11"/>
        <v>81915</v>
      </c>
      <c r="Q105" s="319">
        <f t="shared" si="12"/>
        <v>74526</v>
      </c>
      <c r="R105" s="724">
        <f t="shared" si="13"/>
        <v>90.97967405237137</v>
      </c>
    </row>
    <row r="106" spans="2:18" ht="12.75">
      <c r="B106" s="224">
        <f t="shared" si="14"/>
        <v>12</v>
      </c>
      <c r="C106" s="165"/>
      <c r="D106" s="165"/>
      <c r="E106" s="166" t="s">
        <v>277</v>
      </c>
      <c r="F106" s="204">
        <v>637</v>
      </c>
      <c r="G106" s="292" t="s">
        <v>636</v>
      </c>
      <c r="H106" s="206">
        <f>9745+5500+1000+1100+3000+2000-9000</f>
        <v>13345</v>
      </c>
      <c r="I106" s="206">
        <v>8133</v>
      </c>
      <c r="J106" s="697">
        <f t="shared" si="10"/>
        <v>60.9441738478831</v>
      </c>
      <c r="K106" s="168"/>
      <c r="L106" s="636"/>
      <c r="M106" s="172"/>
      <c r="N106" s="697"/>
      <c r="O106" s="168"/>
      <c r="P106" s="176">
        <f t="shared" si="11"/>
        <v>13345</v>
      </c>
      <c r="Q106" s="176">
        <f t="shared" si="12"/>
        <v>8133</v>
      </c>
      <c r="R106" s="704">
        <f t="shared" si="13"/>
        <v>60.9441738478831</v>
      </c>
    </row>
    <row r="107" spans="2:18" ht="12.75">
      <c r="B107" s="224">
        <f t="shared" si="14"/>
        <v>13</v>
      </c>
      <c r="C107" s="171"/>
      <c r="D107" s="171"/>
      <c r="E107" s="166" t="s">
        <v>277</v>
      </c>
      <c r="F107" s="205">
        <v>636</v>
      </c>
      <c r="G107" s="310" t="s">
        <v>312</v>
      </c>
      <c r="H107" s="206">
        <f>67820+750</f>
        <v>68570</v>
      </c>
      <c r="I107" s="206">
        <v>66393</v>
      </c>
      <c r="J107" s="697">
        <f t="shared" si="10"/>
        <v>96.8251421904623</v>
      </c>
      <c r="K107" s="168"/>
      <c r="L107" s="636"/>
      <c r="M107" s="172"/>
      <c r="N107" s="697"/>
      <c r="O107" s="168"/>
      <c r="P107" s="176">
        <f t="shared" si="11"/>
        <v>68570</v>
      </c>
      <c r="Q107" s="176">
        <f t="shared" si="12"/>
        <v>66393</v>
      </c>
      <c r="R107" s="704">
        <f t="shared" si="13"/>
        <v>96.8251421904623</v>
      </c>
    </row>
    <row r="108" spans="2:18" ht="15.75">
      <c r="B108" s="224">
        <f t="shared" si="14"/>
        <v>14</v>
      </c>
      <c r="C108" s="27">
        <v>3</v>
      </c>
      <c r="D108" s="160" t="s">
        <v>141</v>
      </c>
      <c r="E108" s="28"/>
      <c r="F108" s="28"/>
      <c r="G108" s="291"/>
      <c r="H108" s="233">
        <f>H109</f>
        <v>1000</v>
      </c>
      <c r="I108" s="617">
        <f>I109</f>
        <v>96</v>
      </c>
      <c r="J108" s="684">
        <f t="shared" si="10"/>
        <v>9.6</v>
      </c>
      <c r="K108" s="96"/>
      <c r="L108" s="638">
        <v>0</v>
      </c>
      <c r="M108" s="644"/>
      <c r="N108" s="717"/>
      <c r="O108" s="96"/>
      <c r="P108" s="299">
        <f t="shared" si="11"/>
        <v>1000</v>
      </c>
      <c r="Q108" s="608">
        <f t="shared" si="12"/>
        <v>96</v>
      </c>
      <c r="R108" s="696">
        <f t="shared" si="13"/>
        <v>9.6</v>
      </c>
    </row>
    <row r="109" spans="2:18" ht="14.25">
      <c r="B109" s="224">
        <f t="shared" si="14"/>
        <v>15</v>
      </c>
      <c r="C109" s="171"/>
      <c r="D109" s="171"/>
      <c r="E109" s="173" t="s">
        <v>277</v>
      </c>
      <c r="F109" s="173">
        <v>637</v>
      </c>
      <c r="G109" s="292" t="s">
        <v>640</v>
      </c>
      <c r="H109" s="206">
        <f>2000-1000</f>
        <v>1000</v>
      </c>
      <c r="I109" s="206">
        <v>96</v>
      </c>
      <c r="J109" s="697">
        <f t="shared" si="10"/>
        <v>9.6</v>
      </c>
      <c r="K109" s="168"/>
      <c r="L109" s="725"/>
      <c r="M109" s="726"/>
      <c r="N109" s="697"/>
      <c r="O109" s="168"/>
      <c r="P109" s="176">
        <f t="shared" si="11"/>
        <v>1000</v>
      </c>
      <c r="Q109" s="176">
        <f t="shared" si="12"/>
        <v>96</v>
      </c>
      <c r="R109" s="704">
        <f t="shared" si="13"/>
        <v>9.6</v>
      </c>
    </row>
    <row r="110" spans="2:18" ht="15.75">
      <c r="B110" s="224">
        <f t="shared" si="14"/>
        <v>16</v>
      </c>
      <c r="C110" s="27">
        <v>4</v>
      </c>
      <c r="D110" s="160" t="s">
        <v>142</v>
      </c>
      <c r="E110" s="28"/>
      <c r="F110" s="28"/>
      <c r="G110" s="291"/>
      <c r="H110" s="233">
        <f>H111+H113</f>
        <v>334980</v>
      </c>
      <c r="I110" s="617">
        <f>I111+I113</f>
        <v>333835</v>
      </c>
      <c r="J110" s="684">
        <f t="shared" si="10"/>
        <v>99.65818854857005</v>
      </c>
      <c r="K110" s="96"/>
      <c r="L110" s="638">
        <v>0</v>
      </c>
      <c r="M110" s="644"/>
      <c r="N110" s="717"/>
      <c r="O110" s="96"/>
      <c r="P110" s="299">
        <f t="shared" si="11"/>
        <v>334980</v>
      </c>
      <c r="Q110" s="608">
        <f t="shared" si="12"/>
        <v>333835</v>
      </c>
      <c r="R110" s="696">
        <f t="shared" si="13"/>
        <v>99.65818854857005</v>
      </c>
    </row>
    <row r="111" spans="2:18" ht="12.75">
      <c r="B111" s="224">
        <f t="shared" si="14"/>
        <v>17</v>
      </c>
      <c r="C111" s="171"/>
      <c r="D111" s="171"/>
      <c r="E111" s="173" t="s">
        <v>277</v>
      </c>
      <c r="F111" s="173">
        <v>635</v>
      </c>
      <c r="G111" s="310" t="s">
        <v>335</v>
      </c>
      <c r="H111" s="206">
        <v>2000</v>
      </c>
      <c r="I111" s="206">
        <v>1668</v>
      </c>
      <c r="J111" s="697">
        <f t="shared" si="10"/>
        <v>83.39999999999999</v>
      </c>
      <c r="K111" s="168"/>
      <c r="L111" s="636"/>
      <c r="M111" s="172"/>
      <c r="N111" s="697"/>
      <c r="O111" s="168"/>
      <c r="P111" s="176">
        <f t="shared" si="11"/>
        <v>2000</v>
      </c>
      <c r="Q111" s="176">
        <f t="shared" si="12"/>
        <v>1668</v>
      </c>
      <c r="R111" s="704">
        <f t="shared" si="13"/>
        <v>83.39999999999999</v>
      </c>
    </row>
    <row r="112" spans="2:18" ht="12.75">
      <c r="B112" s="224">
        <f t="shared" si="14"/>
        <v>18</v>
      </c>
      <c r="C112" s="165"/>
      <c r="D112" s="165"/>
      <c r="E112" s="170"/>
      <c r="F112" s="170"/>
      <c r="G112" s="292"/>
      <c r="H112" s="206"/>
      <c r="I112" s="206"/>
      <c r="J112" s="697"/>
      <c r="K112" s="168"/>
      <c r="L112" s="636"/>
      <c r="M112" s="172"/>
      <c r="N112" s="697"/>
      <c r="O112" s="168"/>
      <c r="P112" s="176"/>
      <c r="Q112" s="176">
        <f aca="true" t="shared" si="15" ref="Q112:Q152">I112+M112</f>
        <v>0</v>
      </c>
      <c r="R112" s="704"/>
    </row>
    <row r="113" spans="2:18" ht="12.75">
      <c r="B113" s="224">
        <f t="shared" si="14"/>
        <v>19</v>
      </c>
      <c r="C113" s="165"/>
      <c r="D113" s="165"/>
      <c r="E113" s="477" t="s">
        <v>308</v>
      </c>
      <c r="F113" s="477"/>
      <c r="G113" s="478" t="s">
        <v>569</v>
      </c>
      <c r="H113" s="479">
        <f>H114+H115+H116+H124</f>
        <v>332980</v>
      </c>
      <c r="I113" s="479">
        <f>I114+I115+I116+I124</f>
        <v>332167</v>
      </c>
      <c r="J113" s="697">
        <f>I113/H113*100</f>
        <v>99.75584119166317</v>
      </c>
      <c r="K113" s="480"/>
      <c r="L113" s="727"/>
      <c r="M113" s="487"/>
      <c r="N113" s="697"/>
      <c r="O113" s="480"/>
      <c r="P113" s="491">
        <f aca="true" t="shared" si="16" ref="P113:P152">H113+L113</f>
        <v>332980</v>
      </c>
      <c r="Q113" s="491">
        <f t="shared" si="15"/>
        <v>332167</v>
      </c>
      <c r="R113" s="704">
        <f>Q113/P113*100</f>
        <v>99.75584119166317</v>
      </c>
    </row>
    <row r="114" spans="2:18" ht="12.75">
      <c r="B114" s="224">
        <f t="shared" si="14"/>
        <v>20</v>
      </c>
      <c r="C114" s="187"/>
      <c r="D114" s="187"/>
      <c r="E114" s="170"/>
      <c r="F114" s="196">
        <v>610</v>
      </c>
      <c r="G114" s="307" t="s">
        <v>307</v>
      </c>
      <c r="H114" s="207">
        <f>69500+2500+1200-600</f>
        <v>72600</v>
      </c>
      <c r="I114" s="207">
        <v>72562</v>
      </c>
      <c r="J114" s="697">
        <f>I114/H114*100</f>
        <v>99.94765840220386</v>
      </c>
      <c r="K114" s="191"/>
      <c r="L114" s="728"/>
      <c r="M114" s="190"/>
      <c r="N114" s="697"/>
      <c r="O114" s="191"/>
      <c r="P114" s="197">
        <f t="shared" si="16"/>
        <v>72600</v>
      </c>
      <c r="Q114" s="197">
        <f t="shared" si="15"/>
        <v>72562</v>
      </c>
      <c r="R114" s="704">
        <f>Q114/P114*100</f>
        <v>99.94765840220386</v>
      </c>
    </row>
    <row r="115" spans="2:18" ht="12.75">
      <c r="B115" s="224">
        <f t="shared" si="14"/>
        <v>21</v>
      </c>
      <c r="C115" s="165"/>
      <c r="D115" s="165"/>
      <c r="E115" s="170"/>
      <c r="F115" s="196">
        <v>620</v>
      </c>
      <c r="G115" s="307" t="s">
        <v>309</v>
      </c>
      <c r="H115" s="207">
        <f>25350+330+420-210</f>
        <v>25890</v>
      </c>
      <c r="I115" s="207">
        <v>25890</v>
      </c>
      <c r="J115" s="697">
        <f>I115/H115*100</f>
        <v>100</v>
      </c>
      <c r="K115" s="168"/>
      <c r="L115" s="636"/>
      <c r="M115" s="172"/>
      <c r="N115" s="697"/>
      <c r="O115" s="168"/>
      <c r="P115" s="197">
        <f t="shared" si="16"/>
        <v>25890</v>
      </c>
      <c r="Q115" s="197">
        <f t="shared" si="15"/>
        <v>25890</v>
      </c>
      <c r="R115" s="704">
        <f>Q115/P115*100</f>
        <v>100</v>
      </c>
    </row>
    <row r="116" spans="2:18" ht="12.75">
      <c r="B116" s="224">
        <f t="shared" si="14"/>
        <v>22</v>
      </c>
      <c r="C116" s="165"/>
      <c r="D116" s="165"/>
      <c r="E116" s="170"/>
      <c r="F116" s="196">
        <v>630</v>
      </c>
      <c r="G116" s="307" t="s">
        <v>297</v>
      </c>
      <c r="H116" s="207">
        <f>SUM(H118:H123)</f>
        <v>231200</v>
      </c>
      <c r="I116" s="207">
        <f>SUM(I117:I123)</f>
        <v>230436</v>
      </c>
      <c r="J116" s="697">
        <f>I116/H116*100</f>
        <v>99.66955017301038</v>
      </c>
      <c r="K116" s="168"/>
      <c r="L116" s="636"/>
      <c r="M116" s="172"/>
      <c r="N116" s="697"/>
      <c r="O116" s="168"/>
      <c r="P116" s="197">
        <f t="shared" si="16"/>
        <v>231200</v>
      </c>
      <c r="Q116" s="197">
        <f t="shared" si="15"/>
        <v>230436</v>
      </c>
      <c r="R116" s="704">
        <f>Q116/P116*100</f>
        <v>99.66955017301038</v>
      </c>
    </row>
    <row r="117" spans="2:18" ht="12.75">
      <c r="B117" s="224">
        <f t="shared" si="14"/>
        <v>23</v>
      </c>
      <c r="C117" s="165"/>
      <c r="D117" s="165"/>
      <c r="E117" s="170"/>
      <c r="F117" s="170">
        <v>631</v>
      </c>
      <c r="G117" s="292" t="s">
        <v>380</v>
      </c>
      <c r="H117" s="206"/>
      <c r="I117" s="206">
        <v>14</v>
      </c>
      <c r="J117" s="697"/>
      <c r="K117" s="168"/>
      <c r="L117" s="636"/>
      <c r="M117" s="172"/>
      <c r="N117" s="697"/>
      <c r="O117" s="168"/>
      <c r="P117" s="176">
        <f t="shared" si="16"/>
        <v>0</v>
      </c>
      <c r="Q117" s="176">
        <f t="shared" si="15"/>
        <v>14</v>
      </c>
      <c r="R117" s="704"/>
    </row>
    <row r="118" spans="2:18" ht="12.75">
      <c r="B118" s="224">
        <f t="shared" si="14"/>
        <v>24</v>
      </c>
      <c r="C118" s="165"/>
      <c r="D118" s="165"/>
      <c r="E118" s="170"/>
      <c r="F118" s="170">
        <v>632</v>
      </c>
      <c r="G118" s="292" t="s">
        <v>293</v>
      </c>
      <c r="H118" s="206">
        <v>143985</v>
      </c>
      <c r="I118" s="206">
        <v>143982</v>
      </c>
      <c r="J118" s="697">
        <f aca="true" t="shared" si="17" ref="J118:J135">I118/H118*100</f>
        <v>99.99791644963018</v>
      </c>
      <c r="K118" s="168"/>
      <c r="L118" s="636"/>
      <c r="M118" s="172"/>
      <c r="N118" s="697"/>
      <c r="O118" s="168"/>
      <c r="P118" s="176">
        <f t="shared" si="16"/>
        <v>143985</v>
      </c>
      <c r="Q118" s="176">
        <f t="shared" si="15"/>
        <v>143982</v>
      </c>
      <c r="R118" s="704">
        <f aca="true" t="shared" si="18" ref="R118:R152">Q118/P118*100</f>
        <v>99.99791644963018</v>
      </c>
    </row>
    <row r="119" spans="2:18" ht="12.75">
      <c r="B119" s="224">
        <f t="shared" si="14"/>
        <v>25</v>
      </c>
      <c r="C119" s="165"/>
      <c r="D119" s="165"/>
      <c r="E119" s="170"/>
      <c r="F119" s="170">
        <v>633</v>
      </c>
      <c r="G119" s="292" t="s">
        <v>294</v>
      </c>
      <c r="H119" s="206">
        <f>4800+1000-2000</f>
        <v>3800</v>
      </c>
      <c r="I119" s="206">
        <v>3715</v>
      </c>
      <c r="J119" s="697">
        <f t="shared" si="17"/>
        <v>97.76315789473684</v>
      </c>
      <c r="K119" s="168"/>
      <c r="L119" s="636"/>
      <c r="M119" s="172"/>
      <c r="N119" s="697"/>
      <c r="O119" s="168"/>
      <c r="P119" s="176">
        <f t="shared" si="16"/>
        <v>3800</v>
      </c>
      <c r="Q119" s="176">
        <f t="shared" si="15"/>
        <v>3715</v>
      </c>
      <c r="R119" s="704">
        <f t="shared" si="18"/>
        <v>97.76315789473684</v>
      </c>
    </row>
    <row r="120" spans="2:18" ht="12.75">
      <c r="B120" s="224">
        <f t="shared" si="14"/>
        <v>26</v>
      </c>
      <c r="C120" s="165"/>
      <c r="D120" s="165"/>
      <c r="E120" s="170"/>
      <c r="F120" s="170">
        <v>634</v>
      </c>
      <c r="G120" s="292" t="s">
        <v>310</v>
      </c>
      <c r="H120" s="206">
        <v>3650</v>
      </c>
      <c r="I120" s="206">
        <v>3646</v>
      </c>
      <c r="J120" s="697">
        <f t="shared" si="17"/>
        <v>99.89041095890411</v>
      </c>
      <c r="K120" s="168"/>
      <c r="L120" s="636"/>
      <c r="M120" s="172"/>
      <c r="N120" s="697"/>
      <c r="O120" s="168"/>
      <c r="P120" s="176">
        <f t="shared" si="16"/>
        <v>3650</v>
      </c>
      <c r="Q120" s="176">
        <f t="shared" si="15"/>
        <v>3646</v>
      </c>
      <c r="R120" s="704">
        <f t="shared" si="18"/>
        <v>99.89041095890411</v>
      </c>
    </row>
    <row r="121" spans="2:18" ht="12.75">
      <c r="B121" s="224">
        <f t="shared" si="14"/>
        <v>27</v>
      </c>
      <c r="C121" s="165"/>
      <c r="D121" s="165"/>
      <c r="E121" s="170"/>
      <c r="F121" s="170">
        <v>635</v>
      </c>
      <c r="G121" s="292" t="s">
        <v>311</v>
      </c>
      <c r="H121" s="206">
        <f>22200+2000+8000</f>
        <v>32200</v>
      </c>
      <c r="I121" s="206">
        <v>31847</v>
      </c>
      <c r="J121" s="697">
        <f t="shared" si="17"/>
        <v>98.90372670807453</v>
      </c>
      <c r="K121" s="168"/>
      <c r="L121" s="636"/>
      <c r="M121" s="172"/>
      <c r="N121" s="697"/>
      <c r="O121" s="168"/>
      <c r="P121" s="176">
        <f t="shared" si="16"/>
        <v>32200</v>
      </c>
      <c r="Q121" s="176">
        <f t="shared" si="15"/>
        <v>31847</v>
      </c>
      <c r="R121" s="704">
        <f t="shared" si="18"/>
        <v>98.90372670807453</v>
      </c>
    </row>
    <row r="122" spans="2:18" ht="12.75">
      <c r="B122" s="224">
        <f t="shared" si="14"/>
        <v>28</v>
      </c>
      <c r="C122" s="165"/>
      <c r="D122" s="165"/>
      <c r="E122" s="170"/>
      <c r="F122" s="170">
        <v>636</v>
      </c>
      <c r="G122" s="292" t="s">
        <v>312</v>
      </c>
      <c r="H122" s="206">
        <v>550</v>
      </c>
      <c r="I122" s="206">
        <v>504</v>
      </c>
      <c r="J122" s="697">
        <f t="shared" si="17"/>
        <v>91.63636363636364</v>
      </c>
      <c r="K122" s="168"/>
      <c r="L122" s="636"/>
      <c r="M122" s="172"/>
      <c r="N122" s="697"/>
      <c r="O122" s="168"/>
      <c r="P122" s="176">
        <f t="shared" si="16"/>
        <v>550</v>
      </c>
      <c r="Q122" s="176">
        <f t="shared" si="15"/>
        <v>504</v>
      </c>
      <c r="R122" s="704">
        <f t="shared" si="18"/>
        <v>91.63636363636364</v>
      </c>
    </row>
    <row r="123" spans="2:18" ht="12.75">
      <c r="B123" s="224">
        <f t="shared" si="14"/>
        <v>29</v>
      </c>
      <c r="C123" s="165"/>
      <c r="D123" s="165"/>
      <c r="E123" s="170"/>
      <c r="F123" s="170">
        <v>637</v>
      </c>
      <c r="G123" s="292" t="s">
        <v>295</v>
      </c>
      <c r="H123" s="206">
        <f>50515+2500-6000</f>
        <v>47015</v>
      </c>
      <c r="I123" s="206">
        <v>46728</v>
      </c>
      <c r="J123" s="697">
        <f t="shared" si="17"/>
        <v>99.38955652451345</v>
      </c>
      <c r="K123" s="168"/>
      <c r="L123" s="636"/>
      <c r="M123" s="172"/>
      <c r="N123" s="697"/>
      <c r="O123" s="168"/>
      <c r="P123" s="176">
        <f t="shared" si="16"/>
        <v>47015</v>
      </c>
      <c r="Q123" s="176">
        <f t="shared" si="15"/>
        <v>46728</v>
      </c>
      <c r="R123" s="704">
        <f t="shared" si="18"/>
        <v>99.38955652451345</v>
      </c>
    </row>
    <row r="124" spans="2:18" ht="12.75">
      <c r="B124" s="224">
        <f t="shared" si="14"/>
        <v>30</v>
      </c>
      <c r="C124" s="165"/>
      <c r="D124" s="209"/>
      <c r="E124" s="173"/>
      <c r="F124" s="196">
        <v>640</v>
      </c>
      <c r="G124" s="307" t="s">
        <v>320</v>
      </c>
      <c r="H124" s="207">
        <f>850+2320+120</f>
        <v>3290</v>
      </c>
      <c r="I124" s="207">
        <v>3279</v>
      </c>
      <c r="J124" s="697">
        <f t="shared" si="17"/>
        <v>99.66565349544074</v>
      </c>
      <c r="K124" s="168"/>
      <c r="L124" s="636"/>
      <c r="M124" s="172"/>
      <c r="N124" s="697"/>
      <c r="O124" s="168"/>
      <c r="P124" s="197">
        <f t="shared" si="16"/>
        <v>3290</v>
      </c>
      <c r="Q124" s="197">
        <f t="shared" si="15"/>
        <v>3279</v>
      </c>
      <c r="R124" s="704">
        <f t="shared" si="18"/>
        <v>99.66565349544074</v>
      </c>
    </row>
    <row r="125" spans="2:18" ht="15.75">
      <c r="B125" s="224">
        <f t="shared" si="14"/>
        <v>31</v>
      </c>
      <c r="C125" s="27">
        <v>5</v>
      </c>
      <c r="D125" s="160" t="s">
        <v>245</v>
      </c>
      <c r="E125" s="28"/>
      <c r="F125" s="28"/>
      <c r="G125" s="291"/>
      <c r="H125" s="233">
        <f>H126+H127+H128+H129+H134+H135</f>
        <v>3243954</v>
      </c>
      <c r="I125" s="617">
        <f>I126+I127+I128+I129+I134+I135</f>
        <v>2780708</v>
      </c>
      <c r="J125" s="684">
        <f t="shared" si="17"/>
        <v>85.71971119195895</v>
      </c>
      <c r="K125" s="96"/>
      <c r="L125" s="638">
        <f>SUM(L126:L136)</f>
        <v>7508</v>
      </c>
      <c r="M125" s="644">
        <f>M136</f>
        <v>7508</v>
      </c>
      <c r="N125" s="717">
        <f>M125/L125*100</f>
        <v>100</v>
      </c>
      <c r="O125" s="96"/>
      <c r="P125" s="299">
        <f t="shared" si="16"/>
        <v>3251462</v>
      </c>
      <c r="Q125" s="608">
        <f t="shared" si="15"/>
        <v>2788216</v>
      </c>
      <c r="R125" s="696">
        <f t="shared" si="18"/>
        <v>85.75268602247236</v>
      </c>
    </row>
    <row r="126" spans="2:18" ht="12.75">
      <c r="B126" s="224">
        <f t="shared" si="14"/>
        <v>32</v>
      </c>
      <c r="C126" s="171"/>
      <c r="D126" s="171"/>
      <c r="E126" s="170" t="s">
        <v>277</v>
      </c>
      <c r="F126" s="196">
        <v>610</v>
      </c>
      <c r="G126" s="307" t="s">
        <v>307</v>
      </c>
      <c r="H126" s="207">
        <v>1521000</v>
      </c>
      <c r="I126" s="207">
        <v>1333148</v>
      </c>
      <c r="J126" s="697">
        <f t="shared" si="17"/>
        <v>87.64944115713347</v>
      </c>
      <c r="K126" s="168"/>
      <c r="L126" s="636"/>
      <c r="M126" s="172"/>
      <c r="N126" s="697"/>
      <c r="O126" s="168"/>
      <c r="P126" s="197">
        <f t="shared" si="16"/>
        <v>1521000</v>
      </c>
      <c r="Q126" s="197">
        <f t="shared" si="15"/>
        <v>1333148</v>
      </c>
      <c r="R126" s="704">
        <f t="shared" si="18"/>
        <v>87.64944115713347</v>
      </c>
    </row>
    <row r="127" spans="2:18" ht="12.75">
      <c r="B127" s="224">
        <f aca="true" t="shared" si="19" ref="B127:B144">B126+1</f>
        <v>33</v>
      </c>
      <c r="C127" s="165"/>
      <c r="D127" s="165"/>
      <c r="E127" s="170" t="s">
        <v>277</v>
      </c>
      <c r="F127" s="196">
        <v>620</v>
      </c>
      <c r="G127" s="307" t="s">
        <v>309</v>
      </c>
      <c r="H127" s="207">
        <f>593000-2000-4300</f>
        <v>586700</v>
      </c>
      <c r="I127" s="207">
        <v>474632</v>
      </c>
      <c r="J127" s="697">
        <f t="shared" si="17"/>
        <v>80.89858530765297</v>
      </c>
      <c r="K127" s="168"/>
      <c r="L127" s="636"/>
      <c r="M127" s="172"/>
      <c r="N127" s="697"/>
      <c r="O127" s="168"/>
      <c r="P127" s="197">
        <f t="shared" si="16"/>
        <v>586700</v>
      </c>
      <c r="Q127" s="197">
        <f t="shared" si="15"/>
        <v>474632</v>
      </c>
      <c r="R127" s="704">
        <f t="shared" si="18"/>
        <v>80.89858530765297</v>
      </c>
    </row>
    <row r="128" spans="2:18" ht="12.75">
      <c r="B128" s="224">
        <f t="shared" si="19"/>
        <v>34</v>
      </c>
      <c r="C128" s="165"/>
      <c r="D128" s="165"/>
      <c r="E128" s="170" t="s">
        <v>277</v>
      </c>
      <c r="F128" s="202">
        <v>640</v>
      </c>
      <c r="G128" s="307" t="s">
        <v>375</v>
      </c>
      <c r="H128" s="207">
        <f>64000-9330</f>
        <v>54670</v>
      </c>
      <c r="I128" s="207">
        <v>9316</v>
      </c>
      <c r="J128" s="697">
        <f t="shared" si="17"/>
        <v>17.040424364368025</v>
      </c>
      <c r="K128" s="168"/>
      <c r="L128" s="636"/>
      <c r="M128" s="172"/>
      <c r="N128" s="697"/>
      <c r="O128" s="168"/>
      <c r="P128" s="197">
        <f t="shared" si="16"/>
        <v>54670</v>
      </c>
      <c r="Q128" s="197">
        <f t="shared" si="15"/>
        <v>9316</v>
      </c>
      <c r="R128" s="704">
        <f t="shared" si="18"/>
        <v>17.040424364368025</v>
      </c>
    </row>
    <row r="129" spans="2:18" ht="12.75">
      <c r="B129" s="224">
        <f t="shared" si="19"/>
        <v>35</v>
      </c>
      <c r="C129" s="165"/>
      <c r="D129" s="165"/>
      <c r="E129" s="170" t="s">
        <v>277</v>
      </c>
      <c r="F129" s="196">
        <v>630</v>
      </c>
      <c r="G129" s="307" t="s">
        <v>276</v>
      </c>
      <c r="H129" s="207">
        <f>SUM(H130:H133)</f>
        <v>515655</v>
      </c>
      <c r="I129" s="207">
        <f>I130+I131+I132+I133</f>
        <v>489820</v>
      </c>
      <c r="J129" s="697">
        <f t="shared" si="17"/>
        <v>94.98986725620813</v>
      </c>
      <c r="K129" s="168"/>
      <c r="L129" s="636"/>
      <c r="M129" s="172"/>
      <c r="N129" s="697"/>
      <c r="O129" s="168"/>
      <c r="P129" s="197">
        <f t="shared" si="16"/>
        <v>515655</v>
      </c>
      <c r="Q129" s="197">
        <f t="shared" si="15"/>
        <v>489820</v>
      </c>
      <c r="R129" s="704">
        <f t="shared" si="18"/>
        <v>94.98986725620813</v>
      </c>
    </row>
    <row r="130" spans="2:18" ht="12.75">
      <c r="B130" s="224">
        <f t="shared" si="19"/>
        <v>36</v>
      </c>
      <c r="C130" s="165"/>
      <c r="D130" s="165"/>
      <c r="E130" s="999"/>
      <c r="F130" s="999">
        <v>632</v>
      </c>
      <c r="G130" s="1000" t="s">
        <v>293</v>
      </c>
      <c r="H130" s="840">
        <f>40000+80000+4000+25000+54000+1000-20000+20000+10000+1000</f>
        <v>215000</v>
      </c>
      <c r="I130" s="840">
        <v>214590</v>
      </c>
      <c r="J130" s="697">
        <f t="shared" si="17"/>
        <v>99.8093023255814</v>
      </c>
      <c r="K130" s="168"/>
      <c r="L130" s="636"/>
      <c r="M130" s="172"/>
      <c r="N130" s="697"/>
      <c r="O130" s="168"/>
      <c r="P130" s="176">
        <f t="shared" si="16"/>
        <v>215000</v>
      </c>
      <c r="Q130" s="176">
        <f t="shared" si="15"/>
        <v>214590</v>
      </c>
      <c r="R130" s="704">
        <f t="shared" si="18"/>
        <v>99.8093023255814</v>
      </c>
    </row>
    <row r="131" spans="2:18" ht="12.75">
      <c r="B131" s="224">
        <f t="shared" si="19"/>
        <v>37</v>
      </c>
      <c r="C131" s="165"/>
      <c r="D131" s="165"/>
      <c r="E131" s="999"/>
      <c r="F131" s="999">
        <v>633</v>
      </c>
      <c r="G131" s="1000" t="s">
        <v>294</v>
      </c>
      <c r="H131" s="840">
        <f>25000+1000+1300+2200</f>
        <v>29500</v>
      </c>
      <c r="I131" s="840">
        <v>28600</v>
      </c>
      <c r="J131" s="697">
        <f t="shared" si="17"/>
        <v>96.94915254237289</v>
      </c>
      <c r="K131" s="168"/>
      <c r="L131" s="636"/>
      <c r="M131" s="172"/>
      <c r="N131" s="697"/>
      <c r="O131" s="168"/>
      <c r="P131" s="176">
        <f t="shared" si="16"/>
        <v>29500</v>
      </c>
      <c r="Q131" s="176">
        <f t="shared" si="15"/>
        <v>28600</v>
      </c>
      <c r="R131" s="704">
        <f t="shared" si="18"/>
        <v>96.94915254237289</v>
      </c>
    </row>
    <row r="132" spans="2:18" ht="12.75">
      <c r="B132" s="224">
        <f t="shared" si="19"/>
        <v>38</v>
      </c>
      <c r="C132" s="165"/>
      <c r="D132" s="165"/>
      <c r="E132" s="999"/>
      <c r="F132" s="999">
        <v>635</v>
      </c>
      <c r="G132" s="1000" t="s">
        <v>311</v>
      </c>
      <c r="H132" s="840">
        <f>15200+20000+17463-10000-4000</f>
        <v>38663</v>
      </c>
      <c r="I132" s="840">
        <v>30949</v>
      </c>
      <c r="J132" s="697">
        <f t="shared" si="17"/>
        <v>80.04810801024234</v>
      </c>
      <c r="K132" s="168"/>
      <c r="L132" s="636"/>
      <c r="M132" s="172"/>
      <c r="N132" s="697"/>
      <c r="O132" s="168"/>
      <c r="P132" s="176">
        <f t="shared" si="16"/>
        <v>38663</v>
      </c>
      <c r="Q132" s="176">
        <f t="shared" si="15"/>
        <v>30949</v>
      </c>
      <c r="R132" s="704">
        <f t="shared" si="18"/>
        <v>80.04810801024234</v>
      </c>
    </row>
    <row r="133" spans="2:18" ht="12.75">
      <c r="B133" s="224">
        <f t="shared" si="19"/>
        <v>39</v>
      </c>
      <c r="C133" s="165"/>
      <c r="D133" s="165"/>
      <c r="E133" s="999"/>
      <c r="F133" s="999">
        <v>637</v>
      </c>
      <c r="G133" s="1000" t="s">
        <v>295</v>
      </c>
      <c r="H133" s="840">
        <f>40000+25000+5000+11000+65000+94000-7508</f>
        <v>232492</v>
      </c>
      <c r="I133" s="840">
        <v>215681</v>
      </c>
      <c r="J133" s="697">
        <f t="shared" si="17"/>
        <v>92.76921356433769</v>
      </c>
      <c r="K133" s="168"/>
      <c r="L133" s="636"/>
      <c r="M133" s="172"/>
      <c r="N133" s="697"/>
      <c r="O133" s="168"/>
      <c r="P133" s="176">
        <f t="shared" si="16"/>
        <v>232492</v>
      </c>
      <c r="Q133" s="176">
        <f t="shared" si="15"/>
        <v>215681</v>
      </c>
      <c r="R133" s="704">
        <f t="shared" si="18"/>
        <v>92.76921356433769</v>
      </c>
    </row>
    <row r="134" spans="2:18" ht="12.75">
      <c r="B134" s="224">
        <f t="shared" si="19"/>
        <v>40</v>
      </c>
      <c r="C134" s="165"/>
      <c r="D134" s="165"/>
      <c r="E134" s="170" t="s">
        <v>756</v>
      </c>
      <c r="F134" s="196">
        <v>650</v>
      </c>
      <c r="G134" s="307" t="s">
        <v>357</v>
      </c>
      <c r="H134" s="207">
        <v>550929</v>
      </c>
      <c r="I134" s="207">
        <v>461129</v>
      </c>
      <c r="J134" s="697">
        <f t="shared" si="17"/>
        <v>83.70025901704213</v>
      </c>
      <c r="K134" s="168"/>
      <c r="L134" s="636"/>
      <c r="M134" s="172"/>
      <c r="N134" s="697"/>
      <c r="O134" s="168"/>
      <c r="P134" s="197">
        <f t="shared" si="16"/>
        <v>550929</v>
      </c>
      <c r="Q134" s="197">
        <f t="shared" si="15"/>
        <v>461129</v>
      </c>
      <c r="R134" s="704">
        <f t="shared" si="18"/>
        <v>83.70025901704213</v>
      </c>
    </row>
    <row r="135" spans="2:18" ht="12.75">
      <c r="B135" s="224">
        <f t="shared" si="19"/>
        <v>41</v>
      </c>
      <c r="C135" s="165"/>
      <c r="D135" s="209"/>
      <c r="E135" s="173" t="s">
        <v>345</v>
      </c>
      <c r="F135" s="320">
        <v>637</v>
      </c>
      <c r="G135" s="307" t="s">
        <v>757</v>
      </c>
      <c r="H135" s="207">
        <v>15000</v>
      </c>
      <c r="I135" s="207">
        <v>12663</v>
      </c>
      <c r="J135" s="697">
        <f t="shared" si="17"/>
        <v>84.42</v>
      </c>
      <c r="K135" s="168"/>
      <c r="L135" s="637"/>
      <c r="M135" s="167"/>
      <c r="N135" s="720"/>
      <c r="O135" s="168"/>
      <c r="P135" s="197">
        <f t="shared" si="16"/>
        <v>15000</v>
      </c>
      <c r="Q135" s="197">
        <f t="shared" si="15"/>
        <v>12663</v>
      </c>
      <c r="R135" s="704">
        <f t="shared" si="18"/>
        <v>84.42</v>
      </c>
    </row>
    <row r="136" spans="2:18" ht="12.75">
      <c r="B136" s="224">
        <f t="shared" si="19"/>
        <v>42</v>
      </c>
      <c r="C136" s="165"/>
      <c r="D136" s="209"/>
      <c r="E136" s="170" t="s">
        <v>277</v>
      </c>
      <c r="F136" s="196">
        <v>719</v>
      </c>
      <c r="G136" s="307" t="s">
        <v>758</v>
      </c>
      <c r="H136" s="207"/>
      <c r="I136" s="207"/>
      <c r="J136" s="697"/>
      <c r="K136" s="168"/>
      <c r="L136" s="637">
        <v>7508</v>
      </c>
      <c r="M136" s="167">
        <v>7508</v>
      </c>
      <c r="N136" s="720">
        <f>M136/L136*100</f>
        <v>100</v>
      </c>
      <c r="O136" s="168"/>
      <c r="P136" s="197">
        <f t="shared" si="16"/>
        <v>7508</v>
      </c>
      <c r="Q136" s="197">
        <f t="shared" si="15"/>
        <v>7508</v>
      </c>
      <c r="R136" s="704">
        <f t="shared" si="18"/>
        <v>100</v>
      </c>
    </row>
    <row r="137" spans="2:18" ht="15.75">
      <c r="B137" s="224">
        <f t="shared" si="19"/>
        <v>43</v>
      </c>
      <c r="C137" s="27">
        <v>6</v>
      </c>
      <c r="D137" s="160" t="s">
        <v>279</v>
      </c>
      <c r="E137" s="28"/>
      <c r="F137" s="28"/>
      <c r="G137" s="291"/>
      <c r="H137" s="233">
        <f>H138+H139</f>
        <v>8000</v>
      </c>
      <c r="I137" s="617">
        <f>SUM(I138:I139)</f>
        <v>6784</v>
      </c>
      <c r="J137" s="684">
        <f aca="true" t="shared" si="20" ref="J137:J143">I137/H137*100</f>
        <v>84.8</v>
      </c>
      <c r="K137" s="96"/>
      <c r="L137" s="638">
        <v>0</v>
      </c>
      <c r="M137" s="644"/>
      <c r="N137" s="717"/>
      <c r="O137" s="96"/>
      <c r="P137" s="299">
        <f t="shared" si="16"/>
        <v>8000</v>
      </c>
      <c r="Q137" s="608">
        <f t="shared" si="15"/>
        <v>6784</v>
      </c>
      <c r="R137" s="696">
        <f t="shared" si="18"/>
        <v>84.8</v>
      </c>
    </row>
    <row r="138" spans="2:18" ht="12.75">
      <c r="B138" s="224">
        <f t="shared" si="19"/>
        <v>44</v>
      </c>
      <c r="C138" s="171"/>
      <c r="D138" s="171"/>
      <c r="E138" s="173" t="s">
        <v>277</v>
      </c>
      <c r="F138" s="173">
        <v>631</v>
      </c>
      <c r="G138" s="310" t="s">
        <v>621</v>
      </c>
      <c r="H138" s="206">
        <f>1500+1000</f>
        <v>2500</v>
      </c>
      <c r="I138" s="206">
        <v>2088</v>
      </c>
      <c r="J138" s="697">
        <f t="shared" si="20"/>
        <v>83.52000000000001</v>
      </c>
      <c r="K138" s="168"/>
      <c r="L138" s="636"/>
      <c r="M138" s="172"/>
      <c r="N138" s="697"/>
      <c r="O138" s="168"/>
      <c r="P138" s="176">
        <f t="shared" si="16"/>
        <v>2500</v>
      </c>
      <c r="Q138" s="176">
        <f t="shared" si="15"/>
        <v>2088</v>
      </c>
      <c r="R138" s="704">
        <f t="shared" si="18"/>
        <v>83.52000000000001</v>
      </c>
    </row>
    <row r="139" spans="2:18" ht="12.75">
      <c r="B139" s="224">
        <f t="shared" si="19"/>
        <v>45</v>
      </c>
      <c r="C139" s="165"/>
      <c r="D139" s="165"/>
      <c r="E139" s="173" t="s">
        <v>530</v>
      </c>
      <c r="F139" s="170">
        <v>637</v>
      </c>
      <c r="G139" s="292" t="s">
        <v>622</v>
      </c>
      <c r="H139" s="206">
        <f>3500+2000</f>
        <v>5500</v>
      </c>
      <c r="I139" s="206">
        <v>4696</v>
      </c>
      <c r="J139" s="697">
        <f t="shared" si="20"/>
        <v>85.38181818181818</v>
      </c>
      <c r="K139" s="195"/>
      <c r="L139" s="636"/>
      <c r="M139" s="172"/>
      <c r="N139" s="697"/>
      <c r="O139" s="195"/>
      <c r="P139" s="176">
        <f t="shared" si="16"/>
        <v>5500</v>
      </c>
      <c r="Q139" s="176">
        <f t="shared" si="15"/>
        <v>4696</v>
      </c>
      <c r="R139" s="704">
        <f t="shared" si="18"/>
        <v>85.38181818181818</v>
      </c>
    </row>
    <row r="140" spans="2:18" ht="15.75">
      <c r="B140" s="224">
        <f t="shared" si="19"/>
        <v>46</v>
      </c>
      <c r="C140" s="27">
        <v>7</v>
      </c>
      <c r="D140" s="160" t="s">
        <v>143</v>
      </c>
      <c r="E140" s="28"/>
      <c r="F140" s="28"/>
      <c r="G140" s="291"/>
      <c r="H140" s="555">
        <f>SUM(H141:H144)</f>
        <v>82400</v>
      </c>
      <c r="I140" s="663">
        <f>SUM(I141:I143)</f>
        <v>59931</v>
      </c>
      <c r="J140" s="717">
        <f t="shared" si="20"/>
        <v>72.73179611650485</v>
      </c>
      <c r="K140" s="96"/>
      <c r="L140" s="638">
        <f>SUM(L141:L146)</f>
        <v>34000</v>
      </c>
      <c r="M140" s="644">
        <f>SUM(M144:M146)</f>
        <v>33732</v>
      </c>
      <c r="N140" s="717">
        <f>M140/L140*100</f>
        <v>99.21176470588236</v>
      </c>
      <c r="O140" s="96"/>
      <c r="P140" s="299">
        <f t="shared" si="16"/>
        <v>116400</v>
      </c>
      <c r="Q140" s="608">
        <f t="shared" si="15"/>
        <v>93663</v>
      </c>
      <c r="R140" s="696">
        <f t="shared" si="18"/>
        <v>80.46649484536083</v>
      </c>
    </row>
    <row r="141" spans="2:18" ht="12.75">
      <c r="B141" s="224">
        <f t="shared" si="19"/>
        <v>47</v>
      </c>
      <c r="C141" s="165"/>
      <c r="D141" s="165"/>
      <c r="E141" s="170" t="s">
        <v>277</v>
      </c>
      <c r="F141" s="170">
        <v>632</v>
      </c>
      <c r="G141" s="292" t="s">
        <v>623</v>
      </c>
      <c r="H141" s="206">
        <v>6500</v>
      </c>
      <c r="I141" s="206">
        <v>5303</v>
      </c>
      <c r="J141" s="697">
        <f t="shared" si="20"/>
        <v>81.58461538461539</v>
      </c>
      <c r="K141" s="168"/>
      <c r="L141" s="636"/>
      <c r="M141" s="172"/>
      <c r="N141" s="697"/>
      <c r="O141" s="168"/>
      <c r="P141" s="176">
        <f t="shared" si="16"/>
        <v>6500</v>
      </c>
      <c r="Q141" s="176">
        <f t="shared" si="15"/>
        <v>5303</v>
      </c>
      <c r="R141" s="704">
        <f t="shared" si="18"/>
        <v>81.58461538461539</v>
      </c>
    </row>
    <row r="142" spans="2:18" ht="12.75">
      <c r="B142" s="224">
        <f t="shared" si="19"/>
        <v>48</v>
      </c>
      <c r="C142" s="165"/>
      <c r="D142" s="165"/>
      <c r="E142" s="170" t="s">
        <v>277</v>
      </c>
      <c r="F142" s="170">
        <v>633</v>
      </c>
      <c r="G142" s="292" t="s">
        <v>624</v>
      </c>
      <c r="H142" s="206">
        <v>10000</v>
      </c>
      <c r="I142" s="206">
        <v>5656</v>
      </c>
      <c r="J142" s="697">
        <f t="shared" si="20"/>
        <v>56.56</v>
      </c>
      <c r="K142" s="168"/>
      <c r="L142" s="636"/>
      <c r="M142" s="172"/>
      <c r="N142" s="697"/>
      <c r="O142" s="168"/>
      <c r="P142" s="176">
        <f t="shared" si="16"/>
        <v>10000</v>
      </c>
      <c r="Q142" s="176">
        <f t="shared" si="15"/>
        <v>5656</v>
      </c>
      <c r="R142" s="704">
        <f t="shared" si="18"/>
        <v>56.56</v>
      </c>
    </row>
    <row r="143" spans="2:18" ht="12.75">
      <c r="B143" s="224">
        <f t="shared" si="19"/>
        <v>49</v>
      </c>
      <c r="C143" s="165"/>
      <c r="D143" s="165"/>
      <c r="E143" s="170" t="s">
        <v>277</v>
      </c>
      <c r="F143" s="170">
        <v>635</v>
      </c>
      <c r="G143" s="292" t="s">
        <v>625</v>
      </c>
      <c r="H143" s="206">
        <f>81900-16000</f>
        <v>65900</v>
      </c>
      <c r="I143" s="206">
        <v>48972</v>
      </c>
      <c r="J143" s="697">
        <f t="shared" si="20"/>
        <v>74.31259484066769</v>
      </c>
      <c r="K143" s="168"/>
      <c r="L143" s="636"/>
      <c r="M143" s="172"/>
      <c r="N143" s="697"/>
      <c r="O143" s="168"/>
      <c r="P143" s="176">
        <f t="shared" si="16"/>
        <v>65900</v>
      </c>
      <c r="Q143" s="176">
        <f t="shared" si="15"/>
        <v>48972</v>
      </c>
      <c r="R143" s="704">
        <f t="shared" si="18"/>
        <v>74.31259484066769</v>
      </c>
    </row>
    <row r="144" spans="2:18" ht="12.75">
      <c r="B144" s="224">
        <f t="shared" si="19"/>
        <v>50</v>
      </c>
      <c r="C144" s="165"/>
      <c r="D144" s="165"/>
      <c r="E144" s="170" t="s">
        <v>277</v>
      </c>
      <c r="F144" s="170">
        <v>711</v>
      </c>
      <c r="G144" s="292" t="s">
        <v>626</v>
      </c>
      <c r="H144" s="206"/>
      <c r="I144" s="206"/>
      <c r="J144" s="697"/>
      <c r="K144" s="168"/>
      <c r="L144" s="636">
        <f>34000-15200-5700</f>
        <v>13100</v>
      </c>
      <c r="M144" s="172">
        <v>12846</v>
      </c>
      <c r="N144" s="697">
        <f>M144/L144*100</f>
        <v>98.06106870229007</v>
      </c>
      <c r="O144" s="168"/>
      <c r="P144" s="176">
        <f t="shared" si="16"/>
        <v>13100</v>
      </c>
      <c r="Q144" s="176">
        <f t="shared" si="15"/>
        <v>12846</v>
      </c>
      <c r="R144" s="704">
        <f t="shared" si="18"/>
        <v>98.06106870229007</v>
      </c>
    </row>
    <row r="145" spans="2:18" ht="12.75">
      <c r="B145" s="224">
        <f aca="true" t="shared" si="21" ref="B145:B152">B144+1</f>
        <v>51</v>
      </c>
      <c r="C145" s="165"/>
      <c r="D145" s="209"/>
      <c r="E145" s="170" t="s">
        <v>277</v>
      </c>
      <c r="F145" s="173">
        <v>713</v>
      </c>
      <c r="G145" s="292" t="s">
        <v>697</v>
      </c>
      <c r="H145" s="206"/>
      <c r="I145" s="206"/>
      <c r="J145" s="697"/>
      <c r="K145" s="168"/>
      <c r="L145" s="637">
        <v>2200</v>
      </c>
      <c r="M145" s="167">
        <v>2186</v>
      </c>
      <c r="N145" s="720">
        <f>M145/L145*100</f>
        <v>99.36363636363636</v>
      </c>
      <c r="O145" s="168"/>
      <c r="P145" s="176">
        <f t="shared" si="16"/>
        <v>2200</v>
      </c>
      <c r="Q145" s="176">
        <f t="shared" si="15"/>
        <v>2186</v>
      </c>
      <c r="R145" s="704">
        <f t="shared" si="18"/>
        <v>99.36363636363636</v>
      </c>
    </row>
    <row r="146" spans="2:18" ht="12.75">
      <c r="B146" s="224">
        <f t="shared" si="21"/>
        <v>52</v>
      </c>
      <c r="C146" s="165"/>
      <c r="D146" s="209"/>
      <c r="E146" s="170" t="s">
        <v>277</v>
      </c>
      <c r="F146" s="170">
        <v>713</v>
      </c>
      <c r="G146" s="292" t="s">
        <v>698</v>
      </c>
      <c r="H146" s="206"/>
      <c r="I146" s="206"/>
      <c r="J146" s="697"/>
      <c r="K146" s="168"/>
      <c r="L146" s="637">
        <f>13000+5700</f>
        <v>18700</v>
      </c>
      <c r="M146" s="167">
        <v>18700</v>
      </c>
      <c r="N146" s="720">
        <f>M146/L146*100</f>
        <v>100</v>
      </c>
      <c r="O146" s="168"/>
      <c r="P146" s="176">
        <f t="shared" si="16"/>
        <v>18700</v>
      </c>
      <c r="Q146" s="176">
        <f t="shared" si="15"/>
        <v>18700</v>
      </c>
      <c r="R146" s="704">
        <f t="shared" si="18"/>
        <v>100</v>
      </c>
    </row>
    <row r="147" spans="2:18" ht="15.75">
      <c r="B147" s="224">
        <f t="shared" si="21"/>
        <v>53</v>
      </c>
      <c r="C147" s="27">
        <v>8</v>
      </c>
      <c r="D147" s="160" t="s">
        <v>144</v>
      </c>
      <c r="E147" s="28"/>
      <c r="F147" s="28"/>
      <c r="G147" s="291"/>
      <c r="H147" s="233">
        <f>SUM(H148:H149)</f>
        <v>28070</v>
      </c>
      <c r="I147" s="617">
        <f>SUM(I148:I149)</f>
        <v>27735</v>
      </c>
      <c r="J147" s="684">
        <f aca="true" t="shared" si="22" ref="J147:J152">I147/H147*100</f>
        <v>98.806555040969</v>
      </c>
      <c r="K147" s="96"/>
      <c r="L147" s="638">
        <v>0</v>
      </c>
      <c r="M147" s="644"/>
      <c r="N147" s="717"/>
      <c r="O147" s="96"/>
      <c r="P147" s="299">
        <f t="shared" si="16"/>
        <v>28070</v>
      </c>
      <c r="Q147" s="608">
        <f t="shared" si="15"/>
        <v>27735</v>
      </c>
      <c r="R147" s="696">
        <f t="shared" si="18"/>
        <v>98.806555040969</v>
      </c>
    </row>
    <row r="148" spans="2:18" ht="12.75">
      <c r="B148" s="224">
        <f t="shared" si="21"/>
        <v>54</v>
      </c>
      <c r="C148" s="165"/>
      <c r="D148" s="165"/>
      <c r="E148" s="170" t="s">
        <v>277</v>
      </c>
      <c r="F148" s="170">
        <v>634</v>
      </c>
      <c r="G148" s="292" t="s">
        <v>633</v>
      </c>
      <c r="H148" s="206">
        <f>25000-455+3000</f>
        <v>27545</v>
      </c>
      <c r="I148" s="206">
        <v>27397</v>
      </c>
      <c r="J148" s="697">
        <f t="shared" si="22"/>
        <v>99.46269740424759</v>
      </c>
      <c r="K148" s="168"/>
      <c r="L148" s="636"/>
      <c r="M148" s="172"/>
      <c r="N148" s="697"/>
      <c r="O148" s="168"/>
      <c r="P148" s="176">
        <f t="shared" si="16"/>
        <v>27545</v>
      </c>
      <c r="Q148" s="176">
        <f t="shared" si="15"/>
        <v>27397</v>
      </c>
      <c r="R148" s="704">
        <f t="shared" si="18"/>
        <v>99.46269740424759</v>
      </c>
    </row>
    <row r="149" spans="2:18" ht="12.75">
      <c r="B149" s="224">
        <f t="shared" si="21"/>
        <v>55</v>
      </c>
      <c r="C149" s="165"/>
      <c r="D149" s="209"/>
      <c r="E149" s="170" t="s">
        <v>277</v>
      </c>
      <c r="F149" s="173">
        <v>637</v>
      </c>
      <c r="G149" s="292" t="s">
        <v>377</v>
      </c>
      <c r="H149" s="206">
        <f>455+70</f>
        <v>525</v>
      </c>
      <c r="I149" s="206">
        <v>338</v>
      </c>
      <c r="J149" s="697">
        <f t="shared" si="22"/>
        <v>64.38095238095238</v>
      </c>
      <c r="K149" s="168"/>
      <c r="L149" s="637"/>
      <c r="M149" s="167"/>
      <c r="N149" s="720"/>
      <c r="O149" s="168"/>
      <c r="P149" s="210">
        <f t="shared" si="16"/>
        <v>525</v>
      </c>
      <c r="Q149" s="210">
        <f t="shared" si="15"/>
        <v>338</v>
      </c>
      <c r="R149" s="729">
        <f t="shared" si="18"/>
        <v>64.38095238095238</v>
      </c>
    </row>
    <row r="150" spans="2:18" ht="15.75">
      <c r="B150" s="224">
        <f t="shared" si="21"/>
        <v>56</v>
      </c>
      <c r="C150" s="27">
        <v>9</v>
      </c>
      <c r="D150" s="160" t="s">
        <v>145</v>
      </c>
      <c r="E150" s="28"/>
      <c r="F150" s="28"/>
      <c r="G150" s="291"/>
      <c r="H150" s="233">
        <f>H151+H152</f>
        <v>8400</v>
      </c>
      <c r="I150" s="617">
        <f>I151+I152</f>
        <v>5152</v>
      </c>
      <c r="J150" s="684">
        <f t="shared" si="22"/>
        <v>61.33333333333333</v>
      </c>
      <c r="K150" s="96"/>
      <c r="L150" s="638">
        <v>0</v>
      </c>
      <c r="M150" s="644"/>
      <c r="N150" s="717"/>
      <c r="O150" s="96"/>
      <c r="P150" s="299">
        <f t="shared" si="16"/>
        <v>8400</v>
      </c>
      <c r="Q150" s="608">
        <f t="shared" si="15"/>
        <v>5152</v>
      </c>
      <c r="R150" s="696">
        <f t="shared" si="18"/>
        <v>61.33333333333333</v>
      </c>
    </row>
    <row r="151" spans="2:18" ht="12.75">
      <c r="B151" s="458">
        <f t="shared" si="21"/>
        <v>57</v>
      </c>
      <c r="C151" s="245"/>
      <c r="D151" s="245"/>
      <c r="E151" s="246" t="s">
        <v>277</v>
      </c>
      <c r="F151" s="246">
        <v>633</v>
      </c>
      <c r="G151" s="344" t="s">
        <v>294</v>
      </c>
      <c r="H151" s="247">
        <v>1000</v>
      </c>
      <c r="I151" s="247">
        <v>972</v>
      </c>
      <c r="J151" s="716">
        <f t="shared" si="22"/>
        <v>97.2</v>
      </c>
      <c r="K151" s="168"/>
      <c r="L151" s="634"/>
      <c r="M151" s="238"/>
      <c r="N151" s="716"/>
      <c r="O151" s="168"/>
      <c r="P151" s="175">
        <f t="shared" si="16"/>
        <v>1000</v>
      </c>
      <c r="Q151" s="175">
        <f t="shared" si="15"/>
        <v>972</v>
      </c>
      <c r="R151" s="699">
        <f t="shared" si="18"/>
        <v>97.2</v>
      </c>
    </row>
    <row r="152" spans="2:18" ht="13.5" thickBot="1">
      <c r="B152" s="538">
        <f t="shared" si="21"/>
        <v>58</v>
      </c>
      <c r="C152" s="508"/>
      <c r="D152" s="508"/>
      <c r="E152" s="321" t="s">
        <v>277</v>
      </c>
      <c r="F152" s="321">
        <v>637</v>
      </c>
      <c r="G152" s="509" t="s">
        <v>295</v>
      </c>
      <c r="H152" s="212">
        <f>9000-1000-600</f>
        <v>7400</v>
      </c>
      <c r="I152" s="212">
        <v>4180</v>
      </c>
      <c r="J152" s="714">
        <f t="shared" si="22"/>
        <v>56.486486486486484</v>
      </c>
      <c r="K152" s="510"/>
      <c r="L152" s="640"/>
      <c r="M152" s="184"/>
      <c r="N152" s="714"/>
      <c r="O152" s="510"/>
      <c r="P152" s="181">
        <f t="shared" si="16"/>
        <v>7400</v>
      </c>
      <c r="Q152" s="181">
        <f t="shared" si="15"/>
        <v>4180</v>
      </c>
      <c r="R152" s="730">
        <f t="shared" si="18"/>
        <v>56.486486486486484</v>
      </c>
    </row>
    <row r="186" spans="2:16" ht="27.75" thickBot="1">
      <c r="B186" s="379" t="s">
        <v>246</v>
      </c>
      <c r="C186" s="379"/>
      <c r="D186" s="379"/>
      <c r="E186" s="379"/>
      <c r="F186" s="379"/>
      <c r="G186" s="379"/>
      <c r="H186" s="379"/>
      <c r="I186" s="379"/>
      <c r="J186" s="604"/>
      <c r="K186" s="379"/>
      <c r="L186" s="379"/>
      <c r="M186" s="379"/>
      <c r="N186" s="604"/>
      <c r="O186" s="379"/>
      <c r="P186" s="379"/>
    </row>
    <row r="187" spans="2:18" ht="13.5" thickBot="1">
      <c r="B187" s="1037" t="s">
        <v>236</v>
      </c>
      <c r="C187" s="1038"/>
      <c r="D187" s="1038"/>
      <c r="E187" s="1038"/>
      <c r="F187" s="1038"/>
      <c r="G187" s="1038"/>
      <c r="H187" s="1038"/>
      <c r="I187" s="1038"/>
      <c r="J187" s="1038"/>
      <c r="K187" s="1038"/>
      <c r="L187" s="1038"/>
      <c r="M187" s="1038"/>
      <c r="N187" s="1039"/>
      <c r="O187" s="151"/>
      <c r="P187" s="1052" t="s">
        <v>627</v>
      </c>
      <c r="Q187" s="1040" t="s">
        <v>772</v>
      </c>
      <c r="R187" s="1047" t="s">
        <v>774</v>
      </c>
    </row>
    <row r="188" spans="2:18" ht="18.75" customHeight="1">
      <c r="B188" s="26"/>
      <c r="C188" s="1043" t="s">
        <v>613</v>
      </c>
      <c r="D188" s="1045" t="s">
        <v>612</v>
      </c>
      <c r="E188" s="1045" t="s">
        <v>610</v>
      </c>
      <c r="F188" s="1045" t="s">
        <v>611</v>
      </c>
      <c r="G188" s="288" t="s">
        <v>4</v>
      </c>
      <c r="H188" s="1027" t="s">
        <v>662</v>
      </c>
      <c r="I188" s="1033" t="s">
        <v>772</v>
      </c>
      <c r="J188" s="1035" t="s">
        <v>774</v>
      </c>
      <c r="K188" s="86"/>
      <c r="L188" s="1050" t="s">
        <v>663</v>
      </c>
      <c r="M188" s="1033" t="s">
        <v>772</v>
      </c>
      <c r="N188" s="1035" t="s">
        <v>774</v>
      </c>
      <c r="O188" s="86"/>
      <c r="P188" s="1053"/>
      <c r="Q188" s="1041"/>
      <c r="R188" s="1048"/>
    </row>
    <row r="189" spans="2:18" ht="32.25" customHeight="1" thickBot="1">
      <c r="B189" s="29"/>
      <c r="C189" s="1044"/>
      <c r="D189" s="1044"/>
      <c r="E189" s="1044"/>
      <c r="F189" s="1044"/>
      <c r="G189" s="289"/>
      <c r="H189" s="1029"/>
      <c r="I189" s="1034"/>
      <c r="J189" s="1046"/>
      <c r="K189" s="86"/>
      <c r="L189" s="1051"/>
      <c r="M189" s="1034"/>
      <c r="N189" s="1046"/>
      <c r="O189" s="86"/>
      <c r="P189" s="1054"/>
      <c r="Q189" s="1042"/>
      <c r="R189" s="1049"/>
    </row>
    <row r="190" spans="2:18" ht="19.5" thickBot="1" thickTop="1">
      <c r="B190" s="174">
        <v>1</v>
      </c>
      <c r="C190" s="158" t="s">
        <v>247</v>
      </c>
      <c r="D190" s="125"/>
      <c r="E190" s="125"/>
      <c r="F190" s="125"/>
      <c r="G190" s="309"/>
      <c r="H190" s="225">
        <f>H191+H195+H207+H217+H227+H237+H243+H252</f>
        <v>441545</v>
      </c>
      <c r="I190" s="593">
        <f>I191+I195+I207+I217+I227+I237+I243+I252</f>
        <v>401473</v>
      </c>
      <c r="J190" s="690">
        <f aca="true" t="shared" si="23" ref="J190:J235">I190/H190*100</f>
        <v>90.92459432220951</v>
      </c>
      <c r="K190" s="127"/>
      <c r="L190" s="295">
        <f>L191+L195+L207+L217+L227+L237+L243+L252</f>
        <v>16583</v>
      </c>
      <c r="M190" s="593">
        <f>M191+M195+M207+M217+M227+M237+M243+M252</f>
        <v>1583</v>
      </c>
      <c r="N190" s="690">
        <f>M190/L190*100</f>
        <v>9.545920521015498</v>
      </c>
      <c r="O190" s="127"/>
      <c r="P190" s="691">
        <f aca="true" t="shared" si="24" ref="P190:P225">H190+L190</f>
        <v>458128</v>
      </c>
      <c r="Q190" s="692">
        <f aca="true" t="shared" si="25" ref="Q190:Q221">M190+I190</f>
        <v>403056</v>
      </c>
      <c r="R190" s="693">
        <f aca="true" t="shared" si="26" ref="R190:R221">Q190/P190*100</f>
        <v>87.97890545873642</v>
      </c>
    </row>
    <row r="191" spans="2:18" ht="16.5" thickTop="1">
      <c r="B191" s="174">
        <f aca="true" t="shared" si="27" ref="B191:B222">B190+1</f>
        <v>2</v>
      </c>
      <c r="C191" s="27">
        <v>1</v>
      </c>
      <c r="D191" s="160" t="s">
        <v>109</v>
      </c>
      <c r="E191" s="28"/>
      <c r="F191" s="28"/>
      <c r="G191" s="291"/>
      <c r="H191" s="367">
        <f>SUM(H192:H194)</f>
        <v>24578</v>
      </c>
      <c r="I191" s="695">
        <f>SUM(I192:I194)</f>
        <v>18845</v>
      </c>
      <c r="J191" s="683">
        <f t="shared" si="23"/>
        <v>76.67426153470583</v>
      </c>
      <c r="K191" s="96"/>
      <c r="L191" s="296"/>
      <c r="M191" s="695"/>
      <c r="N191" s="683"/>
      <c r="O191" s="96"/>
      <c r="P191" s="299">
        <f t="shared" si="24"/>
        <v>24578</v>
      </c>
      <c r="Q191" s="608">
        <f t="shared" si="25"/>
        <v>18845</v>
      </c>
      <c r="R191" s="696">
        <f t="shared" si="26"/>
        <v>76.67426153470583</v>
      </c>
    </row>
    <row r="192" spans="2:18" ht="12.75">
      <c r="B192" s="174">
        <f t="shared" si="27"/>
        <v>3</v>
      </c>
      <c r="C192" s="165"/>
      <c r="D192" s="166"/>
      <c r="E192" s="166" t="s">
        <v>318</v>
      </c>
      <c r="F192" s="166" t="s">
        <v>251</v>
      </c>
      <c r="G192" s="292" t="s">
        <v>309</v>
      </c>
      <c r="H192" s="206">
        <f>100+50</f>
        <v>150</v>
      </c>
      <c r="I192" s="206">
        <v>123</v>
      </c>
      <c r="J192" s="697">
        <f t="shared" si="23"/>
        <v>82</v>
      </c>
      <c r="K192" s="168"/>
      <c r="L192" s="186"/>
      <c r="M192" s="186"/>
      <c r="N192" s="698"/>
      <c r="O192" s="168"/>
      <c r="P192" s="175">
        <f t="shared" si="24"/>
        <v>150</v>
      </c>
      <c r="Q192" s="175">
        <f t="shared" si="25"/>
        <v>123</v>
      </c>
      <c r="R192" s="699">
        <f t="shared" si="26"/>
        <v>82</v>
      </c>
    </row>
    <row r="193" spans="2:18" ht="12.75">
      <c r="B193" s="174">
        <f t="shared" si="27"/>
        <v>4</v>
      </c>
      <c r="C193" s="165"/>
      <c r="D193" s="166"/>
      <c r="E193" s="166" t="s">
        <v>318</v>
      </c>
      <c r="F193" s="166" t="s">
        <v>238</v>
      </c>
      <c r="G193" s="292" t="s">
        <v>652</v>
      </c>
      <c r="H193" s="206">
        <f>7000-3300+78-1500</f>
        <v>2278</v>
      </c>
      <c r="I193" s="206">
        <f>2321-43</f>
        <v>2278</v>
      </c>
      <c r="J193" s="697">
        <f t="shared" si="23"/>
        <v>100</v>
      </c>
      <c r="K193" s="168"/>
      <c r="L193" s="186"/>
      <c r="M193" s="186"/>
      <c r="N193" s="698"/>
      <c r="O193" s="168"/>
      <c r="P193" s="175">
        <f t="shared" si="24"/>
        <v>2278</v>
      </c>
      <c r="Q193" s="175">
        <f t="shared" si="25"/>
        <v>2278</v>
      </c>
      <c r="R193" s="699">
        <f t="shared" si="26"/>
        <v>100</v>
      </c>
    </row>
    <row r="194" spans="2:18" ht="12.75">
      <c r="B194" s="174">
        <f t="shared" si="27"/>
        <v>5</v>
      </c>
      <c r="C194" s="165"/>
      <c r="D194" s="166"/>
      <c r="E194" s="166" t="s">
        <v>318</v>
      </c>
      <c r="F194" s="166" t="s">
        <v>255</v>
      </c>
      <c r="G194" s="292" t="s">
        <v>653</v>
      </c>
      <c r="H194" s="206">
        <f>6500+16400+3300-4050</f>
        <v>22150</v>
      </c>
      <c r="I194" s="206">
        <f>16401+43</f>
        <v>16444</v>
      </c>
      <c r="J194" s="697">
        <f t="shared" si="23"/>
        <v>74.2392776523702</v>
      </c>
      <c r="K194" s="168"/>
      <c r="L194" s="186"/>
      <c r="M194" s="186"/>
      <c r="N194" s="698"/>
      <c r="O194" s="168"/>
      <c r="P194" s="176">
        <f t="shared" si="24"/>
        <v>22150</v>
      </c>
      <c r="Q194" s="176">
        <f t="shared" si="25"/>
        <v>16444</v>
      </c>
      <c r="R194" s="704">
        <f t="shared" si="26"/>
        <v>74.2392776523702</v>
      </c>
    </row>
    <row r="195" spans="2:18" ht="15.75">
      <c r="B195" s="174">
        <f t="shared" si="27"/>
        <v>6</v>
      </c>
      <c r="C195" s="24">
        <v>2</v>
      </c>
      <c r="D195" s="159" t="s">
        <v>110</v>
      </c>
      <c r="E195" s="25"/>
      <c r="F195" s="25"/>
      <c r="G195" s="293"/>
      <c r="H195" s="233">
        <f>H196+H197+H198+H206</f>
        <v>70670</v>
      </c>
      <c r="I195" s="617">
        <f>I196+I197+I198+I206</f>
        <v>70670</v>
      </c>
      <c r="J195" s="684">
        <f t="shared" si="23"/>
        <v>100</v>
      </c>
      <c r="K195" s="96"/>
      <c r="L195" s="527"/>
      <c r="M195" s="623"/>
      <c r="N195" s="702"/>
      <c r="O195" s="126"/>
      <c r="P195" s="299">
        <f t="shared" si="24"/>
        <v>70670</v>
      </c>
      <c r="Q195" s="608">
        <f t="shared" si="25"/>
        <v>70670</v>
      </c>
      <c r="R195" s="696">
        <f t="shared" si="26"/>
        <v>100</v>
      </c>
    </row>
    <row r="196" spans="2:18" ht="12.75">
      <c r="B196" s="174">
        <f t="shared" si="27"/>
        <v>7</v>
      </c>
      <c r="C196" s="165"/>
      <c r="D196" s="165"/>
      <c r="E196" s="170" t="s">
        <v>330</v>
      </c>
      <c r="F196" s="196">
        <v>610</v>
      </c>
      <c r="G196" s="307" t="s">
        <v>307</v>
      </c>
      <c r="H196" s="207">
        <f>35000+6000</f>
        <v>41000</v>
      </c>
      <c r="I196" s="207">
        <v>41000</v>
      </c>
      <c r="J196" s="697">
        <f t="shared" si="23"/>
        <v>100</v>
      </c>
      <c r="K196" s="168"/>
      <c r="L196" s="182"/>
      <c r="M196" s="182"/>
      <c r="N196" s="700"/>
      <c r="O196" s="168"/>
      <c r="P196" s="176">
        <f t="shared" si="24"/>
        <v>41000</v>
      </c>
      <c r="Q196" s="176">
        <f t="shared" si="25"/>
        <v>41000</v>
      </c>
      <c r="R196" s="704">
        <f t="shared" si="26"/>
        <v>100</v>
      </c>
    </row>
    <row r="197" spans="2:18" ht="12.75">
      <c r="B197" s="174">
        <f t="shared" si="27"/>
        <v>8</v>
      </c>
      <c r="C197" s="165"/>
      <c r="D197" s="165"/>
      <c r="E197" s="170" t="s">
        <v>330</v>
      </c>
      <c r="F197" s="196">
        <v>620</v>
      </c>
      <c r="G197" s="307" t="s">
        <v>309</v>
      </c>
      <c r="H197" s="207">
        <f>13000+1900</f>
        <v>14900</v>
      </c>
      <c r="I197" s="207">
        <v>14900</v>
      </c>
      <c r="J197" s="697">
        <f t="shared" si="23"/>
        <v>100</v>
      </c>
      <c r="K197" s="168"/>
      <c r="L197" s="182"/>
      <c r="M197" s="182"/>
      <c r="N197" s="700"/>
      <c r="O197" s="168"/>
      <c r="P197" s="176">
        <f t="shared" si="24"/>
        <v>14900</v>
      </c>
      <c r="Q197" s="176">
        <f t="shared" si="25"/>
        <v>14900</v>
      </c>
      <c r="R197" s="704">
        <f t="shared" si="26"/>
        <v>100</v>
      </c>
    </row>
    <row r="198" spans="2:18" ht="12.75">
      <c r="B198" s="174">
        <f t="shared" si="27"/>
        <v>9</v>
      </c>
      <c r="C198" s="165"/>
      <c r="D198" s="165"/>
      <c r="E198" s="170" t="s">
        <v>330</v>
      </c>
      <c r="F198" s="196">
        <v>630</v>
      </c>
      <c r="G198" s="307" t="s">
        <v>573</v>
      </c>
      <c r="H198" s="207">
        <f>SUM(H199:H205)</f>
        <v>14570</v>
      </c>
      <c r="I198" s="207">
        <f>SUM(I199:I205)</f>
        <v>14570</v>
      </c>
      <c r="J198" s="697">
        <f t="shared" si="23"/>
        <v>100</v>
      </c>
      <c r="K198" s="168"/>
      <c r="L198" s="182"/>
      <c r="M198" s="182"/>
      <c r="N198" s="700"/>
      <c r="O198" s="168"/>
      <c r="P198" s="176">
        <f t="shared" si="24"/>
        <v>14570</v>
      </c>
      <c r="Q198" s="176">
        <f t="shared" si="25"/>
        <v>14570</v>
      </c>
      <c r="R198" s="704">
        <f t="shared" si="26"/>
        <v>100</v>
      </c>
    </row>
    <row r="199" spans="2:18" ht="12.75">
      <c r="B199" s="174">
        <f t="shared" si="27"/>
        <v>10</v>
      </c>
      <c r="C199" s="165"/>
      <c r="D199" s="165"/>
      <c r="E199" s="170"/>
      <c r="F199" s="170">
        <v>631</v>
      </c>
      <c r="G199" s="292" t="s">
        <v>360</v>
      </c>
      <c r="H199" s="206">
        <f>300-200</f>
        <v>100</v>
      </c>
      <c r="I199" s="206">
        <v>96</v>
      </c>
      <c r="J199" s="697">
        <f t="shared" si="23"/>
        <v>96</v>
      </c>
      <c r="K199" s="168"/>
      <c r="L199" s="182"/>
      <c r="M199" s="182"/>
      <c r="N199" s="700"/>
      <c r="O199" s="168"/>
      <c r="P199" s="176">
        <f t="shared" si="24"/>
        <v>100</v>
      </c>
      <c r="Q199" s="176">
        <f t="shared" si="25"/>
        <v>96</v>
      </c>
      <c r="R199" s="704">
        <f t="shared" si="26"/>
        <v>96</v>
      </c>
    </row>
    <row r="200" spans="2:18" ht="12.75">
      <c r="B200" s="174">
        <f t="shared" si="27"/>
        <v>11</v>
      </c>
      <c r="C200" s="165"/>
      <c r="D200" s="165"/>
      <c r="E200" s="170"/>
      <c r="F200" s="170">
        <v>632</v>
      </c>
      <c r="G200" s="292" t="s">
        <v>334</v>
      </c>
      <c r="H200" s="206">
        <f>2000-500-400</f>
        <v>1100</v>
      </c>
      <c r="I200" s="206">
        <f>2420-I203</f>
        <v>1860</v>
      </c>
      <c r="J200" s="697">
        <f t="shared" si="23"/>
        <v>169.0909090909091</v>
      </c>
      <c r="K200" s="168"/>
      <c r="L200" s="182"/>
      <c r="M200" s="182"/>
      <c r="N200" s="700"/>
      <c r="O200" s="168"/>
      <c r="P200" s="176">
        <f t="shared" si="24"/>
        <v>1100</v>
      </c>
      <c r="Q200" s="176">
        <f t="shared" si="25"/>
        <v>1860</v>
      </c>
      <c r="R200" s="704">
        <f t="shared" si="26"/>
        <v>169.0909090909091</v>
      </c>
    </row>
    <row r="201" spans="2:18" ht="12.75">
      <c r="B201" s="174">
        <f t="shared" si="27"/>
        <v>12</v>
      </c>
      <c r="C201" s="165"/>
      <c r="D201" s="209"/>
      <c r="E201" s="173"/>
      <c r="F201" s="165">
        <v>633</v>
      </c>
      <c r="G201" s="292" t="s">
        <v>294</v>
      </c>
      <c r="H201" s="206">
        <f>8200-500-7000</f>
        <v>700</v>
      </c>
      <c r="I201" s="206">
        <f>8296-I204</f>
        <v>694</v>
      </c>
      <c r="J201" s="697">
        <f t="shared" si="23"/>
        <v>99.14285714285714</v>
      </c>
      <c r="K201" s="168"/>
      <c r="L201" s="182"/>
      <c r="M201" s="182"/>
      <c r="N201" s="700"/>
      <c r="O201" s="168"/>
      <c r="P201" s="176">
        <f t="shared" si="24"/>
        <v>700</v>
      </c>
      <c r="Q201" s="176">
        <f t="shared" si="25"/>
        <v>694</v>
      </c>
      <c r="R201" s="704">
        <f t="shared" si="26"/>
        <v>99.14285714285714</v>
      </c>
    </row>
    <row r="202" spans="2:18" ht="12.75">
      <c r="B202" s="174">
        <f t="shared" si="27"/>
        <v>13</v>
      </c>
      <c r="C202" s="165"/>
      <c r="D202" s="209"/>
      <c r="E202" s="170"/>
      <c r="F202" s="173">
        <v>637</v>
      </c>
      <c r="G202" s="292" t="s">
        <v>295</v>
      </c>
      <c r="H202" s="206">
        <f>500+3000-200+700</f>
        <v>4000</v>
      </c>
      <c r="I202" s="206">
        <f>3528-I205+230</f>
        <v>3250</v>
      </c>
      <c r="J202" s="697">
        <f t="shared" si="23"/>
        <v>81.25</v>
      </c>
      <c r="K202" s="168"/>
      <c r="L202" s="182"/>
      <c r="M202" s="182"/>
      <c r="N202" s="700"/>
      <c r="O202" s="168"/>
      <c r="P202" s="176">
        <f t="shared" si="24"/>
        <v>4000</v>
      </c>
      <c r="Q202" s="176">
        <f t="shared" si="25"/>
        <v>3250</v>
      </c>
      <c r="R202" s="704">
        <f t="shared" si="26"/>
        <v>81.25</v>
      </c>
    </row>
    <row r="203" spans="2:18" ht="12.75">
      <c r="B203" s="174">
        <f t="shared" si="27"/>
        <v>14</v>
      </c>
      <c r="C203" s="165"/>
      <c r="D203" s="209"/>
      <c r="E203" s="170"/>
      <c r="F203" s="170">
        <v>632</v>
      </c>
      <c r="G203" s="292" t="s">
        <v>707</v>
      </c>
      <c r="H203" s="206">
        <v>560</v>
      </c>
      <c r="I203" s="206">
        <v>560</v>
      </c>
      <c r="J203" s="697">
        <f t="shared" si="23"/>
        <v>100</v>
      </c>
      <c r="K203" s="168"/>
      <c r="L203" s="208"/>
      <c r="M203" s="208"/>
      <c r="N203" s="703"/>
      <c r="O203" s="168"/>
      <c r="P203" s="176">
        <f t="shared" si="24"/>
        <v>560</v>
      </c>
      <c r="Q203" s="176">
        <f t="shared" si="25"/>
        <v>560</v>
      </c>
      <c r="R203" s="704">
        <f t="shared" si="26"/>
        <v>100</v>
      </c>
    </row>
    <row r="204" spans="2:18" ht="12.75">
      <c r="B204" s="174">
        <f t="shared" si="27"/>
        <v>15</v>
      </c>
      <c r="C204" s="165"/>
      <c r="D204" s="209"/>
      <c r="E204" s="170"/>
      <c r="F204" s="170">
        <v>633</v>
      </c>
      <c r="G204" s="292" t="s">
        <v>707</v>
      </c>
      <c r="H204" s="206">
        <v>7602</v>
      </c>
      <c r="I204" s="206">
        <v>7602</v>
      </c>
      <c r="J204" s="697">
        <f t="shared" si="23"/>
        <v>100</v>
      </c>
      <c r="K204" s="168"/>
      <c r="L204" s="208"/>
      <c r="M204" s="208"/>
      <c r="N204" s="703"/>
      <c r="O204" s="168"/>
      <c r="P204" s="176">
        <f t="shared" si="24"/>
        <v>7602</v>
      </c>
      <c r="Q204" s="176">
        <f t="shared" si="25"/>
        <v>7602</v>
      </c>
      <c r="R204" s="704">
        <f t="shared" si="26"/>
        <v>100</v>
      </c>
    </row>
    <row r="205" spans="2:18" ht="12.75">
      <c r="B205" s="174">
        <f t="shared" si="27"/>
        <v>16</v>
      </c>
      <c r="C205" s="165"/>
      <c r="D205" s="209"/>
      <c r="E205" s="170"/>
      <c r="F205" s="170">
        <v>637</v>
      </c>
      <c r="G205" s="292" t="s">
        <v>707</v>
      </c>
      <c r="H205" s="206">
        <v>508</v>
      </c>
      <c r="I205" s="206">
        <v>508</v>
      </c>
      <c r="J205" s="697">
        <f t="shared" si="23"/>
        <v>100</v>
      </c>
      <c r="K205" s="168"/>
      <c r="L205" s="208"/>
      <c r="M205" s="208"/>
      <c r="N205" s="703"/>
      <c r="O205" s="168"/>
      <c r="P205" s="176">
        <f t="shared" si="24"/>
        <v>508</v>
      </c>
      <c r="Q205" s="176">
        <f t="shared" si="25"/>
        <v>508</v>
      </c>
      <c r="R205" s="704">
        <f t="shared" si="26"/>
        <v>100</v>
      </c>
    </row>
    <row r="206" spans="2:18" ht="12.75">
      <c r="B206" s="174">
        <f t="shared" si="27"/>
        <v>17</v>
      </c>
      <c r="C206" s="165"/>
      <c r="D206" s="209"/>
      <c r="E206" s="577"/>
      <c r="F206" s="577">
        <v>640</v>
      </c>
      <c r="G206" s="307" t="s">
        <v>752</v>
      </c>
      <c r="H206" s="207">
        <v>200</v>
      </c>
      <c r="I206" s="207">
        <v>200</v>
      </c>
      <c r="J206" s="697">
        <f t="shared" si="23"/>
        <v>100</v>
      </c>
      <c r="K206" s="191"/>
      <c r="L206" s="576"/>
      <c r="M206" s="576"/>
      <c r="N206" s="703"/>
      <c r="O206" s="191"/>
      <c r="P206" s="575">
        <f t="shared" si="24"/>
        <v>200</v>
      </c>
      <c r="Q206" s="575">
        <f t="shared" si="25"/>
        <v>200</v>
      </c>
      <c r="R206" s="729">
        <f t="shared" si="26"/>
        <v>100</v>
      </c>
    </row>
    <row r="207" spans="2:18" ht="15.75">
      <c r="B207" s="174">
        <f t="shared" si="27"/>
        <v>18</v>
      </c>
      <c r="C207" s="27">
        <v>3</v>
      </c>
      <c r="D207" s="160" t="s">
        <v>146</v>
      </c>
      <c r="E207" s="28"/>
      <c r="F207" s="28"/>
      <c r="G207" s="291"/>
      <c r="H207" s="233">
        <f>H208+H209+H216+H210</f>
        <v>142700</v>
      </c>
      <c r="I207" s="617">
        <f>I208+I209+I210+I216</f>
        <v>140167</v>
      </c>
      <c r="J207" s="684">
        <f t="shared" si="23"/>
        <v>98.2249474421864</v>
      </c>
      <c r="K207" s="96"/>
      <c r="L207" s="296"/>
      <c r="M207" s="624"/>
      <c r="N207" s="696"/>
      <c r="O207" s="96"/>
      <c r="P207" s="299">
        <f t="shared" si="24"/>
        <v>142700</v>
      </c>
      <c r="Q207" s="608">
        <f t="shared" si="25"/>
        <v>140167</v>
      </c>
      <c r="R207" s="696">
        <f t="shared" si="26"/>
        <v>98.2249474421864</v>
      </c>
    </row>
    <row r="208" spans="2:18" ht="12.75">
      <c r="B208" s="174">
        <f t="shared" si="27"/>
        <v>19</v>
      </c>
      <c r="C208" s="171"/>
      <c r="D208" s="171"/>
      <c r="E208" s="170" t="s">
        <v>277</v>
      </c>
      <c r="F208" s="196">
        <v>610</v>
      </c>
      <c r="G208" s="307" t="s">
        <v>307</v>
      </c>
      <c r="H208" s="207">
        <f>99000-5000</f>
        <v>94000</v>
      </c>
      <c r="I208" s="207">
        <v>94000</v>
      </c>
      <c r="J208" s="697">
        <f t="shared" si="23"/>
        <v>100</v>
      </c>
      <c r="K208" s="168"/>
      <c r="L208" s="182"/>
      <c r="M208" s="182"/>
      <c r="N208" s="700"/>
      <c r="O208" s="168"/>
      <c r="P208" s="176">
        <f t="shared" si="24"/>
        <v>94000</v>
      </c>
      <c r="Q208" s="176">
        <f t="shared" si="25"/>
        <v>94000</v>
      </c>
      <c r="R208" s="704">
        <f t="shared" si="26"/>
        <v>100</v>
      </c>
    </row>
    <row r="209" spans="2:18" ht="12.75">
      <c r="B209" s="174">
        <f t="shared" si="27"/>
        <v>20</v>
      </c>
      <c r="C209" s="165"/>
      <c r="D209" s="165"/>
      <c r="E209" s="170" t="s">
        <v>277</v>
      </c>
      <c r="F209" s="196">
        <v>620</v>
      </c>
      <c r="G209" s="307" t="s">
        <v>309</v>
      </c>
      <c r="H209" s="207">
        <v>36000</v>
      </c>
      <c r="I209" s="207">
        <v>36000</v>
      </c>
      <c r="J209" s="697">
        <f t="shared" si="23"/>
        <v>100</v>
      </c>
      <c r="K209" s="168"/>
      <c r="L209" s="182"/>
      <c r="M209" s="182"/>
      <c r="N209" s="700"/>
      <c r="O209" s="168"/>
      <c r="P209" s="176">
        <f t="shared" si="24"/>
        <v>36000</v>
      </c>
      <c r="Q209" s="176">
        <f t="shared" si="25"/>
        <v>36000</v>
      </c>
      <c r="R209" s="704">
        <f t="shared" si="26"/>
        <v>100</v>
      </c>
    </row>
    <row r="210" spans="2:18" ht="12.75">
      <c r="B210" s="174">
        <f t="shared" si="27"/>
        <v>21</v>
      </c>
      <c r="C210" s="165"/>
      <c r="D210" s="165"/>
      <c r="E210" s="170" t="s">
        <v>277</v>
      </c>
      <c r="F210" s="196">
        <v>630</v>
      </c>
      <c r="G210" s="307" t="s">
        <v>573</v>
      </c>
      <c r="H210" s="207">
        <f>SUM(H211:H215)</f>
        <v>12400</v>
      </c>
      <c r="I210" s="207">
        <f>SUM(I211:I215)</f>
        <v>10064</v>
      </c>
      <c r="J210" s="697">
        <f t="shared" si="23"/>
        <v>81.16129032258065</v>
      </c>
      <c r="K210" s="168"/>
      <c r="L210" s="182"/>
      <c r="M210" s="182"/>
      <c r="N210" s="700"/>
      <c r="O210" s="168"/>
      <c r="P210" s="176">
        <f t="shared" si="24"/>
        <v>12400</v>
      </c>
      <c r="Q210" s="176">
        <f t="shared" si="25"/>
        <v>10064</v>
      </c>
      <c r="R210" s="704">
        <f t="shared" si="26"/>
        <v>81.16129032258065</v>
      </c>
    </row>
    <row r="211" spans="2:18" ht="12.75">
      <c r="B211" s="174">
        <f t="shared" si="27"/>
        <v>22</v>
      </c>
      <c r="C211" s="165"/>
      <c r="D211" s="165"/>
      <c r="E211" s="170"/>
      <c r="F211" s="170">
        <v>631</v>
      </c>
      <c r="G211" s="292" t="s">
        <v>360</v>
      </c>
      <c r="H211" s="206">
        <v>100</v>
      </c>
      <c r="I211" s="206"/>
      <c r="J211" s="697">
        <f t="shared" si="23"/>
        <v>0</v>
      </c>
      <c r="K211" s="168"/>
      <c r="L211" s="182"/>
      <c r="M211" s="182"/>
      <c r="N211" s="700"/>
      <c r="O211" s="168"/>
      <c r="P211" s="176">
        <f t="shared" si="24"/>
        <v>100</v>
      </c>
      <c r="Q211" s="176">
        <f t="shared" si="25"/>
        <v>0</v>
      </c>
      <c r="R211" s="704">
        <f t="shared" si="26"/>
        <v>0</v>
      </c>
    </row>
    <row r="212" spans="2:18" ht="12.75">
      <c r="B212" s="174">
        <f t="shared" si="27"/>
        <v>23</v>
      </c>
      <c r="C212" s="165"/>
      <c r="D212" s="165"/>
      <c r="E212" s="170"/>
      <c r="F212" s="170">
        <v>632</v>
      </c>
      <c r="G212" s="292" t="s">
        <v>334</v>
      </c>
      <c r="H212" s="206">
        <f>1000-500</f>
        <v>500</v>
      </c>
      <c r="I212" s="206">
        <v>11</v>
      </c>
      <c r="J212" s="697">
        <f t="shared" si="23"/>
        <v>2.1999999999999997</v>
      </c>
      <c r="K212" s="168"/>
      <c r="L212" s="182"/>
      <c r="M212" s="182"/>
      <c r="N212" s="700"/>
      <c r="O212" s="168"/>
      <c r="P212" s="176">
        <f t="shared" si="24"/>
        <v>500</v>
      </c>
      <c r="Q212" s="176">
        <f t="shared" si="25"/>
        <v>11</v>
      </c>
      <c r="R212" s="704">
        <f t="shared" si="26"/>
        <v>2.1999999999999997</v>
      </c>
    </row>
    <row r="213" spans="2:18" ht="12.75">
      <c r="B213" s="174">
        <f t="shared" si="27"/>
        <v>24</v>
      </c>
      <c r="C213" s="165"/>
      <c r="D213" s="165"/>
      <c r="E213" s="170"/>
      <c r="F213" s="170">
        <v>633</v>
      </c>
      <c r="G213" s="292" t="s">
        <v>515</v>
      </c>
      <c r="H213" s="206">
        <v>2100</v>
      </c>
      <c r="I213" s="206">
        <v>2095</v>
      </c>
      <c r="J213" s="697">
        <f t="shared" si="23"/>
        <v>99.76190476190476</v>
      </c>
      <c r="K213" s="168"/>
      <c r="L213" s="182"/>
      <c r="M213" s="182"/>
      <c r="N213" s="700"/>
      <c r="O213" s="168"/>
      <c r="P213" s="176">
        <f t="shared" si="24"/>
        <v>2100</v>
      </c>
      <c r="Q213" s="176">
        <f t="shared" si="25"/>
        <v>2095</v>
      </c>
      <c r="R213" s="704">
        <f t="shared" si="26"/>
        <v>99.76190476190476</v>
      </c>
    </row>
    <row r="214" spans="2:18" ht="12.75">
      <c r="B214" s="174">
        <f t="shared" si="27"/>
        <v>25</v>
      </c>
      <c r="C214" s="165"/>
      <c r="D214" s="165"/>
      <c r="E214" s="170"/>
      <c r="F214" s="170">
        <v>633</v>
      </c>
      <c r="G214" s="292" t="s">
        <v>294</v>
      </c>
      <c r="H214" s="206">
        <f>2500-400</f>
        <v>2100</v>
      </c>
      <c r="I214" s="206">
        <v>1697</v>
      </c>
      <c r="J214" s="697">
        <f t="shared" si="23"/>
        <v>80.80952380952381</v>
      </c>
      <c r="K214" s="168"/>
      <c r="L214" s="182"/>
      <c r="M214" s="182"/>
      <c r="N214" s="700"/>
      <c r="O214" s="168"/>
      <c r="P214" s="176">
        <f t="shared" si="24"/>
        <v>2100</v>
      </c>
      <c r="Q214" s="176">
        <f t="shared" si="25"/>
        <v>1697</v>
      </c>
      <c r="R214" s="704">
        <f t="shared" si="26"/>
        <v>80.80952380952381</v>
      </c>
    </row>
    <row r="215" spans="2:18" ht="12.75">
      <c r="B215" s="174">
        <f t="shared" si="27"/>
        <v>26</v>
      </c>
      <c r="C215" s="165"/>
      <c r="D215" s="165"/>
      <c r="E215" s="170"/>
      <c r="F215" s="170">
        <v>637</v>
      </c>
      <c r="G215" s="292" t="s">
        <v>295</v>
      </c>
      <c r="H215" s="206">
        <f>200+1500+5000+900</f>
        <v>7600</v>
      </c>
      <c r="I215" s="206">
        <v>6261</v>
      </c>
      <c r="J215" s="697">
        <f t="shared" si="23"/>
        <v>82.38157894736841</v>
      </c>
      <c r="K215" s="168"/>
      <c r="L215" s="182"/>
      <c r="M215" s="182"/>
      <c r="N215" s="700"/>
      <c r="O215" s="168"/>
      <c r="P215" s="176">
        <f t="shared" si="24"/>
        <v>7600</v>
      </c>
      <c r="Q215" s="176">
        <f t="shared" si="25"/>
        <v>6261</v>
      </c>
      <c r="R215" s="704">
        <f t="shared" si="26"/>
        <v>82.38157894736841</v>
      </c>
    </row>
    <row r="216" spans="2:18" ht="12.75">
      <c r="B216" s="174">
        <f t="shared" si="27"/>
        <v>27</v>
      </c>
      <c r="C216" s="165"/>
      <c r="D216" s="165"/>
      <c r="E216" s="170" t="s">
        <v>277</v>
      </c>
      <c r="F216" s="196">
        <v>640</v>
      </c>
      <c r="G216" s="307" t="s">
        <v>526</v>
      </c>
      <c r="H216" s="207">
        <f>2000-200-1500</f>
        <v>300</v>
      </c>
      <c r="I216" s="207">
        <v>103</v>
      </c>
      <c r="J216" s="697">
        <f t="shared" si="23"/>
        <v>34.333333333333336</v>
      </c>
      <c r="K216" s="168"/>
      <c r="L216" s="182"/>
      <c r="M216" s="182"/>
      <c r="N216" s="700"/>
      <c r="O216" s="168"/>
      <c r="P216" s="176">
        <f t="shared" si="24"/>
        <v>300</v>
      </c>
      <c r="Q216" s="176">
        <f t="shared" si="25"/>
        <v>103</v>
      </c>
      <c r="R216" s="704">
        <f t="shared" si="26"/>
        <v>34.333333333333336</v>
      </c>
    </row>
    <row r="217" spans="2:18" ht="15.75">
      <c r="B217" s="174">
        <f t="shared" si="27"/>
        <v>28</v>
      </c>
      <c r="C217" s="27">
        <v>4</v>
      </c>
      <c r="D217" s="160" t="s">
        <v>111</v>
      </c>
      <c r="E217" s="28"/>
      <c r="F217" s="28"/>
      <c r="G217" s="291"/>
      <c r="H217" s="233">
        <f>H218</f>
        <v>40575</v>
      </c>
      <c r="I217" s="617">
        <f>I218</f>
        <v>37728</v>
      </c>
      <c r="J217" s="684">
        <f t="shared" si="23"/>
        <v>92.98336414048059</v>
      </c>
      <c r="K217" s="96"/>
      <c r="L217" s="296"/>
      <c r="M217" s="624"/>
      <c r="N217" s="696"/>
      <c r="O217" s="96"/>
      <c r="P217" s="299">
        <f t="shared" si="24"/>
        <v>40575</v>
      </c>
      <c r="Q217" s="608">
        <f t="shared" si="25"/>
        <v>37728</v>
      </c>
      <c r="R217" s="696">
        <f t="shared" si="26"/>
        <v>92.98336414048059</v>
      </c>
    </row>
    <row r="218" spans="2:18" ht="12.75">
      <c r="B218" s="174">
        <f t="shared" si="27"/>
        <v>29</v>
      </c>
      <c r="C218" s="171"/>
      <c r="D218" s="171"/>
      <c r="E218" s="483" t="s">
        <v>283</v>
      </c>
      <c r="F218" s="483"/>
      <c r="G218" s="478" t="s">
        <v>572</v>
      </c>
      <c r="H218" s="479">
        <f>H219+H220+H221+H226</f>
        <v>40575</v>
      </c>
      <c r="I218" s="479">
        <f>I219+I220+I221+I226</f>
        <v>37728</v>
      </c>
      <c r="J218" s="697">
        <f t="shared" si="23"/>
        <v>92.98336414048059</v>
      </c>
      <c r="K218" s="480"/>
      <c r="L218" s="481"/>
      <c r="M218" s="481"/>
      <c r="N218" s="700"/>
      <c r="O218" s="480"/>
      <c r="P218" s="482">
        <f t="shared" si="24"/>
        <v>40575</v>
      </c>
      <c r="Q218" s="482">
        <f t="shared" si="25"/>
        <v>37728</v>
      </c>
      <c r="R218" s="704">
        <f t="shared" si="26"/>
        <v>92.98336414048059</v>
      </c>
    </row>
    <row r="219" spans="2:18" ht="12.75">
      <c r="B219" s="174">
        <f t="shared" si="27"/>
        <v>30</v>
      </c>
      <c r="C219" s="165"/>
      <c r="D219" s="165"/>
      <c r="E219" s="170"/>
      <c r="F219" s="196">
        <v>610</v>
      </c>
      <c r="G219" s="307" t="s">
        <v>307</v>
      </c>
      <c r="H219" s="207">
        <f>17500-700</f>
        <v>16800</v>
      </c>
      <c r="I219" s="207">
        <v>16481</v>
      </c>
      <c r="J219" s="697">
        <f t="shared" si="23"/>
        <v>98.10119047619048</v>
      </c>
      <c r="K219" s="168"/>
      <c r="L219" s="182"/>
      <c r="M219" s="182"/>
      <c r="N219" s="700"/>
      <c r="O219" s="168"/>
      <c r="P219" s="176">
        <f t="shared" si="24"/>
        <v>16800</v>
      </c>
      <c r="Q219" s="176">
        <f t="shared" si="25"/>
        <v>16481</v>
      </c>
      <c r="R219" s="704">
        <f t="shared" si="26"/>
        <v>98.10119047619048</v>
      </c>
    </row>
    <row r="220" spans="2:18" ht="12.75">
      <c r="B220" s="174">
        <f t="shared" si="27"/>
        <v>31</v>
      </c>
      <c r="C220" s="165"/>
      <c r="D220" s="165"/>
      <c r="E220" s="170"/>
      <c r="F220" s="196">
        <v>620</v>
      </c>
      <c r="G220" s="307" t="s">
        <v>309</v>
      </c>
      <c r="H220" s="207">
        <v>6160</v>
      </c>
      <c r="I220" s="207">
        <v>5835</v>
      </c>
      <c r="J220" s="697">
        <f t="shared" si="23"/>
        <v>94.72402597402598</v>
      </c>
      <c r="K220" s="168"/>
      <c r="L220" s="182"/>
      <c r="M220" s="182"/>
      <c r="N220" s="700"/>
      <c r="O220" s="168"/>
      <c r="P220" s="176">
        <f t="shared" si="24"/>
        <v>6160</v>
      </c>
      <c r="Q220" s="176">
        <f t="shared" si="25"/>
        <v>5835</v>
      </c>
      <c r="R220" s="704">
        <f t="shared" si="26"/>
        <v>94.72402597402598</v>
      </c>
    </row>
    <row r="221" spans="2:18" ht="12.75">
      <c r="B221" s="174">
        <f t="shared" si="27"/>
        <v>32</v>
      </c>
      <c r="C221" s="165"/>
      <c r="D221" s="165"/>
      <c r="E221" s="170"/>
      <c r="F221" s="196">
        <v>630</v>
      </c>
      <c r="G221" s="307" t="s">
        <v>573</v>
      </c>
      <c r="H221" s="207">
        <f>SUM(H222:H225)</f>
        <v>17555</v>
      </c>
      <c r="I221" s="207">
        <f>SUM(I222:I225)</f>
        <v>15353</v>
      </c>
      <c r="J221" s="697">
        <f t="shared" si="23"/>
        <v>87.45656508117345</v>
      </c>
      <c r="K221" s="168"/>
      <c r="L221" s="182"/>
      <c r="M221" s="182"/>
      <c r="N221" s="700"/>
      <c r="O221" s="168"/>
      <c r="P221" s="176">
        <f t="shared" si="24"/>
        <v>17555</v>
      </c>
      <c r="Q221" s="176">
        <f t="shared" si="25"/>
        <v>15353</v>
      </c>
      <c r="R221" s="704">
        <f t="shared" si="26"/>
        <v>87.45656508117345</v>
      </c>
    </row>
    <row r="222" spans="2:18" ht="12.75">
      <c r="B222" s="174">
        <f t="shared" si="27"/>
        <v>33</v>
      </c>
      <c r="C222" s="165"/>
      <c r="D222" s="165"/>
      <c r="E222" s="170"/>
      <c r="F222" s="170">
        <v>632</v>
      </c>
      <c r="G222" s="292" t="s">
        <v>293</v>
      </c>
      <c r="H222" s="206">
        <f>8265+3000</f>
        <v>11265</v>
      </c>
      <c r="I222" s="206">
        <v>9830</v>
      </c>
      <c r="J222" s="697">
        <f t="shared" si="23"/>
        <v>87.26142920550377</v>
      </c>
      <c r="K222" s="168"/>
      <c r="L222" s="182"/>
      <c r="M222" s="182"/>
      <c r="N222" s="700"/>
      <c r="O222" s="168"/>
      <c r="P222" s="176">
        <f t="shared" si="24"/>
        <v>11265</v>
      </c>
      <c r="Q222" s="176">
        <f aca="true" t="shared" si="28" ref="Q222:Q253">M222+I222</f>
        <v>9830</v>
      </c>
      <c r="R222" s="704">
        <f aca="true" t="shared" si="29" ref="R222:R253">Q222/P222*100</f>
        <v>87.26142920550377</v>
      </c>
    </row>
    <row r="223" spans="2:18" ht="12.75">
      <c r="B223" s="174">
        <f aca="true" t="shared" si="30" ref="B223:B253">B222+1</f>
        <v>34</v>
      </c>
      <c r="C223" s="165"/>
      <c r="D223" s="165"/>
      <c r="E223" s="170"/>
      <c r="F223" s="170">
        <v>633</v>
      </c>
      <c r="G223" s="292" t="s">
        <v>294</v>
      </c>
      <c r="H223" s="206">
        <f>2900-710</f>
        <v>2190</v>
      </c>
      <c r="I223" s="206">
        <v>2053</v>
      </c>
      <c r="J223" s="697">
        <f t="shared" si="23"/>
        <v>93.74429223744293</v>
      </c>
      <c r="K223" s="168"/>
      <c r="L223" s="182"/>
      <c r="M223" s="182"/>
      <c r="N223" s="700"/>
      <c r="O223" s="168"/>
      <c r="P223" s="176">
        <f t="shared" si="24"/>
        <v>2190</v>
      </c>
      <c r="Q223" s="176">
        <f t="shared" si="28"/>
        <v>2053</v>
      </c>
      <c r="R223" s="704">
        <f t="shared" si="29"/>
        <v>93.74429223744293</v>
      </c>
    </row>
    <row r="224" spans="2:18" ht="12.75">
      <c r="B224" s="174">
        <f t="shared" si="30"/>
        <v>35</v>
      </c>
      <c r="C224" s="165"/>
      <c r="D224" s="165"/>
      <c r="E224" s="170"/>
      <c r="F224" s="170">
        <v>635</v>
      </c>
      <c r="G224" s="292" t="s">
        <v>311</v>
      </c>
      <c r="H224" s="206">
        <v>500</v>
      </c>
      <c r="I224" s="206">
        <v>307</v>
      </c>
      <c r="J224" s="697">
        <f t="shared" si="23"/>
        <v>61.4</v>
      </c>
      <c r="K224" s="168"/>
      <c r="L224" s="182"/>
      <c r="M224" s="182"/>
      <c r="N224" s="700"/>
      <c r="O224" s="168"/>
      <c r="P224" s="176">
        <f t="shared" si="24"/>
        <v>500</v>
      </c>
      <c r="Q224" s="176">
        <f t="shared" si="28"/>
        <v>307</v>
      </c>
      <c r="R224" s="704">
        <f t="shared" si="29"/>
        <v>61.4</v>
      </c>
    </row>
    <row r="225" spans="2:18" ht="12.75">
      <c r="B225" s="174">
        <f t="shared" si="30"/>
        <v>36</v>
      </c>
      <c r="C225" s="165"/>
      <c r="D225" s="165"/>
      <c r="E225" s="170"/>
      <c r="F225" s="170">
        <v>637</v>
      </c>
      <c r="G225" s="292" t="s">
        <v>295</v>
      </c>
      <c r="H225" s="206">
        <f>2675+215+710</f>
        <v>3600</v>
      </c>
      <c r="I225" s="206">
        <v>3163</v>
      </c>
      <c r="J225" s="697">
        <f t="shared" si="23"/>
        <v>87.86111111111111</v>
      </c>
      <c r="K225" s="168"/>
      <c r="L225" s="182"/>
      <c r="M225" s="182"/>
      <c r="N225" s="700"/>
      <c r="O225" s="168"/>
      <c r="P225" s="176">
        <f t="shared" si="24"/>
        <v>3600</v>
      </c>
      <c r="Q225" s="176">
        <f t="shared" si="28"/>
        <v>3163</v>
      </c>
      <c r="R225" s="704">
        <f t="shared" si="29"/>
        <v>87.86111111111111</v>
      </c>
    </row>
    <row r="226" spans="2:18" ht="12.75">
      <c r="B226" s="174">
        <f t="shared" si="30"/>
        <v>37</v>
      </c>
      <c r="C226" s="165"/>
      <c r="D226" s="173"/>
      <c r="E226" s="173"/>
      <c r="F226" s="577">
        <v>640</v>
      </c>
      <c r="G226" s="307" t="s">
        <v>526</v>
      </c>
      <c r="H226" s="207">
        <v>60</v>
      </c>
      <c r="I226" s="207">
        <v>59</v>
      </c>
      <c r="J226" s="697">
        <f t="shared" si="23"/>
        <v>98.33333333333333</v>
      </c>
      <c r="K226" s="168"/>
      <c r="L226" s="208"/>
      <c r="M226" s="208"/>
      <c r="N226" s="703"/>
      <c r="O226" s="168"/>
      <c r="P226" s="575">
        <v>60</v>
      </c>
      <c r="Q226" s="575">
        <f t="shared" si="28"/>
        <v>59</v>
      </c>
      <c r="R226" s="729">
        <f t="shared" si="29"/>
        <v>98.33333333333333</v>
      </c>
    </row>
    <row r="227" spans="2:18" ht="15.75">
      <c r="B227" s="174">
        <f t="shared" si="30"/>
        <v>38</v>
      </c>
      <c r="C227" s="27">
        <v>5</v>
      </c>
      <c r="D227" s="160" t="s">
        <v>147</v>
      </c>
      <c r="E227" s="28"/>
      <c r="F227" s="28"/>
      <c r="G227" s="291"/>
      <c r="H227" s="233">
        <f>H228</f>
        <v>20350</v>
      </c>
      <c r="I227" s="617">
        <f>I228</f>
        <v>19494</v>
      </c>
      <c r="J227" s="684">
        <f t="shared" si="23"/>
        <v>95.79361179361179</v>
      </c>
      <c r="K227" s="96"/>
      <c r="L227" s="297">
        <f>SUM(L228:L236)</f>
        <v>15000</v>
      </c>
      <c r="M227" s="611">
        <v>0</v>
      </c>
      <c r="N227" s="696">
        <f>M227/L227*100</f>
        <v>0</v>
      </c>
      <c r="O227" s="96"/>
      <c r="P227" s="299">
        <f aca="true" t="shared" si="31" ref="P227:P253">H227+L227</f>
        <v>35350</v>
      </c>
      <c r="Q227" s="608">
        <f t="shared" si="28"/>
        <v>19494</v>
      </c>
      <c r="R227" s="696">
        <f t="shared" si="29"/>
        <v>55.14568599717114</v>
      </c>
    </row>
    <row r="228" spans="2:18" ht="12.75">
      <c r="B228" s="174">
        <f t="shared" si="30"/>
        <v>39</v>
      </c>
      <c r="C228" s="165"/>
      <c r="D228" s="165"/>
      <c r="E228" s="483" t="s">
        <v>283</v>
      </c>
      <c r="F228" s="483"/>
      <c r="G228" s="484" t="s">
        <v>571</v>
      </c>
      <c r="H228" s="479">
        <f>H229+H230+H231</f>
        <v>20350</v>
      </c>
      <c r="I228" s="479">
        <f>I229+I230+I231</f>
        <v>19494</v>
      </c>
      <c r="J228" s="697">
        <f t="shared" si="23"/>
        <v>95.79361179361179</v>
      </c>
      <c r="K228" s="480"/>
      <c r="L228" s="481"/>
      <c r="M228" s="481"/>
      <c r="N228" s="700"/>
      <c r="O228" s="480"/>
      <c r="P228" s="482">
        <f t="shared" si="31"/>
        <v>20350</v>
      </c>
      <c r="Q228" s="482">
        <f t="shared" si="28"/>
        <v>19494</v>
      </c>
      <c r="R228" s="704">
        <f t="shared" si="29"/>
        <v>95.79361179361179</v>
      </c>
    </row>
    <row r="229" spans="2:18" ht="12.75">
      <c r="B229" s="174">
        <f t="shared" si="30"/>
        <v>40</v>
      </c>
      <c r="C229" s="187"/>
      <c r="D229" s="187"/>
      <c r="E229" s="170"/>
      <c r="F229" s="196">
        <v>610</v>
      </c>
      <c r="G229" s="307" t="s">
        <v>307</v>
      </c>
      <c r="H229" s="207">
        <v>6340</v>
      </c>
      <c r="I229" s="207">
        <v>6320</v>
      </c>
      <c r="J229" s="697">
        <f t="shared" si="23"/>
        <v>99.6845425867508</v>
      </c>
      <c r="K229" s="191"/>
      <c r="L229" s="189"/>
      <c r="M229" s="189"/>
      <c r="N229" s="700"/>
      <c r="O229" s="191"/>
      <c r="P229" s="176">
        <f t="shared" si="31"/>
        <v>6340</v>
      </c>
      <c r="Q229" s="176">
        <f t="shared" si="28"/>
        <v>6320</v>
      </c>
      <c r="R229" s="704">
        <f t="shared" si="29"/>
        <v>99.6845425867508</v>
      </c>
    </row>
    <row r="230" spans="2:18" ht="12.75">
      <c r="B230" s="174">
        <f t="shared" si="30"/>
        <v>41</v>
      </c>
      <c r="C230" s="165"/>
      <c r="D230" s="165"/>
      <c r="E230" s="170"/>
      <c r="F230" s="196">
        <v>620</v>
      </c>
      <c r="G230" s="307" t="s">
        <v>309</v>
      </c>
      <c r="H230" s="207">
        <v>2250</v>
      </c>
      <c r="I230" s="207">
        <v>2249</v>
      </c>
      <c r="J230" s="697">
        <f t="shared" si="23"/>
        <v>99.95555555555555</v>
      </c>
      <c r="K230" s="168"/>
      <c r="L230" s="182"/>
      <c r="M230" s="182"/>
      <c r="N230" s="700"/>
      <c r="O230" s="168"/>
      <c r="P230" s="176">
        <f t="shared" si="31"/>
        <v>2250</v>
      </c>
      <c r="Q230" s="176">
        <f t="shared" si="28"/>
        <v>2249</v>
      </c>
      <c r="R230" s="704">
        <f t="shared" si="29"/>
        <v>99.95555555555555</v>
      </c>
    </row>
    <row r="231" spans="2:18" ht="12.75">
      <c r="B231" s="174">
        <f t="shared" si="30"/>
        <v>42</v>
      </c>
      <c r="C231" s="165"/>
      <c r="D231" s="165"/>
      <c r="E231" s="173"/>
      <c r="F231" s="320">
        <v>630</v>
      </c>
      <c r="G231" s="307" t="s">
        <v>573</v>
      </c>
      <c r="H231" s="207">
        <f>SUM(H232:H235)</f>
        <v>11760</v>
      </c>
      <c r="I231" s="207">
        <f>SUM(I232:I235)</f>
        <v>10925</v>
      </c>
      <c r="J231" s="697">
        <f t="shared" si="23"/>
        <v>92.89965986394559</v>
      </c>
      <c r="K231" s="168"/>
      <c r="L231" s="182"/>
      <c r="M231" s="182"/>
      <c r="N231" s="700"/>
      <c r="O231" s="168"/>
      <c r="P231" s="176">
        <f t="shared" si="31"/>
        <v>11760</v>
      </c>
      <c r="Q231" s="176">
        <f t="shared" si="28"/>
        <v>10925</v>
      </c>
      <c r="R231" s="704">
        <f t="shared" si="29"/>
        <v>92.89965986394559</v>
      </c>
    </row>
    <row r="232" spans="2:18" ht="12.75">
      <c r="B232" s="174">
        <f t="shared" si="30"/>
        <v>43</v>
      </c>
      <c r="C232" s="165"/>
      <c r="D232" s="165"/>
      <c r="E232" s="170"/>
      <c r="F232" s="170">
        <v>632</v>
      </c>
      <c r="G232" s="292" t="s">
        <v>293</v>
      </c>
      <c r="H232" s="211">
        <f>1865+2000+450</f>
        <v>4315</v>
      </c>
      <c r="I232" s="211">
        <v>4112</v>
      </c>
      <c r="J232" s="720">
        <f t="shared" si="23"/>
        <v>95.2954808806489</v>
      </c>
      <c r="K232" s="168"/>
      <c r="L232" s="182"/>
      <c r="M232" s="182"/>
      <c r="N232" s="700"/>
      <c r="O232" s="168"/>
      <c r="P232" s="176">
        <f t="shared" si="31"/>
        <v>4315</v>
      </c>
      <c r="Q232" s="176">
        <f t="shared" si="28"/>
        <v>4112</v>
      </c>
      <c r="R232" s="704">
        <f t="shared" si="29"/>
        <v>95.2954808806489</v>
      </c>
    </row>
    <row r="233" spans="2:18" ht="12.75">
      <c r="B233" s="174">
        <f t="shared" si="30"/>
        <v>44</v>
      </c>
      <c r="C233" s="165"/>
      <c r="D233" s="165"/>
      <c r="E233" s="170"/>
      <c r="F233" s="170">
        <v>633</v>
      </c>
      <c r="G233" s="292" t="s">
        <v>294</v>
      </c>
      <c r="H233" s="206">
        <v>300</v>
      </c>
      <c r="I233" s="206">
        <v>215</v>
      </c>
      <c r="J233" s="697">
        <f t="shared" si="23"/>
        <v>71.66666666666667</v>
      </c>
      <c r="K233" s="168"/>
      <c r="L233" s="182"/>
      <c r="M233" s="182"/>
      <c r="N233" s="700"/>
      <c r="O233" s="168"/>
      <c r="P233" s="176">
        <f t="shared" si="31"/>
        <v>300</v>
      </c>
      <c r="Q233" s="176">
        <f t="shared" si="28"/>
        <v>215</v>
      </c>
      <c r="R233" s="704">
        <f t="shared" si="29"/>
        <v>71.66666666666667</v>
      </c>
    </row>
    <row r="234" spans="2:18" ht="12.75">
      <c r="B234" s="174">
        <f t="shared" si="30"/>
        <v>45</v>
      </c>
      <c r="C234" s="165"/>
      <c r="D234" s="165"/>
      <c r="E234" s="170"/>
      <c r="F234" s="170">
        <v>635</v>
      </c>
      <c r="G234" s="292" t="s">
        <v>311</v>
      </c>
      <c r="H234" s="206">
        <v>50</v>
      </c>
      <c r="I234" s="206"/>
      <c r="J234" s="697">
        <f t="shared" si="23"/>
        <v>0</v>
      </c>
      <c r="K234" s="168"/>
      <c r="L234" s="182"/>
      <c r="M234" s="182"/>
      <c r="N234" s="700"/>
      <c r="O234" s="168"/>
      <c r="P234" s="176">
        <f t="shared" si="31"/>
        <v>50</v>
      </c>
      <c r="Q234" s="176">
        <f t="shared" si="28"/>
        <v>0</v>
      </c>
      <c r="R234" s="704">
        <f t="shared" si="29"/>
        <v>0</v>
      </c>
    </row>
    <row r="235" spans="2:18" ht="12.75">
      <c r="B235" s="174">
        <f t="shared" si="30"/>
        <v>46</v>
      </c>
      <c r="C235" s="165"/>
      <c r="D235" s="165"/>
      <c r="E235" s="170"/>
      <c r="F235" s="170">
        <v>637</v>
      </c>
      <c r="G235" s="292" t="s">
        <v>295</v>
      </c>
      <c r="H235" s="206">
        <f>1695+600+4000+800</f>
        <v>7095</v>
      </c>
      <c r="I235" s="206">
        <v>6598</v>
      </c>
      <c r="J235" s="697">
        <f t="shared" si="23"/>
        <v>92.99506694855532</v>
      </c>
      <c r="K235" s="168"/>
      <c r="L235" s="182"/>
      <c r="M235" s="182"/>
      <c r="N235" s="700"/>
      <c r="O235" s="168"/>
      <c r="P235" s="176">
        <f t="shared" si="31"/>
        <v>7095</v>
      </c>
      <c r="Q235" s="176">
        <f t="shared" si="28"/>
        <v>6598</v>
      </c>
      <c r="R235" s="704">
        <f t="shared" si="29"/>
        <v>92.99506694855532</v>
      </c>
    </row>
    <row r="236" spans="2:18" ht="12.75">
      <c r="B236" s="174">
        <f t="shared" si="30"/>
        <v>47</v>
      </c>
      <c r="C236" s="165"/>
      <c r="D236" s="165"/>
      <c r="E236" s="170"/>
      <c r="F236" s="170">
        <v>716</v>
      </c>
      <c r="G236" s="292" t="s">
        <v>665</v>
      </c>
      <c r="H236" s="206"/>
      <c r="I236" s="206"/>
      <c r="J236" s="697"/>
      <c r="K236" s="168"/>
      <c r="L236" s="182">
        <v>15000</v>
      </c>
      <c r="M236" s="182">
        <v>0</v>
      </c>
      <c r="N236" s="700">
        <f>M236/L236*100</f>
        <v>0</v>
      </c>
      <c r="O236" s="168"/>
      <c r="P236" s="176">
        <f t="shared" si="31"/>
        <v>15000</v>
      </c>
      <c r="Q236" s="176">
        <f t="shared" si="28"/>
        <v>0</v>
      </c>
      <c r="R236" s="704">
        <f t="shared" si="29"/>
        <v>0</v>
      </c>
    </row>
    <row r="237" spans="2:18" ht="15.75">
      <c r="B237" s="174">
        <f t="shared" si="30"/>
        <v>48</v>
      </c>
      <c r="C237" s="27">
        <v>6</v>
      </c>
      <c r="D237" s="160" t="s">
        <v>174</v>
      </c>
      <c r="E237" s="28"/>
      <c r="F237" s="28"/>
      <c r="G237" s="291"/>
      <c r="H237" s="233">
        <f>SUM(H238:H242)</f>
        <v>137872</v>
      </c>
      <c r="I237" s="617">
        <f>SUM(I238:I242)</f>
        <v>112778</v>
      </c>
      <c r="J237" s="684">
        <f>I237/H237*100</f>
        <v>81.799059997679</v>
      </c>
      <c r="K237" s="96"/>
      <c r="L237" s="297">
        <f>SUM(L238:L242)</f>
        <v>1583</v>
      </c>
      <c r="M237" s="611">
        <f>SUM(M238:M242)</f>
        <v>1583</v>
      </c>
      <c r="N237" s="696">
        <f>M237/L237*100</f>
        <v>100</v>
      </c>
      <c r="O237" s="96"/>
      <c r="P237" s="299">
        <f t="shared" si="31"/>
        <v>139455</v>
      </c>
      <c r="Q237" s="608">
        <f t="shared" si="28"/>
        <v>114361</v>
      </c>
      <c r="R237" s="696">
        <f t="shared" si="29"/>
        <v>82.00566490982754</v>
      </c>
    </row>
    <row r="238" spans="2:18" ht="12.75">
      <c r="B238" s="174">
        <f t="shared" si="30"/>
        <v>49</v>
      </c>
      <c r="C238" s="165"/>
      <c r="D238" s="165"/>
      <c r="E238" s="173" t="s">
        <v>340</v>
      </c>
      <c r="F238" s="170">
        <v>632</v>
      </c>
      <c r="G238" s="292" t="s">
        <v>628</v>
      </c>
      <c r="H238" s="206">
        <f>54305-14000-1300</f>
        <v>39005</v>
      </c>
      <c r="I238" s="206">
        <f>22590+5046</f>
        <v>27636</v>
      </c>
      <c r="J238" s="697">
        <f>I238/H238*100</f>
        <v>70.85245481348545</v>
      </c>
      <c r="K238" s="168"/>
      <c r="L238" s="182"/>
      <c r="M238" s="182"/>
      <c r="N238" s="700"/>
      <c r="O238" s="168"/>
      <c r="P238" s="176">
        <f t="shared" si="31"/>
        <v>39005</v>
      </c>
      <c r="Q238" s="176">
        <f t="shared" si="28"/>
        <v>27636</v>
      </c>
      <c r="R238" s="704">
        <f t="shared" si="29"/>
        <v>70.85245481348545</v>
      </c>
    </row>
    <row r="239" spans="2:18" ht="12.75">
      <c r="B239" s="174">
        <f t="shared" si="30"/>
        <v>50</v>
      </c>
      <c r="C239" s="165"/>
      <c r="D239" s="165"/>
      <c r="E239" s="173" t="s">
        <v>340</v>
      </c>
      <c r="F239" s="170">
        <v>637</v>
      </c>
      <c r="G239" s="292" t="s">
        <v>629</v>
      </c>
      <c r="H239" s="206">
        <f>78800+14000</f>
        <v>92800</v>
      </c>
      <c r="I239" s="206">
        <v>79082</v>
      </c>
      <c r="J239" s="697">
        <f>I239/H239*100</f>
        <v>85.2176724137931</v>
      </c>
      <c r="K239" s="168"/>
      <c r="L239" s="182"/>
      <c r="M239" s="182"/>
      <c r="N239" s="700"/>
      <c r="O239" s="168"/>
      <c r="P239" s="176">
        <f t="shared" si="31"/>
        <v>92800</v>
      </c>
      <c r="Q239" s="176">
        <f t="shared" si="28"/>
        <v>79082</v>
      </c>
      <c r="R239" s="704">
        <f t="shared" si="29"/>
        <v>85.2176724137931</v>
      </c>
    </row>
    <row r="240" spans="2:18" ht="12.75">
      <c r="B240" s="174">
        <f t="shared" si="30"/>
        <v>51</v>
      </c>
      <c r="C240" s="165"/>
      <c r="D240" s="165"/>
      <c r="E240" s="173" t="s">
        <v>340</v>
      </c>
      <c r="F240" s="170">
        <v>637</v>
      </c>
      <c r="G240" s="292" t="s">
        <v>377</v>
      </c>
      <c r="H240" s="206">
        <f>1895-1590</f>
        <v>305</v>
      </c>
      <c r="I240" s="206">
        <v>298</v>
      </c>
      <c r="J240" s="697">
        <f>I240/H240*100</f>
        <v>97.70491803278688</v>
      </c>
      <c r="K240" s="168"/>
      <c r="L240" s="182"/>
      <c r="M240" s="182"/>
      <c r="N240" s="700"/>
      <c r="O240" s="168"/>
      <c r="P240" s="176">
        <f t="shared" si="31"/>
        <v>305</v>
      </c>
      <c r="Q240" s="176">
        <f t="shared" si="28"/>
        <v>298</v>
      </c>
      <c r="R240" s="704">
        <f t="shared" si="29"/>
        <v>97.70491803278688</v>
      </c>
    </row>
    <row r="241" spans="2:18" ht="12.75">
      <c r="B241" s="174">
        <f t="shared" si="30"/>
        <v>52</v>
      </c>
      <c r="C241" s="165"/>
      <c r="D241" s="165"/>
      <c r="E241" s="173"/>
      <c r="F241" s="170">
        <v>637</v>
      </c>
      <c r="G241" s="292" t="s">
        <v>704</v>
      </c>
      <c r="H241" s="206">
        <v>5762</v>
      </c>
      <c r="I241" s="206">
        <v>5762</v>
      </c>
      <c r="J241" s="697">
        <f>I241/H241*100</f>
        <v>100</v>
      </c>
      <c r="K241" s="168"/>
      <c r="L241" s="182"/>
      <c r="M241" s="182"/>
      <c r="N241" s="700"/>
      <c r="O241" s="168"/>
      <c r="P241" s="176">
        <f t="shared" si="31"/>
        <v>5762</v>
      </c>
      <c r="Q241" s="176">
        <f t="shared" si="28"/>
        <v>5762</v>
      </c>
      <c r="R241" s="704">
        <f t="shared" si="29"/>
        <v>100</v>
      </c>
    </row>
    <row r="242" spans="2:18" ht="12.75">
      <c r="B242" s="174">
        <f t="shared" si="30"/>
        <v>53</v>
      </c>
      <c r="C242" s="165"/>
      <c r="D242" s="165"/>
      <c r="E242" s="173" t="s">
        <v>340</v>
      </c>
      <c r="F242" s="170">
        <v>716</v>
      </c>
      <c r="G242" s="292" t="s">
        <v>570</v>
      </c>
      <c r="H242" s="206">
        <v>0</v>
      </c>
      <c r="I242" s="206"/>
      <c r="J242" s="697"/>
      <c r="K242" s="168"/>
      <c r="L242" s="182">
        <v>1583</v>
      </c>
      <c r="M242" s="182">
        <v>1583</v>
      </c>
      <c r="N242" s="700">
        <f>M242/L242*100</f>
        <v>100</v>
      </c>
      <c r="O242" s="168"/>
      <c r="P242" s="176">
        <f t="shared" si="31"/>
        <v>1583</v>
      </c>
      <c r="Q242" s="176">
        <f t="shared" si="28"/>
        <v>1583</v>
      </c>
      <c r="R242" s="704">
        <f t="shared" si="29"/>
        <v>100</v>
      </c>
    </row>
    <row r="243" spans="2:18" ht="15.75">
      <c r="B243" s="174">
        <f t="shared" si="30"/>
        <v>54</v>
      </c>
      <c r="C243" s="27">
        <v>7</v>
      </c>
      <c r="D243" s="160" t="s">
        <v>175</v>
      </c>
      <c r="E243" s="28"/>
      <c r="F243" s="28"/>
      <c r="G243" s="291"/>
      <c r="H243" s="233">
        <f>H244</f>
        <v>2800</v>
      </c>
      <c r="I243" s="617">
        <f>I244</f>
        <v>1791</v>
      </c>
      <c r="J243" s="684">
        <f aca="true" t="shared" si="32" ref="J243:J253">I243/H243*100</f>
        <v>63.964285714285715</v>
      </c>
      <c r="K243" s="96"/>
      <c r="L243" s="296">
        <v>0</v>
      </c>
      <c r="M243" s="624"/>
      <c r="N243" s="696"/>
      <c r="O243" s="96"/>
      <c r="P243" s="299">
        <f t="shared" si="31"/>
        <v>2800</v>
      </c>
      <c r="Q243" s="608">
        <f t="shared" si="28"/>
        <v>1791</v>
      </c>
      <c r="R243" s="696">
        <f t="shared" si="29"/>
        <v>63.964285714285715</v>
      </c>
    </row>
    <row r="244" spans="2:18" ht="12.75">
      <c r="B244" s="174">
        <f t="shared" si="30"/>
        <v>55</v>
      </c>
      <c r="C244" s="165"/>
      <c r="D244" s="165"/>
      <c r="E244" s="485" t="s">
        <v>529</v>
      </c>
      <c r="F244" s="483"/>
      <c r="G244" s="478" t="s">
        <v>571</v>
      </c>
      <c r="H244" s="479">
        <f>H245+H246+H247</f>
        <v>2800</v>
      </c>
      <c r="I244" s="479">
        <f>SUM(I245:I247)</f>
        <v>1791</v>
      </c>
      <c r="J244" s="697">
        <f t="shared" si="32"/>
        <v>63.964285714285715</v>
      </c>
      <c r="K244" s="480"/>
      <c r="L244" s="481"/>
      <c r="M244" s="481"/>
      <c r="N244" s="700"/>
      <c r="O244" s="480"/>
      <c r="P244" s="482">
        <f t="shared" si="31"/>
        <v>2800</v>
      </c>
      <c r="Q244" s="482">
        <f t="shared" si="28"/>
        <v>1791</v>
      </c>
      <c r="R244" s="704">
        <f t="shared" si="29"/>
        <v>63.964285714285715</v>
      </c>
    </row>
    <row r="245" spans="2:18" ht="12.75">
      <c r="B245" s="174">
        <f t="shared" si="30"/>
        <v>56</v>
      </c>
      <c r="C245" s="165"/>
      <c r="D245" s="165"/>
      <c r="E245" s="173"/>
      <c r="F245" s="196">
        <v>610</v>
      </c>
      <c r="G245" s="307" t="s">
        <v>307</v>
      </c>
      <c r="H245" s="207">
        <v>680</v>
      </c>
      <c r="I245" s="207">
        <v>678</v>
      </c>
      <c r="J245" s="697">
        <f t="shared" si="32"/>
        <v>99.70588235294117</v>
      </c>
      <c r="K245" s="168"/>
      <c r="L245" s="182"/>
      <c r="M245" s="182"/>
      <c r="N245" s="700"/>
      <c r="O245" s="168"/>
      <c r="P245" s="176">
        <f t="shared" si="31"/>
        <v>680</v>
      </c>
      <c r="Q245" s="176">
        <f t="shared" si="28"/>
        <v>678</v>
      </c>
      <c r="R245" s="704">
        <f t="shared" si="29"/>
        <v>99.70588235294117</v>
      </c>
    </row>
    <row r="246" spans="2:18" ht="12.75">
      <c r="B246" s="174">
        <f t="shared" si="30"/>
        <v>57</v>
      </c>
      <c r="C246" s="165"/>
      <c r="D246" s="165"/>
      <c r="E246" s="173"/>
      <c r="F246" s="196">
        <v>620</v>
      </c>
      <c r="G246" s="307" t="s">
        <v>309</v>
      </c>
      <c r="H246" s="207">
        <v>240</v>
      </c>
      <c r="I246" s="207">
        <v>240</v>
      </c>
      <c r="J246" s="697">
        <f t="shared" si="32"/>
        <v>100</v>
      </c>
      <c r="K246" s="168"/>
      <c r="L246" s="182"/>
      <c r="M246" s="182"/>
      <c r="N246" s="700"/>
      <c r="O246" s="168"/>
      <c r="P246" s="176">
        <f t="shared" si="31"/>
        <v>240</v>
      </c>
      <c r="Q246" s="176">
        <f t="shared" si="28"/>
        <v>240</v>
      </c>
      <c r="R246" s="704">
        <f t="shared" si="29"/>
        <v>100</v>
      </c>
    </row>
    <row r="247" spans="2:18" ht="12.75">
      <c r="B247" s="174">
        <f t="shared" si="30"/>
        <v>58</v>
      </c>
      <c r="C247" s="165"/>
      <c r="D247" s="165"/>
      <c r="E247" s="173"/>
      <c r="F247" s="196">
        <v>630</v>
      </c>
      <c r="G247" s="307" t="s">
        <v>573</v>
      </c>
      <c r="H247" s="207">
        <f>SUM(H248:H251)</f>
        <v>1880</v>
      </c>
      <c r="I247" s="207">
        <f>SUM(I248:I251)</f>
        <v>873</v>
      </c>
      <c r="J247" s="697">
        <f t="shared" si="32"/>
        <v>46.43617021276596</v>
      </c>
      <c r="K247" s="168"/>
      <c r="L247" s="182"/>
      <c r="M247" s="182"/>
      <c r="N247" s="700"/>
      <c r="O247" s="168"/>
      <c r="P247" s="176">
        <f t="shared" si="31"/>
        <v>1880</v>
      </c>
      <c r="Q247" s="176">
        <f t="shared" si="28"/>
        <v>873</v>
      </c>
      <c r="R247" s="704">
        <f t="shared" si="29"/>
        <v>46.43617021276596</v>
      </c>
    </row>
    <row r="248" spans="2:18" ht="12.75">
      <c r="B248" s="174">
        <f t="shared" si="30"/>
        <v>59</v>
      </c>
      <c r="C248" s="165"/>
      <c r="D248" s="165"/>
      <c r="E248" s="173"/>
      <c r="F248" s="170">
        <v>633</v>
      </c>
      <c r="G248" s="292" t="s">
        <v>294</v>
      </c>
      <c r="H248" s="206">
        <v>490</v>
      </c>
      <c r="I248" s="206">
        <v>350</v>
      </c>
      <c r="J248" s="697">
        <f t="shared" si="32"/>
        <v>71.42857142857143</v>
      </c>
      <c r="K248" s="168"/>
      <c r="L248" s="182"/>
      <c r="M248" s="182"/>
      <c r="N248" s="700"/>
      <c r="O248" s="168"/>
      <c r="P248" s="176">
        <f t="shared" si="31"/>
        <v>490</v>
      </c>
      <c r="Q248" s="176">
        <f t="shared" si="28"/>
        <v>350</v>
      </c>
      <c r="R248" s="704">
        <f t="shared" si="29"/>
        <v>71.42857142857143</v>
      </c>
    </row>
    <row r="249" spans="2:18" ht="12.75">
      <c r="B249" s="174">
        <f t="shared" si="30"/>
        <v>60</v>
      </c>
      <c r="C249" s="165"/>
      <c r="D249" s="165"/>
      <c r="E249" s="173"/>
      <c r="F249" s="170">
        <v>634</v>
      </c>
      <c r="G249" s="292" t="s">
        <v>310</v>
      </c>
      <c r="H249" s="206">
        <v>430</v>
      </c>
      <c r="I249" s="206">
        <v>398</v>
      </c>
      <c r="J249" s="697">
        <f t="shared" si="32"/>
        <v>92.55813953488372</v>
      </c>
      <c r="K249" s="168"/>
      <c r="L249" s="182"/>
      <c r="M249" s="182"/>
      <c r="N249" s="700"/>
      <c r="O249" s="168"/>
      <c r="P249" s="176">
        <f t="shared" si="31"/>
        <v>430</v>
      </c>
      <c r="Q249" s="176">
        <f t="shared" si="28"/>
        <v>398</v>
      </c>
      <c r="R249" s="704">
        <f t="shared" si="29"/>
        <v>92.55813953488372</v>
      </c>
    </row>
    <row r="250" spans="2:18" ht="12.75">
      <c r="B250" s="174">
        <f t="shared" si="30"/>
        <v>61</v>
      </c>
      <c r="C250" s="165"/>
      <c r="D250" s="165"/>
      <c r="E250" s="173"/>
      <c r="F250" s="170">
        <v>635</v>
      </c>
      <c r="G250" s="292" t="s">
        <v>311</v>
      </c>
      <c r="H250" s="206">
        <v>450</v>
      </c>
      <c r="I250" s="206"/>
      <c r="J250" s="697">
        <f t="shared" si="32"/>
        <v>0</v>
      </c>
      <c r="K250" s="168"/>
      <c r="L250" s="182"/>
      <c r="M250" s="182"/>
      <c r="N250" s="700"/>
      <c r="O250" s="168"/>
      <c r="P250" s="176">
        <f t="shared" si="31"/>
        <v>450</v>
      </c>
      <c r="Q250" s="176">
        <f t="shared" si="28"/>
        <v>0</v>
      </c>
      <c r="R250" s="704">
        <f t="shared" si="29"/>
        <v>0</v>
      </c>
    </row>
    <row r="251" spans="2:18" ht="12.75">
      <c r="B251" s="174">
        <f t="shared" si="30"/>
        <v>62</v>
      </c>
      <c r="C251" s="165"/>
      <c r="D251" s="165"/>
      <c r="E251" s="173"/>
      <c r="F251" s="170">
        <v>637</v>
      </c>
      <c r="G251" s="292" t="s">
        <v>295</v>
      </c>
      <c r="H251" s="206">
        <v>510</v>
      </c>
      <c r="I251" s="206">
        <v>125</v>
      </c>
      <c r="J251" s="697">
        <f t="shared" si="32"/>
        <v>24.509803921568626</v>
      </c>
      <c r="K251" s="168"/>
      <c r="L251" s="182"/>
      <c r="M251" s="182"/>
      <c r="N251" s="700"/>
      <c r="O251" s="168"/>
      <c r="P251" s="176">
        <f t="shared" si="31"/>
        <v>510</v>
      </c>
      <c r="Q251" s="176">
        <f t="shared" si="28"/>
        <v>125</v>
      </c>
      <c r="R251" s="704">
        <f t="shared" si="29"/>
        <v>24.509803921568626</v>
      </c>
    </row>
    <row r="252" spans="2:18" ht="15.75">
      <c r="B252" s="539">
        <f t="shared" si="30"/>
        <v>63</v>
      </c>
      <c r="C252" s="540">
        <v>8</v>
      </c>
      <c r="D252" s="541" t="s">
        <v>76</v>
      </c>
      <c r="E252" s="542"/>
      <c r="F252" s="542"/>
      <c r="G252" s="543"/>
      <c r="H252" s="731">
        <f>H253</f>
        <v>2000</v>
      </c>
      <c r="I252" s="732"/>
      <c r="J252" s="686">
        <f t="shared" si="32"/>
        <v>0</v>
      </c>
      <c r="K252" s="96"/>
      <c r="L252" s="545">
        <v>0</v>
      </c>
      <c r="M252" s="625"/>
      <c r="N252" s="733"/>
      <c r="O252" s="96"/>
      <c r="P252" s="546">
        <f t="shared" si="31"/>
        <v>2000</v>
      </c>
      <c r="Q252" s="626">
        <f t="shared" si="28"/>
        <v>0</v>
      </c>
      <c r="R252" s="733">
        <f t="shared" si="29"/>
        <v>0</v>
      </c>
    </row>
    <row r="253" spans="2:18" ht="13.5" thickBot="1">
      <c r="B253" s="544">
        <f t="shared" si="30"/>
        <v>64</v>
      </c>
      <c r="C253" s="508"/>
      <c r="D253" s="508"/>
      <c r="E253" s="321"/>
      <c r="F253" s="321">
        <v>637</v>
      </c>
      <c r="G253" s="509" t="s">
        <v>708</v>
      </c>
      <c r="H253" s="212">
        <v>2000</v>
      </c>
      <c r="I253" s="212"/>
      <c r="J253" s="714">
        <f t="shared" si="32"/>
        <v>0</v>
      </c>
      <c r="K253" s="631"/>
      <c r="L253" s="183"/>
      <c r="M253" s="183"/>
      <c r="N253" s="734"/>
      <c r="O253" s="631"/>
      <c r="P253" s="181">
        <f t="shared" si="31"/>
        <v>2000</v>
      </c>
      <c r="Q253" s="181">
        <f t="shared" si="28"/>
        <v>0</v>
      </c>
      <c r="R253" s="730">
        <f t="shared" si="29"/>
        <v>0</v>
      </c>
    </row>
    <row r="283" spans="2:18" ht="27.75" thickBot="1">
      <c r="B283" s="379" t="s">
        <v>148</v>
      </c>
      <c r="C283" s="379"/>
      <c r="D283" s="379"/>
      <c r="E283" s="379"/>
      <c r="F283" s="379"/>
      <c r="G283" s="379"/>
      <c r="H283" s="379"/>
      <c r="I283" s="379"/>
      <c r="J283" s="604"/>
      <c r="K283" s="379"/>
      <c r="L283" s="379"/>
      <c r="M283" s="379"/>
      <c r="N283" s="688"/>
      <c r="O283" s="379"/>
      <c r="P283" s="379"/>
      <c r="Q283" s="581"/>
      <c r="R283" s="735"/>
    </row>
    <row r="284" spans="2:18" ht="16.5" customHeight="1" thickBot="1">
      <c r="B284" s="1037" t="s">
        <v>236</v>
      </c>
      <c r="C284" s="1038"/>
      <c r="D284" s="1038"/>
      <c r="E284" s="1038"/>
      <c r="F284" s="1038"/>
      <c r="G284" s="1038"/>
      <c r="H284" s="1038"/>
      <c r="I284" s="1038"/>
      <c r="J284" s="1038"/>
      <c r="K284" s="1038"/>
      <c r="L284" s="1038"/>
      <c r="M284" s="592"/>
      <c r="N284" s="736"/>
      <c r="O284" s="151"/>
      <c r="P284" s="1052" t="s">
        <v>627</v>
      </c>
      <c r="Q284" s="1040" t="s">
        <v>772</v>
      </c>
      <c r="R284" s="1047" t="s">
        <v>774</v>
      </c>
    </row>
    <row r="285" spans="2:18" ht="21" customHeight="1">
      <c r="B285" s="26"/>
      <c r="C285" s="1043" t="s">
        <v>613</v>
      </c>
      <c r="D285" s="1045" t="s">
        <v>612</v>
      </c>
      <c r="E285" s="1045" t="s">
        <v>610</v>
      </c>
      <c r="F285" s="1045" t="s">
        <v>611</v>
      </c>
      <c r="G285" s="288" t="s">
        <v>4</v>
      </c>
      <c r="H285" s="1027" t="s">
        <v>662</v>
      </c>
      <c r="I285" s="1033" t="s">
        <v>772</v>
      </c>
      <c r="J285" s="1035" t="s">
        <v>774</v>
      </c>
      <c r="K285" s="86"/>
      <c r="L285" s="1050" t="s">
        <v>663</v>
      </c>
      <c r="M285" s="1033" t="s">
        <v>772</v>
      </c>
      <c r="N285" s="1035" t="s">
        <v>774</v>
      </c>
      <c r="O285" s="86"/>
      <c r="P285" s="1064"/>
      <c r="Q285" s="1041"/>
      <c r="R285" s="1048"/>
    </row>
    <row r="286" spans="2:18" ht="33" customHeight="1" thickBot="1">
      <c r="B286" s="29"/>
      <c r="C286" s="1044"/>
      <c r="D286" s="1044"/>
      <c r="E286" s="1044"/>
      <c r="F286" s="1044"/>
      <c r="G286" s="289"/>
      <c r="H286" s="1029"/>
      <c r="I286" s="1034"/>
      <c r="J286" s="1046"/>
      <c r="K286" s="86"/>
      <c r="L286" s="1051"/>
      <c r="M286" s="1034"/>
      <c r="N286" s="1046"/>
      <c r="O286" s="86"/>
      <c r="P286" s="1065"/>
      <c r="Q286" s="1042"/>
      <c r="R286" s="1049"/>
    </row>
    <row r="287" spans="2:18" ht="19.5" thickBot="1" thickTop="1">
      <c r="B287" s="174">
        <v>1</v>
      </c>
      <c r="C287" s="158" t="s">
        <v>248</v>
      </c>
      <c r="D287" s="125"/>
      <c r="E287" s="125"/>
      <c r="F287" s="125"/>
      <c r="G287" s="290"/>
      <c r="H287" s="225">
        <f>H288+H305+H328+H330+H335</f>
        <v>1707905</v>
      </c>
      <c r="I287" s="593">
        <f>I288+I305+I328+I330+I335</f>
        <v>1614067</v>
      </c>
      <c r="J287" s="690">
        <f aca="true" t="shared" si="33" ref="J287:J299">I287/H287*100</f>
        <v>94.50566629876954</v>
      </c>
      <c r="K287" s="127"/>
      <c r="L287" s="325">
        <f>L288+L305+L328+L330+L335</f>
        <v>1192708</v>
      </c>
      <c r="M287" s="593">
        <f>M288+M305+M328+M330+M335</f>
        <v>1190606</v>
      </c>
      <c r="N287" s="737">
        <f>M287/L287*100</f>
        <v>99.82376239616066</v>
      </c>
      <c r="O287" s="127"/>
      <c r="P287" s="691">
        <f aca="true" t="shared" si="34" ref="P287:P299">H287+L287</f>
        <v>2900613</v>
      </c>
      <c r="Q287" s="692">
        <f aca="true" t="shared" si="35" ref="Q287:Q318">M287+I287</f>
        <v>2804673</v>
      </c>
      <c r="R287" s="693">
        <f aca="true" t="shared" si="36" ref="R287:R299">Q287/P287*100</f>
        <v>96.69242329121465</v>
      </c>
    </row>
    <row r="288" spans="2:18" ht="16.5" thickTop="1">
      <c r="B288" s="174">
        <f aca="true" t="shared" si="37" ref="B288:B319">B287+1</f>
        <v>2</v>
      </c>
      <c r="C288" s="27">
        <v>1</v>
      </c>
      <c r="D288" s="160" t="s">
        <v>149</v>
      </c>
      <c r="E288" s="28"/>
      <c r="F288" s="28"/>
      <c r="G288" s="291"/>
      <c r="H288" s="367">
        <f>H289+H290+H291+H298+H301+H299</f>
        <v>868500</v>
      </c>
      <c r="I288" s="695">
        <f>I289+I290+I291+I298+I299+I301</f>
        <v>847103</v>
      </c>
      <c r="J288" s="683">
        <f t="shared" si="33"/>
        <v>97.53632700057571</v>
      </c>
      <c r="K288" s="96"/>
      <c r="L288" s="738">
        <f>SUM(L289:L304)</f>
        <v>1500</v>
      </c>
      <c r="M288" s="695">
        <f>M303</f>
        <v>1500</v>
      </c>
      <c r="N288" s="683">
        <f>M288/L288*100</f>
        <v>100</v>
      </c>
      <c r="O288" s="96"/>
      <c r="P288" s="328">
        <f t="shared" si="34"/>
        <v>870000</v>
      </c>
      <c r="Q288" s="608">
        <f t="shared" si="35"/>
        <v>848603</v>
      </c>
      <c r="R288" s="696">
        <f t="shared" si="36"/>
        <v>97.54057471264368</v>
      </c>
    </row>
    <row r="289" spans="2:18" ht="12.75">
      <c r="B289" s="174">
        <f t="shared" si="37"/>
        <v>3</v>
      </c>
      <c r="C289" s="187"/>
      <c r="D289" s="188"/>
      <c r="E289" s="166" t="s">
        <v>382</v>
      </c>
      <c r="F289" s="188" t="s">
        <v>250</v>
      </c>
      <c r="G289" s="307" t="s">
        <v>307</v>
      </c>
      <c r="H289" s="207">
        <f>560000-22000</f>
        <v>538000</v>
      </c>
      <c r="I289" s="207">
        <v>525905</v>
      </c>
      <c r="J289" s="697">
        <f t="shared" si="33"/>
        <v>97.75185873605949</v>
      </c>
      <c r="K289" s="191"/>
      <c r="L289" s="237"/>
      <c r="M289" s="237"/>
      <c r="N289" s="739"/>
      <c r="O289" s="191"/>
      <c r="P289" s="218">
        <f t="shared" si="34"/>
        <v>538000</v>
      </c>
      <c r="Q289" s="374">
        <f t="shared" si="35"/>
        <v>525905</v>
      </c>
      <c r="R289" s="699">
        <f t="shared" si="36"/>
        <v>97.75185873605949</v>
      </c>
    </row>
    <row r="290" spans="2:18" ht="12.75">
      <c r="B290" s="174">
        <f t="shared" si="37"/>
        <v>4</v>
      </c>
      <c r="C290" s="187"/>
      <c r="D290" s="188"/>
      <c r="E290" s="166" t="s">
        <v>382</v>
      </c>
      <c r="F290" s="188" t="s">
        <v>251</v>
      </c>
      <c r="G290" s="307" t="s">
        <v>379</v>
      </c>
      <c r="H290" s="207">
        <f>195000-8000+12000</f>
        <v>199000</v>
      </c>
      <c r="I290" s="207">
        <v>195335</v>
      </c>
      <c r="J290" s="697">
        <f t="shared" si="33"/>
        <v>98.15829145728642</v>
      </c>
      <c r="K290" s="191"/>
      <c r="L290" s="237"/>
      <c r="M290" s="237"/>
      <c r="N290" s="739"/>
      <c r="O290" s="191"/>
      <c r="P290" s="218">
        <f t="shared" si="34"/>
        <v>199000</v>
      </c>
      <c r="Q290" s="374">
        <f t="shared" si="35"/>
        <v>195335</v>
      </c>
      <c r="R290" s="699">
        <f t="shared" si="36"/>
        <v>98.15829145728642</v>
      </c>
    </row>
    <row r="291" spans="2:18" ht="12.75">
      <c r="B291" s="174">
        <f t="shared" si="37"/>
        <v>5</v>
      </c>
      <c r="C291" s="187"/>
      <c r="D291" s="188"/>
      <c r="E291" s="166" t="s">
        <v>382</v>
      </c>
      <c r="F291" s="188" t="s">
        <v>257</v>
      </c>
      <c r="G291" s="307" t="s">
        <v>297</v>
      </c>
      <c r="H291" s="207">
        <f>H292+H293+H294+H295+H296+H297</f>
        <v>130274</v>
      </c>
      <c r="I291" s="207">
        <f>SUM(I292:I297)</f>
        <v>124911</v>
      </c>
      <c r="J291" s="697">
        <f t="shared" si="33"/>
        <v>95.88329213810891</v>
      </c>
      <c r="K291" s="191"/>
      <c r="L291" s="237"/>
      <c r="M291" s="237"/>
      <c r="N291" s="739"/>
      <c r="O291" s="191"/>
      <c r="P291" s="218">
        <f t="shared" si="34"/>
        <v>130274</v>
      </c>
      <c r="Q291" s="374">
        <f t="shared" si="35"/>
        <v>124911</v>
      </c>
      <c r="R291" s="699">
        <f t="shared" si="36"/>
        <v>95.88329213810891</v>
      </c>
    </row>
    <row r="292" spans="2:18" ht="12.75">
      <c r="B292" s="174">
        <f t="shared" si="37"/>
        <v>6</v>
      </c>
      <c r="C292" s="165"/>
      <c r="D292" s="166"/>
      <c r="E292" s="166"/>
      <c r="F292" s="166" t="s">
        <v>252</v>
      </c>
      <c r="G292" s="292" t="s">
        <v>380</v>
      </c>
      <c r="H292" s="206">
        <v>970</v>
      </c>
      <c r="I292" s="206">
        <v>413</v>
      </c>
      <c r="J292" s="697">
        <f t="shared" si="33"/>
        <v>42.577319587628864</v>
      </c>
      <c r="K292" s="168"/>
      <c r="L292" s="238"/>
      <c r="M292" s="238"/>
      <c r="N292" s="739"/>
      <c r="O292" s="168"/>
      <c r="P292" s="219">
        <f t="shared" si="34"/>
        <v>970</v>
      </c>
      <c r="Q292" s="627">
        <f t="shared" si="35"/>
        <v>413</v>
      </c>
      <c r="R292" s="699">
        <f t="shared" si="36"/>
        <v>42.577319587628864</v>
      </c>
    </row>
    <row r="293" spans="2:18" ht="12.75">
      <c r="B293" s="174">
        <f t="shared" si="37"/>
        <v>7</v>
      </c>
      <c r="C293" s="165"/>
      <c r="D293" s="166"/>
      <c r="E293" s="166"/>
      <c r="F293" s="166" t="s">
        <v>237</v>
      </c>
      <c r="G293" s="292" t="s">
        <v>293</v>
      </c>
      <c r="H293" s="206">
        <v>24000</v>
      </c>
      <c r="I293" s="206">
        <v>23915</v>
      </c>
      <c r="J293" s="697">
        <f t="shared" si="33"/>
        <v>99.64583333333333</v>
      </c>
      <c r="K293" s="168"/>
      <c r="L293" s="238"/>
      <c r="M293" s="238"/>
      <c r="N293" s="739"/>
      <c r="O293" s="168"/>
      <c r="P293" s="219">
        <f t="shared" si="34"/>
        <v>24000</v>
      </c>
      <c r="Q293" s="627">
        <f t="shared" si="35"/>
        <v>23915</v>
      </c>
      <c r="R293" s="699">
        <f t="shared" si="36"/>
        <v>99.64583333333333</v>
      </c>
    </row>
    <row r="294" spans="2:18" ht="12.75">
      <c r="B294" s="174">
        <f t="shared" si="37"/>
        <v>8</v>
      </c>
      <c r="C294" s="165"/>
      <c r="D294" s="166"/>
      <c r="E294" s="166"/>
      <c r="F294" s="166" t="s">
        <v>238</v>
      </c>
      <c r="G294" s="292" t="s">
        <v>294</v>
      </c>
      <c r="H294" s="206">
        <f>48009-560-10000</f>
        <v>37449</v>
      </c>
      <c r="I294" s="206">
        <v>36690</v>
      </c>
      <c r="J294" s="697">
        <f t="shared" si="33"/>
        <v>97.97324361131137</v>
      </c>
      <c r="K294" s="168"/>
      <c r="L294" s="238"/>
      <c r="M294" s="238"/>
      <c r="N294" s="716"/>
      <c r="O294" s="168"/>
      <c r="P294" s="219">
        <f t="shared" si="34"/>
        <v>37449</v>
      </c>
      <c r="Q294" s="627">
        <f t="shared" si="35"/>
        <v>36690</v>
      </c>
      <c r="R294" s="699">
        <f t="shared" si="36"/>
        <v>97.97324361131137</v>
      </c>
    </row>
    <row r="295" spans="2:18" ht="12.75">
      <c r="B295" s="174">
        <f t="shared" si="37"/>
        <v>9</v>
      </c>
      <c r="C295" s="165"/>
      <c r="D295" s="166"/>
      <c r="E295" s="166"/>
      <c r="F295" s="166" t="s">
        <v>239</v>
      </c>
      <c r="G295" s="292" t="s">
        <v>310</v>
      </c>
      <c r="H295" s="206">
        <v>30210</v>
      </c>
      <c r="I295" s="206">
        <v>28023</v>
      </c>
      <c r="J295" s="697">
        <f t="shared" si="33"/>
        <v>92.76067527308838</v>
      </c>
      <c r="K295" s="168"/>
      <c r="L295" s="238"/>
      <c r="M295" s="238"/>
      <c r="N295" s="716"/>
      <c r="O295" s="168"/>
      <c r="P295" s="219">
        <f t="shared" si="34"/>
        <v>30210</v>
      </c>
      <c r="Q295" s="627">
        <f t="shared" si="35"/>
        <v>28023</v>
      </c>
      <c r="R295" s="699">
        <f t="shared" si="36"/>
        <v>92.76067527308838</v>
      </c>
    </row>
    <row r="296" spans="2:18" ht="12.75">
      <c r="B296" s="174">
        <f t="shared" si="37"/>
        <v>10</v>
      </c>
      <c r="C296" s="165"/>
      <c r="D296" s="166"/>
      <c r="E296" s="166"/>
      <c r="F296" s="166" t="s">
        <v>253</v>
      </c>
      <c r="G296" s="292" t="s">
        <v>311</v>
      </c>
      <c r="H296" s="206">
        <v>1210</v>
      </c>
      <c r="I296" s="206">
        <v>773</v>
      </c>
      <c r="J296" s="697">
        <f t="shared" si="33"/>
        <v>63.88429752066116</v>
      </c>
      <c r="K296" s="168"/>
      <c r="L296" s="238"/>
      <c r="M296" s="238"/>
      <c r="N296" s="716"/>
      <c r="O296" s="168"/>
      <c r="P296" s="219">
        <f t="shared" si="34"/>
        <v>1210</v>
      </c>
      <c r="Q296" s="627">
        <f t="shared" si="35"/>
        <v>773</v>
      </c>
      <c r="R296" s="699">
        <f t="shared" si="36"/>
        <v>63.88429752066116</v>
      </c>
    </row>
    <row r="297" spans="2:18" ht="12.75">
      <c r="B297" s="174">
        <f t="shared" si="37"/>
        <v>11</v>
      </c>
      <c r="C297" s="165"/>
      <c r="D297" s="166"/>
      <c r="E297" s="166"/>
      <c r="F297" s="166" t="s">
        <v>255</v>
      </c>
      <c r="G297" s="292" t="s">
        <v>295</v>
      </c>
      <c r="H297" s="206">
        <f>38435-2000</f>
        <v>36435</v>
      </c>
      <c r="I297" s="206">
        <f>35331-I301</f>
        <v>35097</v>
      </c>
      <c r="J297" s="697">
        <f t="shared" si="33"/>
        <v>96.32770687525732</v>
      </c>
      <c r="K297" s="168"/>
      <c r="L297" s="238"/>
      <c r="M297" s="238"/>
      <c r="N297" s="716"/>
      <c r="O297" s="168"/>
      <c r="P297" s="219">
        <f t="shared" si="34"/>
        <v>36435</v>
      </c>
      <c r="Q297" s="627">
        <f t="shared" si="35"/>
        <v>35097</v>
      </c>
      <c r="R297" s="699">
        <f t="shared" si="36"/>
        <v>96.32770687525732</v>
      </c>
    </row>
    <row r="298" spans="2:18" ht="12.75">
      <c r="B298" s="174">
        <f t="shared" si="37"/>
        <v>12</v>
      </c>
      <c r="C298" s="187"/>
      <c r="D298" s="188"/>
      <c r="E298" s="166" t="s">
        <v>382</v>
      </c>
      <c r="F298" s="188" t="s">
        <v>256</v>
      </c>
      <c r="G298" s="307" t="s">
        <v>381</v>
      </c>
      <c r="H298" s="207">
        <v>166</v>
      </c>
      <c r="I298" s="207">
        <v>166</v>
      </c>
      <c r="J298" s="697">
        <f t="shared" si="33"/>
        <v>100</v>
      </c>
      <c r="K298" s="191"/>
      <c r="L298" s="237"/>
      <c r="M298" s="237"/>
      <c r="N298" s="716"/>
      <c r="O298" s="191"/>
      <c r="P298" s="218">
        <f t="shared" si="34"/>
        <v>166</v>
      </c>
      <c r="Q298" s="374">
        <f t="shared" si="35"/>
        <v>166</v>
      </c>
      <c r="R298" s="699">
        <f t="shared" si="36"/>
        <v>100</v>
      </c>
    </row>
    <row r="299" spans="2:18" ht="12.75">
      <c r="B299" s="174">
        <f t="shared" si="37"/>
        <v>13</v>
      </c>
      <c r="C299" s="187"/>
      <c r="D299" s="188"/>
      <c r="E299" s="166" t="s">
        <v>382</v>
      </c>
      <c r="F299" s="188" t="s">
        <v>256</v>
      </c>
      <c r="G299" s="307" t="s">
        <v>759</v>
      </c>
      <c r="H299" s="207">
        <v>560</v>
      </c>
      <c r="I299" s="207">
        <v>552</v>
      </c>
      <c r="J299" s="697">
        <f t="shared" si="33"/>
        <v>98.57142857142858</v>
      </c>
      <c r="K299" s="191"/>
      <c r="L299" s="237"/>
      <c r="M299" s="237"/>
      <c r="N299" s="716"/>
      <c r="O299" s="191"/>
      <c r="P299" s="218">
        <f t="shared" si="34"/>
        <v>560</v>
      </c>
      <c r="Q299" s="374">
        <f t="shared" si="35"/>
        <v>552</v>
      </c>
      <c r="R299" s="699">
        <f t="shared" si="36"/>
        <v>98.57142857142858</v>
      </c>
    </row>
    <row r="300" spans="2:18" ht="12.75">
      <c r="B300" s="174">
        <f t="shared" si="37"/>
        <v>14</v>
      </c>
      <c r="C300" s="187"/>
      <c r="D300" s="188"/>
      <c r="E300" s="188"/>
      <c r="F300" s="188"/>
      <c r="G300" s="307"/>
      <c r="H300" s="207"/>
      <c r="I300" s="207"/>
      <c r="J300" s="697"/>
      <c r="K300" s="191"/>
      <c r="L300" s="237"/>
      <c r="M300" s="237"/>
      <c r="N300" s="716"/>
      <c r="O300" s="191"/>
      <c r="P300" s="218"/>
      <c r="Q300" s="374">
        <f t="shared" si="35"/>
        <v>0</v>
      </c>
      <c r="R300" s="699"/>
    </row>
    <row r="301" spans="2:18" ht="12.75">
      <c r="B301" s="174">
        <f t="shared" si="37"/>
        <v>15</v>
      </c>
      <c r="C301" s="187"/>
      <c r="D301" s="188"/>
      <c r="E301" s="166" t="s">
        <v>530</v>
      </c>
      <c r="F301" s="188" t="s">
        <v>255</v>
      </c>
      <c r="G301" s="307" t="s">
        <v>383</v>
      </c>
      <c r="H301" s="207">
        <f>2000-1500</f>
        <v>500</v>
      </c>
      <c r="I301" s="207">
        <v>234</v>
      </c>
      <c r="J301" s="697">
        <f>I301/H301*100</f>
        <v>46.800000000000004</v>
      </c>
      <c r="K301" s="191"/>
      <c r="L301" s="237"/>
      <c r="M301" s="237"/>
      <c r="N301" s="716"/>
      <c r="O301" s="191"/>
      <c r="P301" s="218">
        <f>H301+L301</f>
        <v>500</v>
      </c>
      <c r="Q301" s="374">
        <f t="shared" si="35"/>
        <v>234</v>
      </c>
      <c r="R301" s="699">
        <f>Q301/P301*100</f>
        <v>46.800000000000004</v>
      </c>
    </row>
    <row r="302" spans="2:18" ht="12.75">
      <c r="B302" s="174">
        <f t="shared" si="37"/>
        <v>16</v>
      </c>
      <c r="C302" s="187"/>
      <c r="D302" s="188"/>
      <c r="E302" s="166"/>
      <c r="F302" s="188"/>
      <c r="G302" s="307"/>
      <c r="H302" s="207"/>
      <c r="I302" s="207"/>
      <c r="J302" s="697"/>
      <c r="K302" s="191"/>
      <c r="L302" s="237"/>
      <c r="M302" s="237"/>
      <c r="N302" s="716"/>
      <c r="O302" s="191"/>
      <c r="P302" s="218"/>
      <c r="Q302" s="374">
        <f t="shared" si="35"/>
        <v>0</v>
      </c>
      <c r="R302" s="699"/>
    </row>
    <row r="303" spans="2:18" ht="12.75">
      <c r="B303" s="174">
        <f t="shared" si="37"/>
        <v>17</v>
      </c>
      <c r="C303" s="187"/>
      <c r="D303" s="188"/>
      <c r="E303" s="166"/>
      <c r="F303" s="188" t="s">
        <v>681</v>
      </c>
      <c r="G303" s="307" t="s">
        <v>682</v>
      </c>
      <c r="H303" s="207"/>
      <c r="I303" s="207"/>
      <c r="J303" s="697"/>
      <c r="K303" s="191"/>
      <c r="L303" s="237">
        <v>1500</v>
      </c>
      <c r="M303" s="237">
        <v>1500</v>
      </c>
      <c r="N303" s="716">
        <f>M303/L303*100</f>
        <v>100</v>
      </c>
      <c r="O303" s="191"/>
      <c r="P303" s="218">
        <f>L303</f>
        <v>1500</v>
      </c>
      <c r="Q303" s="374">
        <f t="shared" si="35"/>
        <v>1500</v>
      </c>
      <c r="R303" s="699">
        <f>Q303/P303*100</f>
        <v>100</v>
      </c>
    </row>
    <row r="304" spans="2:18" ht="12.75">
      <c r="B304" s="174">
        <f t="shared" si="37"/>
        <v>18</v>
      </c>
      <c r="C304" s="187"/>
      <c r="D304" s="188"/>
      <c r="E304" s="166"/>
      <c r="F304" s="188"/>
      <c r="G304" s="307"/>
      <c r="H304" s="207"/>
      <c r="I304" s="207"/>
      <c r="J304" s="697"/>
      <c r="K304" s="191"/>
      <c r="L304" s="237"/>
      <c r="M304" s="237"/>
      <c r="N304" s="716"/>
      <c r="O304" s="191"/>
      <c r="P304" s="218"/>
      <c r="Q304" s="374">
        <f t="shared" si="35"/>
        <v>0</v>
      </c>
      <c r="R304" s="699"/>
    </row>
    <row r="305" spans="2:18" ht="15.75">
      <c r="B305" s="174">
        <f t="shared" si="37"/>
        <v>19</v>
      </c>
      <c r="C305" s="24">
        <v>2</v>
      </c>
      <c r="D305" s="159" t="s">
        <v>106</v>
      </c>
      <c r="E305" s="25"/>
      <c r="F305" s="25"/>
      <c r="G305" s="293"/>
      <c r="H305" s="233">
        <f>H306+H315</f>
        <v>803795</v>
      </c>
      <c r="I305" s="617">
        <f>I306+I315</f>
        <v>736230</v>
      </c>
      <c r="J305" s="684">
        <f aca="true" t="shared" si="38" ref="J305:J313">I305/H305*100</f>
        <v>91.59424977761743</v>
      </c>
      <c r="K305" s="96"/>
      <c r="L305" s="740">
        <f>SUM(L323:L326)</f>
        <v>1191208</v>
      </c>
      <c r="M305" s="740">
        <f>SUM(M320:M326)</f>
        <v>1189106</v>
      </c>
      <c r="N305" s="684">
        <f>M305/L305*100</f>
        <v>99.82354047320031</v>
      </c>
      <c r="O305" s="126"/>
      <c r="P305" s="373">
        <f aca="true" t="shared" si="39" ref="P305:P313">H305+L305</f>
        <v>1995003</v>
      </c>
      <c r="Q305" s="741">
        <f t="shared" si="35"/>
        <v>1925336</v>
      </c>
      <c r="R305" s="702">
        <f aca="true" t="shared" si="40" ref="R305:R313">Q305/P305*100</f>
        <v>96.50792505073927</v>
      </c>
    </row>
    <row r="306" spans="2:18" ht="12.75">
      <c r="B306" s="174">
        <f t="shared" si="37"/>
        <v>20</v>
      </c>
      <c r="C306" s="165"/>
      <c r="D306" s="165"/>
      <c r="E306" s="170" t="s">
        <v>281</v>
      </c>
      <c r="F306" s="170">
        <v>630</v>
      </c>
      <c r="G306" s="307" t="s">
        <v>297</v>
      </c>
      <c r="H306" s="206">
        <f>SUM(H307:H313)</f>
        <v>787355</v>
      </c>
      <c r="I306" s="206">
        <f>SUM(I307:I313)</f>
        <v>725612</v>
      </c>
      <c r="J306" s="697">
        <f t="shared" si="38"/>
        <v>92.15817515606048</v>
      </c>
      <c r="K306" s="168"/>
      <c r="L306" s="172"/>
      <c r="M306" s="172"/>
      <c r="N306" s="697"/>
      <c r="O306" s="168"/>
      <c r="P306" s="221">
        <f t="shared" si="39"/>
        <v>787355</v>
      </c>
      <c r="Q306" s="628">
        <f t="shared" si="35"/>
        <v>725612</v>
      </c>
      <c r="R306" s="704">
        <f t="shared" si="40"/>
        <v>92.15817515606048</v>
      </c>
    </row>
    <row r="307" spans="2:18" ht="12.75">
      <c r="B307" s="174">
        <f t="shared" si="37"/>
        <v>21</v>
      </c>
      <c r="C307" s="165"/>
      <c r="D307" s="165"/>
      <c r="E307" s="170"/>
      <c r="F307" s="170">
        <v>632</v>
      </c>
      <c r="G307" s="292" t="s">
        <v>280</v>
      </c>
      <c r="H307" s="206">
        <f>268230+108770</f>
        <v>377000</v>
      </c>
      <c r="I307" s="206">
        <f>396235-56142+1+5742</f>
        <v>345836</v>
      </c>
      <c r="J307" s="697">
        <f t="shared" si="38"/>
        <v>91.73368700265252</v>
      </c>
      <c r="K307" s="168"/>
      <c r="L307" s="172"/>
      <c r="M307" s="172"/>
      <c r="N307" s="697"/>
      <c r="O307" s="168"/>
      <c r="P307" s="221">
        <f t="shared" si="39"/>
        <v>377000</v>
      </c>
      <c r="Q307" s="628">
        <f t="shared" si="35"/>
        <v>345836</v>
      </c>
      <c r="R307" s="704">
        <f t="shared" si="40"/>
        <v>91.73368700265252</v>
      </c>
    </row>
    <row r="308" spans="2:18" ht="12.75">
      <c r="B308" s="174">
        <f t="shared" si="37"/>
        <v>22</v>
      </c>
      <c r="C308" s="165"/>
      <c r="D308" s="165"/>
      <c r="E308" s="170"/>
      <c r="F308" s="170">
        <v>635</v>
      </c>
      <c r="G308" s="292" t="s">
        <v>630</v>
      </c>
      <c r="H308" s="206">
        <f>273335-3400-800+15865+10700-1000</f>
        <v>294700</v>
      </c>
      <c r="I308" s="206">
        <v>265178</v>
      </c>
      <c r="J308" s="697">
        <f t="shared" si="38"/>
        <v>89.9823549372243</v>
      </c>
      <c r="K308" s="168"/>
      <c r="L308" s="172"/>
      <c r="M308" s="172"/>
      <c r="N308" s="697"/>
      <c r="O308" s="168"/>
      <c r="P308" s="221">
        <f t="shared" si="39"/>
        <v>294700</v>
      </c>
      <c r="Q308" s="628">
        <f t="shared" si="35"/>
        <v>265178</v>
      </c>
      <c r="R308" s="704">
        <f t="shared" si="40"/>
        <v>89.9823549372243</v>
      </c>
    </row>
    <row r="309" spans="2:18" ht="12.75">
      <c r="B309" s="174">
        <f t="shared" si="37"/>
        <v>23</v>
      </c>
      <c r="C309" s="165"/>
      <c r="D309" s="165"/>
      <c r="E309" s="170"/>
      <c r="F309" s="170">
        <v>635</v>
      </c>
      <c r="G309" s="292" t="s">
        <v>631</v>
      </c>
      <c r="H309" s="206">
        <f>139000-57000-18600</f>
        <v>63400</v>
      </c>
      <c r="I309" s="206">
        <v>63351</v>
      </c>
      <c r="J309" s="697">
        <f t="shared" si="38"/>
        <v>99.92271293375394</v>
      </c>
      <c r="K309" s="168"/>
      <c r="L309" s="172"/>
      <c r="M309" s="172"/>
      <c r="N309" s="697"/>
      <c r="O309" s="168"/>
      <c r="P309" s="221">
        <f t="shared" si="39"/>
        <v>63400</v>
      </c>
      <c r="Q309" s="628">
        <f t="shared" si="35"/>
        <v>63351</v>
      </c>
      <c r="R309" s="704">
        <f t="shared" si="40"/>
        <v>99.92271293375394</v>
      </c>
    </row>
    <row r="310" spans="2:18" ht="12.75">
      <c r="B310" s="174">
        <f t="shared" si="37"/>
        <v>24</v>
      </c>
      <c r="C310" s="165"/>
      <c r="D310" s="165"/>
      <c r="E310" s="170"/>
      <c r="F310" s="170">
        <v>632</v>
      </c>
      <c r="G310" s="292" t="s">
        <v>631</v>
      </c>
      <c r="H310" s="206">
        <f>57000-6600</f>
        <v>50400</v>
      </c>
      <c r="I310" s="206">
        <f>56142-5742</f>
        <v>50400</v>
      </c>
      <c r="J310" s="697">
        <f t="shared" si="38"/>
        <v>100</v>
      </c>
      <c r="K310" s="168"/>
      <c r="L310" s="172"/>
      <c r="M310" s="172"/>
      <c r="N310" s="697"/>
      <c r="O310" s="168"/>
      <c r="P310" s="221">
        <f t="shared" si="39"/>
        <v>50400</v>
      </c>
      <c r="Q310" s="628">
        <f t="shared" si="35"/>
        <v>50400</v>
      </c>
      <c r="R310" s="704">
        <f t="shared" si="40"/>
        <v>100</v>
      </c>
    </row>
    <row r="311" spans="2:18" ht="12.75">
      <c r="B311" s="174">
        <f t="shared" si="37"/>
        <v>25</v>
      </c>
      <c r="C311" s="165"/>
      <c r="D311" s="165"/>
      <c r="E311" s="170"/>
      <c r="F311" s="170">
        <v>636</v>
      </c>
      <c r="G311" s="292" t="s">
        <v>675</v>
      </c>
      <c r="H311" s="206">
        <v>800</v>
      </c>
      <c r="I311" s="206">
        <v>800</v>
      </c>
      <c r="J311" s="697">
        <f t="shared" si="38"/>
        <v>100</v>
      </c>
      <c r="K311" s="168"/>
      <c r="L311" s="172"/>
      <c r="M311" s="172"/>
      <c r="N311" s="697"/>
      <c r="O311" s="168"/>
      <c r="P311" s="221">
        <f t="shared" si="39"/>
        <v>800</v>
      </c>
      <c r="Q311" s="628">
        <f t="shared" si="35"/>
        <v>800</v>
      </c>
      <c r="R311" s="704">
        <f t="shared" si="40"/>
        <v>100</v>
      </c>
    </row>
    <row r="312" spans="2:18" ht="12.75">
      <c r="B312" s="174">
        <f t="shared" si="37"/>
        <v>26</v>
      </c>
      <c r="C312" s="171"/>
      <c r="D312" s="171"/>
      <c r="E312" s="170"/>
      <c r="F312" s="173">
        <v>637</v>
      </c>
      <c r="G312" s="310" t="s">
        <v>632</v>
      </c>
      <c r="H312" s="206">
        <f>1665-1610</f>
        <v>55</v>
      </c>
      <c r="I312" s="206">
        <v>47</v>
      </c>
      <c r="J312" s="697">
        <f t="shared" si="38"/>
        <v>85.45454545454545</v>
      </c>
      <c r="K312" s="168"/>
      <c r="L312" s="172"/>
      <c r="M312" s="172"/>
      <c r="N312" s="697"/>
      <c r="O312" s="168"/>
      <c r="P312" s="221">
        <f t="shared" si="39"/>
        <v>55</v>
      </c>
      <c r="Q312" s="628">
        <f t="shared" si="35"/>
        <v>47</v>
      </c>
      <c r="R312" s="704">
        <f t="shared" si="40"/>
        <v>85.45454545454545</v>
      </c>
    </row>
    <row r="313" spans="2:18" ht="12.75">
      <c r="B313" s="174">
        <f t="shared" si="37"/>
        <v>27</v>
      </c>
      <c r="C313" s="165"/>
      <c r="D313" s="165"/>
      <c r="E313" s="170"/>
      <c r="F313" s="170">
        <v>637</v>
      </c>
      <c r="G313" s="292" t="s">
        <v>769</v>
      </c>
      <c r="H313" s="206">
        <v>1000</v>
      </c>
      <c r="I313" s="206"/>
      <c r="J313" s="697">
        <f t="shared" si="38"/>
        <v>0</v>
      </c>
      <c r="K313" s="168"/>
      <c r="L313" s="172"/>
      <c r="M313" s="172"/>
      <c r="N313" s="697"/>
      <c r="O313" s="168"/>
      <c r="P313" s="221">
        <f t="shared" si="39"/>
        <v>1000</v>
      </c>
      <c r="Q313" s="628">
        <f t="shared" si="35"/>
        <v>0</v>
      </c>
      <c r="R313" s="704">
        <f t="shared" si="40"/>
        <v>0</v>
      </c>
    </row>
    <row r="314" spans="2:18" ht="12.75">
      <c r="B314" s="174">
        <f t="shared" si="37"/>
        <v>28</v>
      </c>
      <c r="C314" s="165"/>
      <c r="D314" s="165"/>
      <c r="E314" s="170"/>
      <c r="F314" s="170"/>
      <c r="G314" s="292"/>
      <c r="H314" s="206"/>
      <c r="I314" s="206"/>
      <c r="J314" s="697"/>
      <c r="K314" s="168"/>
      <c r="L314" s="172"/>
      <c r="M314" s="172"/>
      <c r="N314" s="697"/>
      <c r="O314" s="168"/>
      <c r="P314" s="221"/>
      <c r="Q314" s="628">
        <f t="shared" si="35"/>
        <v>0</v>
      </c>
      <c r="R314" s="704"/>
    </row>
    <row r="315" spans="2:18" ht="12.75">
      <c r="B315" s="174">
        <f t="shared" si="37"/>
        <v>29</v>
      </c>
      <c r="C315" s="165"/>
      <c r="D315" s="165"/>
      <c r="E315" s="170" t="s">
        <v>281</v>
      </c>
      <c r="F315" s="477"/>
      <c r="G315" s="478" t="s">
        <v>574</v>
      </c>
      <c r="H315" s="486">
        <f>H316+H317+H318</f>
        <v>16440</v>
      </c>
      <c r="I315" s="486">
        <f>SUM(I316:I318)</f>
        <v>10618</v>
      </c>
      <c r="J315" s="697">
        <f aca="true" t="shared" si="41" ref="J315:J321">I315/H315*100</f>
        <v>64.58637469586375</v>
      </c>
      <c r="K315" s="480"/>
      <c r="L315" s="487"/>
      <c r="M315" s="487"/>
      <c r="N315" s="697"/>
      <c r="O315" s="480"/>
      <c r="P315" s="578">
        <f aca="true" t="shared" si="42" ref="P315:P321">H315+L315</f>
        <v>16440</v>
      </c>
      <c r="Q315" s="416">
        <f t="shared" si="35"/>
        <v>10618</v>
      </c>
      <c r="R315" s="704">
        <f aca="true" t="shared" si="43" ref="R315:R321">Q315/P315*100</f>
        <v>64.58637469586375</v>
      </c>
    </row>
    <row r="316" spans="2:18" ht="12.75">
      <c r="B316" s="174">
        <f t="shared" si="37"/>
        <v>30</v>
      </c>
      <c r="C316" s="165"/>
      <c r="D316" s="165"/>
      <c r="E316" s="170"/>
      <c r="F316" s="202">
        <v>610</v>
      </c>
      <c r="G316" s="307" t="s">
        <v>307</v>
      </c>
      <c r="H316" s="207">
        <f>4500+200</f>
        <v>4700</v>
      </c>
      <c r="I316" s="207">
        <v>4675</v>
      </c>
      <c r="J316" s="697">
        <f t="shared" si="41"/>
        <v>99.46808510638297</v>
      </c>
      <c r="K316" s="168"/>
      <c r="L316" s="172"/>
      <c r="M316" s="172"/>
      <c r="N316" s="697"/>
      <c r="O316" s="168"/>
      <c r="P316" s="396">
        <f t="shared" si="42"/>
        <v>4700</v>
      </c>
      <c r="Q316" s="416">
        <f t="shared" si="35"/>
        <v>4675</v>
      </c>
      <c r="R316" s="704">
        <f t="shared" si="43"/>
        <v>99.46808510638297</v>
      </c>
    </row>
    <row r="317" spans="2:18" ht="12.75">
      <c r="B317" s="174">
        <f t="shared" si="37"/>
        <v>31</v>
      </c>
      <c r="C317" s="165"/>
      <c r="D317" s="165"/>
      <c r="E317" s="170"/>
      <c r="F317" s="202">
        <v>620</v>
      </c>
      <c r="G317" s="307" t="s">
        <v>309</v>
      </c>
      <c r="H317" s="207">
        <f>1590+70</f>
        <v>1660</v>
      </c>
      <c r="I317" s="207">
        <v>1659</v>
      </c>
      <c r="J317" s="697">
        <f t="shared" si="41"/>
        <v>99.93975903614458</v>
      </c>
      <c r="K317" s="168"/>
      <c r="L317" s="172"/>
      <c r="M317" s="172"/>
      <c r="N317" s="697"/>
      <c r="O317" s="168"/>
      <c r="P317" s="396">
        <f t="shared" si="42"/>
        <v>1660</v>
      </c>
      <c r="Q317" s="416">
        <f t="shared" si="35"/>
        <v>1659</v>
      </c>
      <c r="R317" s="704">
        <f t="shared" si="43"/>
        <v>99.93975903614458</v>
      </c>
    </row>
    <row r="318" spans="2:18" ht="12.75">
      <c r="B318" s="174">
        <f t="shared" si="37"/>
        <v>32</v>
      </c>
      <c r="C318" s="165"/>
      <c r="D318" s="165"/>
      <c r="E318" s="170"/>
      <c r="F318" s="202">
        <v>630</v>
      </c>
      <c r="G318" s="307" t="s">
        <v>297</v>
      </c>
      <c r="H318" s="207">
        <f>SUM(H319:H321)</f>
        <v>10080</v>
      </c>
      <c r="I318" s="207">
        <f>SUM(I319:I321)</f>
        <v>4284</v>
      </c>
      <c r="J318" s="697">
        <f t="shared" si="41"/>
        <v>42.5</v>
      </c>
      <c r="K318" s="168"/>
      <c r="L318" s="172"/>
      <c r="M318" s="172"/>
      <c r="N318" s="697"/>
      <c r="O318" s="168"/>
      <c r="P318" s="396">
        <f t="shared" si="42"/>
        <v>10080</v>
      </c>
      <c r="Q318" s="416">
        <f t="shared" si="35"/>
        <v>4284</v>
      </c>
      <c r="R318" s="704">
        <f t="shared" si="43"/>
        <v>42.5</v>
      </c>
    </row>
    <row r="319" spans="2:18" ht="12.75">
      <c r="B319" s="174">
        <f t="shared" si="37"/>
        <v>33</v>
      </c>
      <c r="C319" s="165"/>
      <c r="D319" s="165"/>
      <c r="E319" s="170"/>
      <c r="F319" s="204">
        <v>633</v>
      </c>
      <c r="G319" s="292" t="s">
        <v>294</v>
      </c>
      <c r="H319" s="206">
        <v>2700</v>
      </c>
      <c r="I319" s="206">
        <v>1701</v>
      </c>
      <c r="J319" s="697">
        <f t="shared" si="41"/>
        <v>63</v>
      </c>
      <c r="K319" s="168"/>
      <c r="L319" s="172"/>
      <c r="M319" s="172"/>
      <c r="N319" s="697"/>
      <c r="O319" s="168"/>
      <c r="P319" s="221">
        <f t="shared" si="42"/>
        <v>2700</v>
      </c>
      <c r="Q319" s="628">
        <f aca="true" t="shared" si="44" ref="Q319:Q340">M319+I319</f>
        <v>1701</v>
      </c>
      <c r="R319" s="704">
        <f t="shared" si="43"/>
        <v>63</v>
      </c>
    </row>
    <row r="320" spans="2:18" ht="12.75">
      <c r="B320" s="174">
        <f aca="true" t="shared" si="45" ref="B320:B340">B319+1</f>
        <v>34</v>
      </c>
      <c r="C320" s="165"/>
      <c r="D320" s="165"/>
      <c r="E320" s="170"/>
      <c r="F320" s="170">
        <v>634</v>
      </c>
      <c r="G320" s="292" t="s">
        <v>310</v>
      </c>
      <c r="H320" s="206">
        <f>1050+400+1000</f>
        <v>2450</v>
      </c>
      <c r="I320" s="206">
        <v>2331</v>
      </c>
      <c r="J320" s="697">
        <f t="shared" si="41"/>
        <v>95.14285714285714</v>
      </c>
      <c r="K320" s="168"/>
      <c r="L320" s="172"/>
      <c r="M320" s="172"/>
      <c r="N320" s="697"/>
      <c r="O320" s="168"/>
      <c r="P320" s="221">
        <f t="shared" si="42"/>
        <v>2450</v>
      </c>
      <c r="Q320" s="628">
        <f t="shared" si="44"/>
        <v>2331</v>
      </c>
      <c r="R320" s="704">
        <f t="shared" si="43"/>
        <v>95.14285714285714</v>
      </c>
    </row>
    <row r="321" spans="2:18" ht="12.75">
      <c r="B321" s="174">
        <f t="shared" si="45"/>
        <v>35</v>
      </c>
      <c r="C321" s="165"/>
      <c r="D321" s="165"/>
      <c r="E321" s="170"/>
      <c r="F321" s="170">
        <v>637</v>
      </c>
      <c r="G321" s="292" t="s">
        <v>295</v>
      </c>
      <c r="H321" s="206">
        <f>7930-3000</f>
        <v>4930</v>
      </c>
      <c r="I321" s="206">
        <v>252</v>
      </c>
      <c r="J321" s="697">
        <f t="shared" si="41"/>
        <v>5.1115618661257605</v>
      </c>
      <c r="K321" s="168"/>
      <c r="L321" s="172"/>
      <c r="M321" s="172"/>
      <c r="N321" s="697"/>
      <c r="O321" s="168"/>
      <c r="P321" s="221">
        <f t="shared" si="42"/>
        <v>4930</v>
      </c>
      <c r="Q321" s="628">
        <f t="shared" si="44"/>
        <v>252</v>
      </c>
      <c r="R321" s="704">
        <f t="shared" si="43"/>
        <v>5.1115618661257605</v>
      </c>
    </row>
    <row r="322" spans="2:18" ht="12.75">
      <c r="B322" s="174">
        <f t="shared" si="45"/>
        <v>36</v>
      </c>
      <c r="C322" s="165"/>
      <c r="D322" s="165"/>
      <c r="E322" s="209"/>
      <c r="F322" s="170"/>
      <c r="G322" s="292"/>
      <c r="H322" s="206"/>
      <c r="I322" s="206"/>
      <c r="J322" s="697"/>
      <c r="K322" s="168"/>
      <c r="L322" s="172"/>
      <c r="M322" s="172"/>
      <c r="N322" s="697"/>
      <c r="O322" s="168"/>
      <c r="P322" s="221"/>
      <c r="Q322" s="628">
        <f t="shared" si="44"/>
        <v>0</v>
      </c>
      <c r="R322" s="704"/>
    </row>
    <row r="323" spans="2:18" ht="12.75">
      <c r="B323" s="174">
        <f t="shared" si="45"/>
        <v>37</v>
      </c>
      <c r="C323" s="165"/>
      <c r="D323" s="165"/>
      <c r="E323" s="170" t="s">
        <v>281</v>
      </c>
      <c r="F323" s="170">
        <v>717</v>
      </c>
      <c r="G323" s="292" t="s">
        <v>606</v>
      </c>
      <c r="H323" s="206"/>
      <c r="I323" s="206"/>
      <c r="J323" s="697"/>
      <c r="K323" s="168"/>
      <c r="L323" s="167">
        <v>1162800</v>
      </c>
      <c r="M323" s="167">
        <v>1162799</v>
      </c>
      <c r="N323" s="720">
        <f>M323/L323*100</f>
        <v>99.999914000688</v>
      </c>
      <c r="O323" s="168"/>
      <c r="P323" s="221">
        <f>H323+L323</f>
        <v>1162800</v>
      </c>
      <c r="Q323" s="628">
        <f t="shared" si="44"/>
        <v>1162799</v>
      </c>
      <c r="R323" s="704">
        <f>Q323/P323*100</f>
        <v>99.999914000688</v>
      </c>
    </row>
    <row r="324" spans="2:18" ht="12.75">
      <c r="B324" s="174">
        <f t="shared" si="45"/>
        <v>38</v>
      </c>
      <c r="C324" s="165"/>
      <c r="D324" s="165"/>
      <c r="E324" s="170" t="s">
        <v>281</v>
      </c>
      <c r="F324" s="170">
        <v>717</v>
      </c>
      <c r="G324" s="292" t="s">
        <v>537</v>
      </c>
      <c r="H324" s="206"/>
      <c r="I324" s="206"/>
      <c r="J324" s="697"/>
      <c r="K324" s="168"/>
      <c r="L324" s="167">
        <v>11984</v>
      </c>
      <c r="M324" s="167">
        <v>11984</v>
      </c>
      <c r="N324" s="720">
        <f>M324/L324*100</f>
        <v>100</v>
      </c>
      <c r="O324" s="168"/>
      <c r="P324" s="327">
        <f>H324+L324</f>
        <v>11984</v>
      </c>
      <c r="Q324" s="629">
        <f t="shared" si="44"/>
        <v>11984</v>
      </c>
      <c r="R324" s="729">
        <f>Q324/P324*100</f>
        <v>100</v>
      </c>
    </row>
    <row r="325" spans="2:18" ht="12.75">
      <c r="B325" s="174">
        <f t="shared" si="45"/>
        <v>39</v>
      </c>
      <c r="C325" s="165"/>
      <c r="D325" s="165"/>
      <c r="E325" s="170" t="s">
        <v>281</v>
      </c>
      <c r="F325" s="170">
        <v>717</v>
      </c>
      <c r="G325" s="292" t="s">
        <v>709</v>
      </c>
      <c r="H325" s="206"/>
      <c r="I325" s="206"/>
      <c r="J325" s="697"/>
      <c r="K325" s="168"/>
      <c r="L325" s="167">
        <v>14324</v>
      </c>
      <c r="M325" s="167">
        <v>14323</v>
      </c>
      <c r="N325" s="720">
        <f>M325/L325*100</f>
        <v>99.99301870985758</v>
      </c>
      <c r="O325" s="168"/>
      <c r="P325" s="327">
        <f>L325</f>
        <v>14324</v>
      </c>
      <c r="Q325" s="629">
        <f t="shared" si="44"/>
        <v>14323</v>
      </c>
      <c r="R325" s="729">
        <f>Q325/P325*100</f>
        <v>99.99301870985758</v>
      </c>
    </row>
    <row r="326" spans="2:18" ht="12.75">
      <c r="B326" s="174">
        <f t="shared" si="45"/>
        <v>40</v>
      </c>
      <c r="C326" s="165"/>
      <c r="D326" s="165"/>
      <c r="E326" s="170" t="s">
        <v>281</v>
      </c>
      <c r="F326" s="170">
        <v>717</v>
      </c>
      <c r="G326" s="292" t="s">
        <v>744</v>
      </c>
      <c r="H326" s="206"/>
      <c r="I326" s="206"/>
      <c r="J326" s="697"/>
      <c r="K326" s="168"/>
      <c r="L326" s="167">
        <v>2100</v>
      </c>
      <c r="M326" s="167"/>
      <c r="N326" s="720">
        <f>M326/L326*100</f>
        <v>0</v>
      </c>
      <c r="O326" s="168"/>
      <c r="P326" s="327">
        <f>L326</f>
        <v>2100</v>
      </c>
      <c r="Q326" s="629">
        <f t="shared" si="44"/>
        <v>0</v>
      </c>
      <c r="R326" s="729">
        <f>Q326/P326*100</f>
        <v>0</v>
      </c>
    </row>
    <row r="327" spans="2:18" ht="12.75">
      <c r="B327" s="174">
        <f t="shared" si="45"/>
        <v>41</v>
      </c>
      <c r="C327" s="165"/>
      <c r="D327" s="165"/>
      <c r="E327" s="170"/>
      <c r="F327" s="170"/>
      <c r="G327" s="292"/>
      <c r="H327" s="206"/>
      <c r="I327" s="206"/>
      <c r="J327" s="697"/>
      <c r="K327" s="168"/>
      <c r="L327" s="167"/>
      <c r="M327" s="167"/>
      <c r="N327" s="720"/>
      <c r="O327" s="168"/>
      <c r="P327" s="327"/>
      <c r="Q327" s="629">
        <f t="shared" si="44"/>
        <v>0</v>
      </c>
      <c r="R327" s="729"/>
    </row>
    <row r="328" spans="2:18" ht="15.75">
      <c r="B328" s="174">
        <f t="shared" si="45"/>
        <v>42</v>
      </c>
      <c r="C328" s="27">
        <v>3</v>
      </c>
      <c r="D328" s="160" t="s">
        <v>150</v>
      </c>
      <c r="E328" s="28"/>
      <c r="F328" s="28"/>
      <c r="G328" s="291"/>
      <c r="H328" s="233">
        <v>5000</v>
      </c>
      <c r="I328" s="617">
        <f>I329</f>
        <v>4359</v>
      </c>
      <c r="J328" s="684">
        <f aca="true" t="shared" si="46" ref="J328:J333">I328/H328*100</f>
        <v>87.18</v>
      </c>
      <c r="K328" s="96"/>
      <c r="L328" s="740">
        <f>L329</f>
        <v>0</v>
      </c>
      <c r="M328" s="740"/>
      <c r="N328" s="684"/>
      <c r="O328" s="96"/>
      <c r="P328" s="328">
        <f aca="true" t="shared" si="47" ref="P328:P333">H328+L328</f>
        <v>5000</v>
      </c>
      <c r="Q328" s="742">
        <f t="shared" si="44"/>
        <v>4359</v>
      </c>
      <c r="R328" s="696">
        <f aca="true" t="shared" si="48" ref="R328:R333">Q328/P328*100</f>
        <v>87.18</v>
      </c>
    </row>
    <row r="329" spans="2:18" ht="12.75">
      <c r="B329" s="174">
        <f t="shared" si="45"/>
        <v>43</v>
      </c>
      <c r="C329" s="165"/>
      <c r="D329" s="165"/>
      <c r="E329" s="170" t="s">
        <v>283</v>
      </c>
      <c r="F329" s="170">
        <v>635</v>
      </c>
      <c r="G329" s="292" t="s">
        <v>284</v>
      </c>
      <c r="H329" s="206">
        <v>5000</v>
      </c>
      <c r="I329" s="206">
        <v>4359</v>
      </c>
      <c r="J329" s="697">
        <f t="shared" si="46"/>
        <v>87.18</v>
      </c>
      <c r="K329" s="168"/>
      <c r="L329" s="172"/>
      <c r="M329" s="172"/>
      <c r="N329" s="697"/>
      <c r="O329" s="168"/>
      <c r="P329" s="221">
        <f t="shared" si="47"/>
        <v>5000</v>
      </c>
      <c r="Q329" s="628">
        <f t="shared" si="44"/>
        <v>4359</v>
      </c>
      <c r="R329" s="704">
        <f t="shared" si="48"/>
        <v>87.18</v>
      </c>
    </row>
    <row r="330" spans="2:18" ht="15.75">
      <c r="B330" s="174">
        <f t="shared" si="45"/>
        <v>44</v>
      </c>
      <c r="C330" s="27">
        <v>4</v>
      </c>
      <c r="D330" s="160" t="s">
        <v>249</v>
      </c>
      <c r="E330" s="28"/>
      <c r="F330" s="28"/>
      <c r="G330" s="291"/>
      <c r="H330" s="233">
        <f>SUM(H331:H333)</f>
        <v>12300</v>
      </c>
      <c r="I330" s="617">
        <f>SUM(I331:I334)</f>
        <v>12064</v>
      </c>
      <c r="J330" s="684">
        <f t="shared" si="46"/>
        <v>98.08130081300813</v>
      </c>
      <c r="K330" s="96"/>
      <c r="L330" s="740">
        <f>SUM(L331:L334)</f>
        <v>0</v>
      </c>
      <c r="M330" s="740"/>
      <c r="N330" s="684"/>
      <c r="O330" s="96"/>
      <c r="P330" s="328">
        <f t="shared" si="47"/>
        <v>12300</v>
      </c>
      <c r="Q330" s="742">
        <f t="shared" si="44"/>
        <v>12064</v>
      </c>
      <c r="R330" s="696">
        <f t="shared" si="48"/>
        <v>98.08130081300813</v>
      </c>
    </row>
    <row r="331" spans="2:18" ht="12.75">
      <c r="B331" s="174">
        <f t="shared" si="45"/>
        <v>45</v>
      </c>
      <c r="C331" s="171"/>
      <c r="D331" s="171"/>
      <c r="E331" s="173" t="s">
        <v>341</v>
      </c>
      <c r="F331" s="173">
        <v>637</v>
      </c>
      <c r="G331" s="310" t="s">
        <v>342</v>
      </c>
      <c r="H331" s="206">
        <f>3100+600</f>
        <v>3700</v>
      </c>
      <c r="I331" s="206">
        <v>3350</v>
      </c>
      <c r="J331" s="697">
        <f t="shared" si="46"/>
        <v>90.54054054054053</v>
      </c>
      <c r="K331" s="168"/>
      <c r="L331" s="172"/>
      <c r="M331" s="172"/>
      <c r="N331" s="697"/>
      <c r="O331" s="168"/>
      <c r="P331" s="221">
        <f t="shared" si="47"/>
        <v>3700</v>
      </c>
      <c r="Q331" s="628">
        <f t="shared" si="44"/>
        <v>3350</v>
      </c>
      <c r="R331" s="704">
        <f t="shared" si="48"/>
        <v>90.54054054054053</v>
      </c>
    </row>
    <row r="332" spans="2:18" ht="12.75">
      <c r="B332" s="174">
        <f t="shared" si="45"/>
        <v>46</v>
      </c>
      <c r="C332" s="165"/>
      <c r="D332" s="165"/>
      <c r="E332" s="173" t="s">
        <v>341</v>
      </c>
      <c r="F332" s="170">
        <v>632</v>
      </c>
      <c r="G332" s="292" t="s">
        <v>343</v>
      </c>
      <c r="H332" s="206">
        <f>5620+1300</f>
        <v>6920</v>
      </c>
      <c r="I332" s="206">
        <v>6214</v>
      </c>
      <c r="J332" s="697">
        <f t="shared" si="46"/>
        <v>89.79768786127168</v>
      </c>
      <c r="K332" s="168"/>
      <c r="L332" s="172"/>
      <c r="M332" s="172"/>
      <c r="N332" s="697"/>
      <c r="O332" s="168"/>
      <c r="P332" s="221">
        <f t="shared" si="47"/>
        <v>6920</v>
      </c>
      <c r="Q332" s="628">
        <f t="shared" si="44"/>
        <v>6214</v>
      </c>
      <c r="R332" s="704">
        <f t="shared" si="48"/>
        <v>89.79768786127168</v>
      </c>
    </row>
    <row r="333" spans="2:18" ht="12.75">
      <c r="B333" s="174">
        <f t="shared" si="45"/>
        <v>47</v>
      </c>
      <c r="C333" s="165"/>
      <c r="D333" s="165"/>
      <c r="E333" s="173" t="s">
        <v>341</v>
      </c>
      <c r="F333" s="170">
        <v>637</v>
      </c>
      <c r="G333" s="292" t="s">
        <v>365</v>
      </c>
      <c r="H333" s="206">
        <v>1680</v>
      </c>
      <c r="I333" s="206">
        <v>2500</v>
      </c>
      <c r="J333" s="697">
        <f t="shared" si="46"/>
        <v>148.80952380952382</v>
      </c>
      <c r="K333" s="168"/>
      <c r="L333" s="172"/>
      <c r="M333" s="172"/>
      <c r="N333" s="697"/>
      <c r="O333" s="168"/>
      <c r="P333" s="221">
        <f t="shared" si="47"/>
        <v>1680</v>
      </c>
      <c r="Q333" s="628">
        <f t="shared" si="44"/>
        <v>2500</v>
      </c>
      <c r="R333" s="704">
        <f t="shared" si="48"/>
        <v>148.80952380952382</v>
      </c>
    </row>
    <row r="334" spans="2:18" ht="12.75">
      <c r="B334" s="174">
        <f t="shared" si="45"/>
        <v>48</v>
      </c>
      <c r="C334" s="165"/>
      <c r="D334" s="209"/>
      <c r="E334" s="173"/>
      <c r="F334" s="170"/>
      <c r="G334" s="292"/>
      <c r="H334" s="206"/>
      <c r="I334" s="206"/>
      <c r="J334" s="697"/>
      <c r="K334" s="168"/>
      <c r="L334" s="172"/>
      <c r="M334" s="172"/>
      <c r="N334" s="697"/>
      <c r="O334" s="168"/>
      <c r="P334" s="221"/>
      <c r="Q334" s="628">
        <f t="shared" si="44"/>
        <v>0</v>
      </c>
      <c r="R334" s="704"/>
    </row>
    <row r="335" spans="2:18" ht="15.75">
      <c r="B335" s="174">
        <f t="shared" si="45"/>
        <v>49</v>
      </c>
      <c r="C335" s="27">
        <v>5</v>
      </c>
      <c r="D335" s="160" t="s">
        <v>104</v>
      </c>
      <c r="E335" s="28"/>
      <c r="F335" s="28"/>
      <c r="G335" s="291"/>
      <c r="H335" s="233">
        <f>SUM(H336:H340)</f>
        <v>18310</v>
      </c>
      <c r="I335" s="617">
        <f>SUM(I336:I340)</f>
        <v>14311</v>
      </c>
      <c r="J335" s="684">
        <f aca="true" t="shared" si="49" ref="J335:J340">I335/H335*100</f>
        <v>78.15947569634079</v>
      </c>
      <c r="K335" s="96"/>
      <c r="L335" s="740">
        <f>L336</f>
        <v>0</v>
      </c>
      <c r="M335" s="740"/>
      <c r="N335" s="684"/>
      <c r="O335" s="96"/>
      <c r="P335" s="328">
        <f aca="true" t="shared" si="50" ref="P335:P340">H335+L335</f>
        <v>18310</v>
      </c>
      <c r="Q335" s="742">
        <f t="shared" si="44"/>
        <v>14311</v>
      </c>
      <c r="R335" s="696">
        <f aca="true" t="shared" si="51" ref="R335:R340">Q335/P335*100</f>
        <v>78.15947569634079</v>
      </c>
    </row>
    <row r="336" spans="2:18" ht="12.75">
      <c r="B336" s="174">
        <f t="shared" si="45"/>
        <v>50</v>
      </c>
      <c r="C336" s="171"/>
      <c r="D336" s="171"/>
      <c r="E336" s="173" t="s">
        <v>331</v>
      </c>
      <c r="F336" s="173">
        <v>640</v>
      </c>
      <c r="G336" s="310" t="s">
        <v>332</v>
      </c>
      <c r="H336" s="206">
        <v>6550</v>
      </c>
      <c r="I336" s="206">
        <v>6500</v>
      </c>
      <c r="J336" s="697">
        <f t="shared" si="49"/>
        <v>99.23664122137404</v>
      </c>
      <c r="K336" s="168"/>
      <c r="L336" s="172"/>
      <c r="M336" s="172"/>
      <c r="N336" s="697"/>
      <c r="O336" s="168"/>
      <c r="P336" s="221">
        <f t="shared" si="50"/>
        <v>6550</v>
      </c>
      <c r="Q336" s="628">
        <f t="shared" si="44"/>
        <v>6500</v>
      </c>
      <c r="R336" s="704">
        <f t="shared" si="51"/>
        <v>99.23664122137404</v>
      </c>
    </row>
    <row r="337" spans="2:18" ht="12.75">
      <c r="B337" s="174">
        <f t="shared" si="45"/>
        <v>51</v>
      </c>
      <c r="C337" s="165"/>
      <c r="D337" s="165"/>
      <c r="E337" s="173" t="s">
        <v>331</v>
      </c>
      <c r="F337" s="170">
        <v>620</v>
      </c>
      <c r="G337" s="292" t="s">
        <v>309</v>
      </c>
      <c r="H337" s="206">
        <v>20</v>
      </c>
      <c r="I337" s="206">
        <v>14</v>
      </c>
      <c r="J337" s="697">
        <f t="shared" si="49"/>
        <v>70</v>
      </c>
      <c r="K337" s="168"/>
      <c r="L337" s="172"/>
      <c r="M337" s="172"/>
      <c r="N337" s="697"/>
      <c r="O337" s="168"/>
      <c r="P337" s="221">
        <f t="shared" si="50"/>
        <v>20</v>
      </c>
      <c r="Q337" s="628">
        <f t="shared" si="44"/>
        <v>14</v>
      </c>
      <c r="R337" s="704">
        <f t="shared" si="51"/>
        <v>70</v>
      </c>
    </row>
    <row r="338" spans="2:18" ht="12.75">
      <c r="B338" s="174">
        <f t="shared" si="45"/>
        <v>52</v>
      </c>
      <c r="C338" s="165"/>
      <c r="D338" s="165"/>
      <c r="E338" s="173" t="s">
        <v>331</v>
      </c>
      <c r="F338" s="170">
        <v>637</v>
      </c>
      <c r="G338" s="292" t="s">
        <v>523</v>
      </c>
      <c r="H338" s="206">
        <f>9000-20+8400-8000</f>
        <v>9380</v>
      </c>
      <c r="I338" s="206">
        <f>2711+1809+1000</f>
        <v>5520</v>
      </c>
      <c r="J338" s="697">
        <f t="shared" si="49"/>
        <v>58.84861407249466</v>
      </c>
      <c r="K338" s="168"/>
      <c r="L338" s="172"/>
      <c r="M338" s="172"/>
      <c r="N338" s="697"/>
      <c r="O338" s="168"/>
      <c r="P338" s="221">
        <f t="shared" si="50"/>
        <v>9380</v>
      </c>
      <c r="Q338" s="628">
        <f t="shared" si="44"/>
        <v>5520</v>
      </c>
      <c r="R338" s="704">
        <f t="shared" si="51"/>
        <v>58.84861407249466</v>
      </c>
    </row>
    <row r="339" spans="2:18" ht="12.75">
      <c r="B339" s="174">
        <f t="shared" si="45"/>
        <v>53</v>
      </c>
      <c r="C339" s="171"/>
      <c r="D339" s="171"/>
      <c r="E339" s="173" t="s">
        <v>331</v>
      </c>
      <c r="F339" s="173">
        <v>634</v>
      </c>
      <c r="G339" s="310" t="s">
        <v>679</v>
      </c>
      <c r="H339" s="247">
        <f>360+240</f>
        <v>600</v>
      </c>
      <c r="I339" s="247">
        <v>595</v>
      </c>
      <c r="J339" s="716">
        <f t="shared" si="49"/>
        <v>99.16666666666667</v>
      </c>
      <c r="K339" s="168"/>
      <c r="L339" s="238"/>
      <c r="M339" s="238"/>
      <c r="N339" s="716"/>
      <c r="O339" s="168"/>
      <c r="P339" s="221">
        <f t="shared" si="50"/>
        <v>600</v>
      </c>
      <c r="Q339" s="628">
        <f t="shared" si="44"/>
        <v>595</v>
      </c>
      <c r="R339" s="704">
        <f t="shared" si="51"/>
        <v>99.16666666666667</v>
      </c>
    </row>
    <row r="340" spans="2:18" ht="13.5" thickBot="1">
      <c r="B340" s="544">
        <f t="shared" si="45"/>
        <v>54</v>
      </c>
      <c r="C340" s="178"/>
      <c r="D340" s="178"/>
      <c r="E340" s="179" t="s">
        <v>331</v>
      </c>
      <c r="F340" s="179">
        <v>637</v>
      </c>
      <c r="G340" s="308" t="s">
        <v>278</v>
      </c>
      <c r="H340" s="212">
        <f>450-360+1670</f>
        <v>1760</v>
      </c>
      <c r="I340" s="212">
        <v>1682</v>
      </c>
      <c r="J340" s="714">
        <f t="shared" si="49"/>
        <v>95.56818181818181</v>
      </c>
      <c r="K340" s="180"/>
      <c r="L340" s="184"/>
      <c r="M340" s="184"/>
      <c r="N340" s="714"/>
      <c r="O340" s="180"/>
      <c r="P340" s="329">
        <f t="shared" si="50"/>
        <v>1760</v>
      </c>
      <c r="Q340" s="630">
        <f t="shared" si="44"/>
        <v>1682</v>
      </c>
      <c r="R340" s="730">
        <f t="shared" si="51"/>
        <v>95.56818181818181</v>
      </c>
    </row>
    <row r="377" spans="2:16" ht="27.75" thickBot="1">
      <c r="B377" s="379" t="s">
        <v>260</v>
      </c>
      <c r="C377" s="379"/>
      <c r="D377" s="379"/>
      <c r="E377" s="379"/>
      <c r="F377" s="379"/>
      <c r="G377" s="379"/>
      <c r="H377" s="379"/>
      <c r="I377" s="379"/>
      <c r="J377" s="689"/>
      <c r="K377" s="379"/>
      <c r="L377" s="379"/>
      <c r="M377" s="379"/>
      <c r="N377" s="688"/>
      <c r="O377" s="379"/>
      <c r="P377" s="379"/>
    </row>
    <row r="378" spans="2:18" ht="13.5" thickBot="1">
      <c r="B378" s="1037" t="s">
        <v>236</v>
      </c>
      <c r="C378" s="1038"/>
      <c r="D378" s="1038"/>
      <c r="E378" s="1038"/>
      <c r="F378" s="1038"/>
      <c r="G378" s="1038"/>
      <c r="H378" s="1038"/>
      <c r="I378" s="1038"/>
      <c r="J378" s="1038"/>
      <c r="K378" s="1038"/>
      <c r="L378" s="1038"/>
      <c r="M378" s="592"/>
      <c r="N378" s="736"/>
      <c r="O378" s="151"/>
      <c r="P378" s="1052" t="s">
        <v>627</v>
      </c>
      <c r="Q378" s="1040" t="s">
        <v>772</v>
      </c>
      <c r="R378" s="1047" t="s">
        <v>774</v>
      </c>
    </row>
    <row r="379" spans="2:18" ht="21.75" customHeight="1">
      <c r="B379" s="26"/>
      <c r="C379" s="1043" t="s">
        <v>613</v>
      </c>
      <c r="D379" s="1045" t="s">
        <v>612</v>
      </c>
      <c r="E379" s="1045" t="s">
        <v>610</v>
      </c>
      <c r="F379" s="1045" t="s">
        <v>611</v>
      </c>
      <c r="G379" s="288" t="s">
        <v>4</v>
      </c>
      <c r="H379" s="1027" t="s">
        <v>662</v>
      </c>
      <c r="I379" s="1033" t="s">
        <v>772</v>
      </c>
      <c r="J379" s="1035" t="s">
        <v>774</v>
      </c>
      <c r="K379" s="86"/>
      <c r="L379" s="1062" t="s">
        <v>663</v>
      </c>
      <c r="M379" s="1033" t="s">
        <v>772</v>
      </c>
      <c r="N379" s="1035" t="s">
        <v>774</v>
      </c>
      <c r="O379" s="86"/>
      <c r="P379" s="1053"/>
      <c r="Q379" s="1041"/>
      <c r="R379" s="1048"/>
    </row>
    <row r="380" spans="2:18" ht="32.25" customHeight="1" thickBot="1">
      <c r="B380" s="29"/>
      <c r="C380" s="1044"/>
      <c r="D380" s="1044"/>
      <c r="E380" s="1044"/>
      <c r="F380" s="1044"/>
      <c r="G380" s="289"/>
      <c r="H380" s="1029"/>
      <c r="I380" s="1034"/>
      <c r="J380" s="1046"/>
      <c r="K380" s="86"/>
      <c r="L380" s="1063"/>
      <c r="M380" s="1034"/>
      <c r="N380" s="1046"/>
      <c r="O380" s="86"/>
      <c r="P380" s="1054"/>
      <c r="Q380" s="1042"/>
      <c r="R380" s="1049"/>
    </row>
    <row r="381" spans="2:18" ht="19.5" thickBot="1" thickTop="1">
      <c r="B381" s="174">
        <v>1</v>
      </c>
      <c r="C381" s="158" t="s">
        <v>261</v>
      </c>
      <c r="D381" s="125"/>
      <c r="E381" s="125"/>
      <c r="F381" s="125"/>
      <c r="G381" s="290"/>
      <c r="H381" s="225">
        <f>H382+H385+H391</f>
        <v>3600271</v>
      </c>
      <c r="I381" s="593">
        <f>I382+I385+I391</f>
        <v>3566444</v>
      </c>
      <c r="J381" s="690">
        <f aca="true" t="shared" si="52" ref="J381:J390">I381/H381*100</f>
        <v>99.0604318397143</v>
      </c>
      <c r="K381" s="127"/>
      <c r="L381" s="632">
        <f>L382+L385+L391</f>
        <v>345291</v>
      </c>
      <c r="M381" s="593">
        <f>M382+M385+M391</f>
        <v>335129</v>
      </c>
      <c r="N381" s="690">
        <f>M381/L381*100</f>
        <v>97.05697513112128</v>
      </c>
      <c r="O381" s="127"/>
      <c r="P381" s="691">
        <f aca="true" t="shared" si="53" ref="P381:P397">H381+L381</f>
        <v>3945562</v>
      </c>
      <c r="Q381" s="692">
        <f aca="true" t="shared" si="54" ref="Q381:Q397">M381+I381</f>
        <v>3901573</v>
      </c>
      <c r="R381" s="693">
        <f aca="true" t="shared" si="55" ref="R381:R397">Q381/P381*100</f>
        <v>98.8851017928498</v>
      </c>
    </row>
    <row r="382" spans="2:18" ht="16.5" thickTop="1">
      <c r="B382" s="174">
        <f aca="true" t="shared" si="56" ref="B382:B397">B381+1</f>
        <v>2</v>
      </c>
      <c r="C382" s="27">
        <v>1</v>
      </c>
      <c r="D382" s="160" t="s">
        <v>172</v>
      </c>
      <c r="E382" s="28"/>
      <c r="F382" s="28"/>
      <c r="G382" s="291"/>
      <c r="H382" s="367">
        <f>H383+H384</f>
        <v>2686050</v>
      </c>
      <c r="I382" s="695">
        <f>I383+I384</f>
        <v>2686048</v>
      </c>
      <c r="J382" s="683">
        <f t="shared" si="52"/>
        <v>99.99992554122224</v>
      </c>
      <c r="K382" s="96"/>
      <c r="L382" s="633"/>
      <c r="M382" s="695"/>
      <c r="N382" s="603"/>
      <c r="O382" s="96"/>
      <c r="P382" s="299">
        <f t="shared" si="53"/>
        <v>2686050</v>
      </c>
      <c r="Q382" s="608">
        <f t="shared" si="54"/>
        <v>2686048</v>
      </c>
      <c r="R382" s="696">
        <f t="shared" si="55"/>
        <v>99.99992554122224</v>
      </c>
    </row>
    <row r="383" spans="2:18" ht="12.75">
      <c r="B383" s="174">
        <f t="shared" si="56"/>
        <v>3</v>
      </c>
      <c r="C383" s="165"/>
      <c r="D383" s="166"/>
      <c r="E383" s="166" t="s">
        <v>275</v>
      </c>
      <c r="F383" s="166" t="s">
        <v>255</v>
      </c>
      <c r="G383" s="292" t="s">
        <v>287</v>
      </c>
      <c r="H383" s="206">
        <f>1100000-51950</f>
        <v>1048050</v>
      </c>
      <c r="I383" s="206">
        <v>1048048</v>
      </c>
      <c r="J383" s="743">
        <f t="shared" si="52"/>
        <v>99.99980916940986</v>
      </c>
      <c r="K383" s="168"/>
      <c r="L383" s="634"/>
      <c r="M383" s="238"/>
      <c r="N383" s="645"/>
      <c r="O383" s="168"/>
      <c r="P383" s="175">
        <f t="shared" si="53"/>
        <v>1048050</v>
      </c>
      <c r="Q383" s="175">
        <f t="shared" si="54"/>
        <v>1048048</v>
      </c>
      <c r="R383" s="699">
        <f t="shared" si="55"/>
        <v>99.99980916940986</v>
      </c>
    </row>
    <row r="384" spans="2:18" ht="12.75">
      <c r="B384" s="174">
        <f t="shared" si="56"/>
        <v>4</v>
      </c>
      <c r="C384" s="165"/>
      <c r="D384" s="166"/>
      <c r="E384" s="166" t="s">
        <v>275</v>
      </c>
      <c r="F384" s="166" t="s">
        <v>255</v>
      </c>
      <c r="G384" s="292" t="s">
        <v>288</v>
      </c>
      <c r="H384" s="206">
        <f>1680000-42000</f>
        <v>1638000</v>
      </c>
      <c r="I384" s="206">
        <v>1638000</v>
      </c>
      <c r="J384" s="743">
        <f t="shared" si="52"/>
        <v>100</v>
      </c>
      <c r="K384" s="168"/>
      <c r="L384" s="634"/>
      <c r="M384" s="238"/>
      <c r="N384" s="645"/>
      <c r="O384" s="168"/>
      <c r="P384" s="175">
        <f t="shared" si="53"/>
        <v>1638000</v>
      </c>
      <c r="Q384" s="175">
        <f t="shared" si="54"/>
        <v>1638000</v>
      </c>
      <c r="R384" s="699">
        <f t="shared" si="55"/>
        <v>100</v>
      </c>
    </row>
    <row r="385" spans="2:18" ht="15.75">
      <c r="B385" s="174">
        <f t="shared" si="56"/>
        <v>5</v>
      </c>
      <c r="C385" s="24">
        <v>2</v>
      </c>
      <c r="D385" s="159" t="s">
        <v>258</v>
      </c>
      <c r="E385" s="25"/>
      <c r="F385" s="25"/>
      <c r="G385" s="293"/>
      <c r="H385" s="233">
        <f>SUM(H386:H390)</f>
        <v>914221</v>
      </c>
      <c r="I385" s="617">
        <f>SUM(I386:I390)</f>
        <v>880396</v>
      </c>
      <c r="J385" s="744">
        <f t="shared" si="52"/>
        <v>96.30012874348762</v>
      </c>
      <c r="K385" s="96"/>
      <c r="L385" s="635"/>
      <c r="M385" s="643"/>
      <c r="N385" s="745"/>
      <c r="O385" s="126"/>
      <c r="P385" s="300">
        <f t="shared" si="53"/>
        <v>914221</v>
      </c>
      <c r="Q385" s="609">
        <f t="shared" si="54"/>
        <v>880396</v>
      </c>
      <c r="R385" s="702">
        <f t="shared" si="55"/>
        <v>96.30012874348762</v>
      </c>
    </row>
    <row r="386" spans="2:18" ht="12.75">
      <c r="B386" s="174">
        <f t="shared" si="56"/>
        <v>6</v>
      </c>
      <c r="C386" s="165"/>
      <c r="D386" s="165"/>
      <c r="E386" s="170" t="s">
        <v>275</v>
      </c>
      <c r="F386" s="170">
        <v>635</v>
      </c>
      <c r="G386" s="292" t="s">
        <v>654</v>
      </c>
      <c r="H386" s="206">
        <f>184800+100000+135000+120000+15000+10000-2000</f>
        <v>562800</v>
      </c>
      <c r="I386" s="206">
        <v>530448</v>
      </c>
      <c r="J386" s="743">
        <f t="shared" si="52"/>
        <v>94.25159914712154</v>
      </c>
      <c r="K386" s="168"/>
      <c r="L386" s="636"/>
      <c r="M386" s="172"/>
      <c r="N386" s="646"/>
      <c r="O386" s="168"/>
      <c r="P386" s="176">
        <f t="shared" si="53"/>
        <v>562800</v>
      </c>
      <c r="Q386" s="176">
        <f t="shared" si="54"/>
        <v>530448</v>
      </c>
      <c r="R386" s="704">
        <f t="shared" si="55"/>
        <v>94.25159914712154</v>
      </c>
    </row>
    <row r="387" spans="2:18" ht="12.75">
      <c r="B387" s="174">
        <f t="shared" si="56"/>
        <v>7</v>
      </c>
      <c r="C387" s="165"/>
      <c r="D387" s="165"/>
      <c r="E387" s="170" t="s">
        <v>275</v>
      </c>
      <c r="F387" s="170">
        <v>635</v>
      </c>
      <c r="G387" s="292" t="s">
        <v>575</v>
      </c>
      <c r="H387" s="206">
        <f>100000-15000</f>
        <v>85000</v>
      </c>
      <c r="I387" s="206">
        <v>83675</v>
      </c>
      <c r="J387" s="743">
        <f t="shared" si="52"/>
        <v>98.44117647058823</v>
      </c>
      <c r="K387" s="168"/>
      <c r="L387" s="636"/>
      <c r="M387" s="172"/>
      <c r="N387" s="646"/>
      <c r="O387" s="168"/>
      <c r="P387" s="176">
        <f t="shared" si="53"/>
        <v>85000</v>
      </c>
      <c r="Q387" s="176">
        <f t="shared" si="54"/>
        <v>83675</v>
      </c>
      <c r="R387" s="704">
        <f t="shared" si="55"/>
        <v>98.44117647058823</v>
      </c>
    </row>
    <row r="388" spans="2:18" ht="12.75">
      <c r="B388" s="174">
        <f t="shared" si="56"/>
        <v>8</v>
      </c>
      <c r="C388" s="165"/>
      <c r="D388" s="165"/>
      <c r="E388" s="170" t="s">
        <v>275</v>
      </c>
      <c r="F388" s="170">
        <v>635</v>
      </c>
      <c r="G388" s="292" t="s">
        <v>324</v>
      </c>
      <c r="H388" s="206">
        <v>200200</v>
      </c>
      <c r="I388" s="206">
        <v>200219</v>
      </c>
      <c r="J388" s="743">
        <f t="shared" si="52"/>
        <v>100.0094905094905</v>
      </c>
      <c r="K388" s="168"/>
      <c r="L388" s="636"/>
      <c r="M388" s="172"/>
      <c r="N388" s="646"/>
      <c r="O388" s="168"/>
      <c r="P388" s="176">
        <f t="shared" si="53"/>
        <v>200200</v>
      </c>
      <c r="Q388" s="176">
        <f t="shared" si="54"/>
        <v>200219</v>
      </c>
      <c r="R388" s="704">
        <f t="shared" si="55"/>
        <v>100.0094905094905</v>
      </c>
    </row>
    <row r="389" spans="2:18" ht="12.75">
      <c r="B389" s="174">
        <f t="shared" si="56"/>
        <v>9</v>
      </c>
      <c r="C389" s="165"/>
      <c r="D389" s="209"/>
      <c r="E389" s="170" t="s">
        <v>275</v>
      </c>
      <c r="F389" s="173">
        <v>635</v>
      </c>
      <c r="G389" s="292" t="s">
        <v>323</v>
      </c>
      <c r="H389" s="206">
        <f>180000-115779</f>
        <v>64221</v>
      </c>
      <c r="I389" s="206">
        <v>64221</v>
      </c>
      <c r="J389" s="743">
        <f t="shared" si="52"/>
        <v>100</v>
      </c>
      <c r="K389" s="168"/>
      <c r="L389" s="637"/>
      <c r="M389" s="167"/>
      <c r="N389" s="582"/>
      <c r="O389" s="168"/>
      <c r="P389" s="210">
        <f t="shared" si="53"/>
        <v>64221</v>
      </c>
      <c r="Q389" s="210">
        <f t="shared" si="54"/>
        <v>64221</v>
      </c>
      <c r="R389" s="729">
        <f t="shared" si="55"/>
        <v>100</v>
      </c>
    </row>
    <row r="390" spans="2:18" ht="12.75">
      <c r="B390" s="174">
        <f t="shared" si="56"/>
        <v>10</v>
      </c>
      <c r="C390" s="165"/>
      <c r="D390" s="209"/>
      <c r="E390" s="170" t="s">
        <v>275</v>
      </c>
      <c r="F390" s="173">
        <v>637</v>
      </c>
      <c r="G390" s="292" t="s">
        <v>767</v>
      </c>
      <c r="H390" s="206">
        <v>2000</v>
      </c>
      <c r="I390" s="206">
        <v>1833</v>
      </c>
      <c r="J390" s="743">
        <f t="shared" si="52"/>
        <v>91.64999999999999</v>
      </c>
      <c r="K390" s="168"/>
      <c r="L390" s="637"/>
      <c r="M390" s="167"/>
      <c r="N390" s="582"/>
      <c r="O390" s="168"/>
      <c r="P390" s="210">
        <f t="shared" si="53"/>
        <v>2000</v>
      </c>
      <c r="Q390" s="210">
        <f t="shared" si="54"/>
        <v>1833</v>
      </c>
      <c r="R390" s="729">
        <f t="shared" si="55"/>
        <v>91.64999999999999</v>
      </c>
    </row>
    <row r="391" spans="2:18" ht="15.75">
      <c r="B391" s="174">
        <f t="shared" si="56"/>
        <v>11</v>
      </c>
      <c r="C391" s="27">
        <v>3</v>
      </c>
      <c r="D391" s="160" t="s">
        <v>259</v>
      </c>
      <c r="E391" s="28"/>
      <c r="F391" s="28"/>
      <c r="G391" s="291"/>
      <c r="H391" s="233">
        <v>0</v>
      </c>
      <c r="I391" s="617"/>
      <c r="J391" s="746"/>
      <c r="K391" s="96"/>
      <c r="L391" s="638">
        <f>SUM(L392:L397)</f>
        <v>345291</v>
      </c>
      <c r="M391" s="644">
        <f>SUM(M392:M397)</f>
        <v>335129</v>
      </c>
      <c r="N391" s="747">
        <f aca="true" t="shared" si="57" ref="N391:N397">M391/L391*100</f>
        <v>97.05697513112128</v>
      </c>
      <c r="O391" s="96"/>
      <c r="P391" s="299">
        <f t="shared" si="53"/>
        <v>345291</v>
      </c>
      <c r="Q391" s="608">
        <f t="shared" si="54"/>
        <v>335129</v>
      </c>
      <c r="R391" s="696">
        <f t="shared" si="55"/>
        <v>97.05697513112128</v>
      </c>
    </row>
    <row r="392" spans="2:18" ht="12.75">
      <c r="B392" s="174">
        <f t="shared" si="56"/>
        <v>12</v>
      </c>
      <c r="C392" s="165"/>
      <c r="D392" s="165"/>
      <c r="E392" s="170" t="s">
        <v>275</v>
      </c>
      <c r="F392" s="170">
        <v>717</v>
      </c>
      <c r="G392" s="292" t="s">
        <v>540</v>
      </c>
      <c r="H392" s="206"/>
      <c r="I392" s="206"/>
      <c r="J392" s="620"/>
      <c r="K392" s="168"/>
      <c r="L392" s="636">
        <f>15059+48015+10557</f>
        <v>73631</v>
      </c>
      <c r="M392" s="172">
        <v>73631</v>
      </c>
      <c r="N392" s="748">
        <f t="shared" si="57"/>
        <v>100</v>
      </c>
      <c r="O392" s="168"/>
      <c r="P392" s="176">
        <f t="shared" si="53"/>
        <v>73631</v>
      </c>
      <c r="Q392" s="176">
        <f t="shared" si="54"/>
        <v>73631</v>
      </c>
      <c r="R392" s="704">
        <f t="shared" si="55"/>
        <v>100</v>
      </c>
    </row>
    <row r="393" spans="2:18" ht="12.75">
      <c r="B393" s="174">
        <f t="shared" si="56"/>
        <v>13</v>
      </c>
      <c r="C393" s="165"/>
      <c r="D393" s="165"/>
      <c r="E393" s="170" t="s">
        <v>275</v>
      </c>
      <c r="F393" s="170">
        <v>716</v>
      </c>
      <c r="G393" s="292" t="s">
        <v>540</v>
      </c>
      <c r="H393" s="206"/>
      <c r="I393" s="206"/>
      <c r="J393" s="620"/>
      <c r="K393" s="195"/>
      <c r="L393" s="636">
        <v>6877</v>
      </c>
      <c r="M393" s="172">
        <v>6877</v>
      </c>
      <c r="N393" s="749">
        <f t="shared" si="57"/>
        <v>100</v>
      </c>
      <c r="O393" s="195"/>
      <c r="P393" s="176">
        <f t="shared" si="53"/>
        <v>6877</v>
      </c>
      <c r="Q393" s="176">
        <f t="shared" si="54"/>
        <v>6877</v>
      </c>
      <c r="R393" s="704">
        <f t="shared" si="55"/>
        <v>100</v>
      </c>
    </row>
    <row r="394" spans="2:18" ht="12.75">
      <c r="B394" s="174">
        <f t="shared" si="56"/>
        <v>14</v>
      </c>
      <c r="C394" s="165"/>
      <c r="D394" s="165"/>
      <c r="E394" s="170" t="s">
        <v>275</v>
      </c>
      <c r="F394" s="170">
        <v>717</v>
      </c>
      <c r="G394" s="292" t="s">
        <v>666</v>
      </c>
      <c r="H394" s="211"/>
      <c r="I394" s="211"/>
      <c r="J394" s="621"/>
      <c r="K394" s="168"/>
      <c r="L394" s="637">
        <f>100000-9600+49340+100000-217-20000+5000</f>
        <v>224523</v>
      </c>
      <c r="M394" s="167">
        <v>221523</v>
      </c>
      <c r="N394" s="750">
        <f t="shared" si="57"/>
        <v>98.66383399473551</v>
      </c>
      <c r="O394" s="168"/>
      <c r="P394" s="210">
        <f t="shared" si="53"/>
        <v>224523</v>
      </c>
      <c r="Q394" s="210">
        <f t="shared" si="54"/>
        <v>221523</v>
      </c>
      <c r="R394" s="729">
        <f t="shared" si="55"/>
        <v>98.66383399473551</v>
      </c>
    </row>
    <row r="395" spans="2:18" ht="12.75">
      <c r="B395" s="174">
        <f t="shared" si="56"/>
        <v>15</v>
      </c>
      <c r="C395" s="245"/>
      <c r="D395" s="245"/>
      <c r="E395" s="246" t="s">
        <v>275</v>
      </c>
      <c r="F395" s="246">
        <v>716</v>
      </c>
      <c r="G395" s="344" t="s">
        <v>666</v>
      </c>
      <c r="H395" s="506"/>
      <c r="I395" s="506"/>
      <c r="J395" s="642"/>
      <c r="K395" s="168"/>
      <c r="L395" s="639">
        <v>9600</v>
      </c>
      <c r="M395" s="641">
        <v>9360</v>
      </c>
      <c r="N395" s="751">
        <f t="shared" si="57"/>
        <v>97.5</v>
      </c>
      <c r="O395" s="168"/>
      <c r="P395" s="523">
        <f t="shared" si="53"/>
        <v>9600</v>
      </c>
      <c r="Q395" s="523">
        <f t="shared" si="54"/>
        <v>9360</v>
      </c>
      <c r="R395" s="724">
        <f t="shared" si="55"/>
        <v>97.5</v>
      </c>
    </row>
    <row r="396" spans="2:18" ht="12.75">
      <c r="B396" s="174">
        <f t="shared" si="56"/>
        <v>16</v>
      </c>
      <c r="C396" s="171"/>
      <c r="D396" s="171"/>
      <c r="E396" s="173" t="s">
        <v>275</v>
      </c>
      <c r="F396" s="173">
        <v>716</v>
      </c>
      <c r="G396" s="310" t="s">
        <v>694</v>
      </c>
      <c r="H396" s="206"/>
      <c r="I396" s="206"/>
      <c r="J396" s="620"/>
      <c r="K396" s="248"/>
      <c r="L396" s="636">
        <f>1500+700</f>
        <v>2200</v>
      </c>
      <c r="M396" s="172">
        <v>2185</v>
      </c>
      <c r="N396" s="749">
        <f t="shared" si="57"/>
        <v>99.31818181818181</v>
      </c>
      <c r="O396" s="248"/>
      <c r="P396" s="176">
        <f t="shared" si="53"/>
        <v>2200</v>
      </c>
      <c r="Q396" s="176">
        <f t="shared" si="54"/>
        <v>2185</v>
      </c>
      <c r="R396" s="704">
        <f t="shared" si="55"/>
        <v>99.31818181818181</v>
      </c>
    </row>
    <row r="397" spans="2:18" ht="13.5" thickBot="1">
      <c r="B397" s="174">
        <f t="shared" si="56"/>
        <v>17</v>
      </c>
      <c r="C397" s="508"/>
      <c r="D397" s="508"/>
      <c r="E397" s="321" t="s">
        <v>275</v>
      </c>
      <c r="F397" s="321">
        <v>717</v>
      </c>
      <c r="G397" s="509" t="s">
        <v>667</v>
      </c>
      <c r="H397" s="212"/>
      <c r="I397" s="212"/>
      <c r="J397" s="622"/>
      <c r="K397" s="510"/>
      <c r="L397" s="640">
        <f>100000-15000-49340-1500-5000-700</f>
        <v>28460</v>
      </c>
      <c r="M397" s="184">
        <v>21553</v>
      </c>
      <c r="N397" s="752">
        <f t="shared" si="57"/>
        <v>75.73085031623332</v>
      </c>
      <c r="O397" s="510"/>
      <c r="P397" s="181">
        <f t="shared" si="53"/>
        <v>28460</v>
      </c>
      <c r="Q397" s="181">
        <f t="shared" si="54"/>
        <v>21553</v>
      </c>
      <c r="R397" s="730">
        <f t="shared" si="55"/>
        <v>75.73085031623332</v>
      </c>
    </row>
    <row r="424" spans="2:16" ht="27.75" thickBot="1">
      <c r="B424" s="1058" t="s">
        <v>272</v>
      </c>
      <c r="C424" s="1058"/>
      <c r="D424" s="1058"/>
      <c r="E424" s="1058"/>
      <c r="F424" s="1058"/>
      <c r="G424" s="1058"/>
      <c r="H424" s="1058"/>
      <c r="I424" s="1058"/>
      <c r="J424" s="1058"/>
      <c r="K424" s="1058"/>
      <c r="L424" s="1058"/>
      <c r="M424" s="687"/>
      <c r="N424" s="753"/>
      <c r="O424" s="380"/>
      <c r="P424" s="380"/>
    </row>
    <row r="425" spans="2:18" ht="20.25" customHeight="1" thickBot="1">
      <c r="B425" s="1059" t="s">
        <v>236</v>
      </c>
      <c r="C425" s="1060"/>
      <c r="D425" s="1060"/>
      <c r="E425" s="1060"/>
      <c r="F425" s="1060"/>
      <c r="G425" s="1060"/>
      <c r="H425" s="1060"/>
      <c r="I425" s="1060"/>
      <c r="J425" s="1060"/>
      <c r="K425" s="1060"/>
      <c r="L425" s="1060"/>
      <c r="M425" s="1060"/>
      <c r="N425" s="1061"/>
      <c r="O425" s="151"/>
      <c r="P425" s="1052" t="s">
        <v>627</v>
      </c>
      <c r="Q425" s="1040" t="s">
        <v>772</v>
      </c>
      <c r="R425" s="1047" t="s">
        <v>774</v>
      </c>
    </row>
    <row r="426" spans="2:18" ht="21.75" customHeight="1">
      <c r="B426" s="665"/>
      <c r="C426" s="1045" t="s">
        <v>613</v>
      </c>
      <c r="D426" s="1045" t="s">
        <v>612</v>
      </c>
      <c r="E426" s="1045" t="s">
        <v>610</v>
      </c>
      <c r="F426" s="1045" t="s">
        <v>611</v>
      </c>
      <c r="G426" s="288" t="s">
        <v>4</v>
      </c>
      <c r="H426" s="1027" t="s">
        <v>662</v>
      </c>
      <c r="I426" s="1033" t="s">
        <v>772</v>
      </c>
      <c r="J426" s="1035" t="s">
        <v>774</v>
      </c>
      <c r="K426" s="86"/>
      <c r="L426" s="1050" t="s">
        <v>663</v>
      </c>
      <c r="M426" s="1033" t="s">
        <v>772</v>
      </c>
      <c r="N426" s="1035" t="s">
        <v>774</v>
      </c>
      <c r="O426" s="86"/>
      <c r="P426" s="1053"/>
      <c r="Q426" s="1041"/>
      <c r="R426" s="1048"/>
    </row>
    <row r="427" spans="2:18" ht="29.25" customHeight="1" thickBot="1">
      <c r="B427" s="29"/>
      <c r="C427" s="1044"/>
      <c r="D427" s="1044"/>
      <c r="E427" s="1044"/>
      <c r="F427" s="1044"/>
      <c r="G427" s="289"/>
      <c r="H427" s="1029"/>
      <c r="I427" s="1034"/>
      <c r="J427" s="1046"/>
      <c r="K427" s="86"/>
      <c r="L427" s="1051"/>
      <c r="M427" s="1034"/>
      <c r="N427" s="1046"/>
      <c r="O427" s="86"/>
      <c r="P427" s="1054"/>
      <c r="Q427" s="1042"/>
      <c r="R427" s="1049"/>
    </row>
    <row r="428" spans="2:18" ht="19.5" thickBot="1" thickTop="1">
      <c r="B428" s="224">
        <v>1</v>
      </c>
      <c r="C428" s="158" t="s">
        <v>273</v>
      </c>
      <c r="D428" s="125"/>
      <c r="E428" s="125"/>
      <c r="F428" s="125"/>
      <c r="G428" s="290"/>
      <c r="H428" s="225">
        <f>H429+H579+H729+H843+H1010</f>
        <v>10562429</v>
      </c>
      <c r="I428" s="593">
        <f>I429+I579+I729+I843+I1010</f>
        <v>10842353</v>
      </c>
      <c r="J428" s="690">
        <f aca="true" t="shared" si="58" ref="J428:J459">I428/H428*100</f>
        <v>102.65018586160437</v>
      </c>
      <c r="K428" s="127"/>
      <c r="L428" s="632">
        <f>L429+L579+L729+L843+L1010</f>
        <v>135807.25</v>
      </c>
      <c r="M428" s="754">
        <f>M429+M579+M729+M843+M1010</f>
        <v>135769</v>
      </c>
      <c r="N428" s="737">
        <f>M428/L428*100</f>
        <v>99.97183508244221</v>
      </c>
      <c r="O428" s="127"/>
      <c r="P428" s="423">
        <f aca="true" t="shared" si="59" ref="P428:P459">H428+L428</f>
        <v>10698236.25</v>
      </c>
      <c r="Q428" s="692">
        <f aca="true" t="shared" si="60" ref="Q428:Q459">M428+I428</f>
        <v>10978122</v>
      </c>
      <c r="R428" s="693">
        <f aca="true" t="shared" si="61" ref="R428:R459">Q428/P428*100</f>
        <v>102.61618591569241</v>
      </c>
    </row>
    <row r="429" spans="2:18" ht="16.5" thickTop="1">
      <c r="B429" s="224">
        <f aca="true" t="shared" si="62" ref="B429:B460">B428+1</f>
        <v>2</v>
      </c>
      <c r="C429" s="27">
        <v>1</v>
      </c>
      <c r="D429" s="160" t="s">
        <v>113</v>
      </c>
      <c r="E429" s="28"/>
      <c r="F429" s="28"/>
      <c r="G429" s="291"/>
      <c r="H429" s="367">
        <f>H430+H438+H446+H455+H463+H471+H479+H489+H498+H507+H517+H526+H535+H543+H551+H560+H572+H573+H574</f>
        <v>2407942</v>
      </c>
      <c r="I429" s="695">
        <f>I430+I438+I446+I455+I463+I471+I479+I489+I498+I507+I517+I526+I535+I543+I551+I560+I572+I573+I574+I570</f>
        <v>2428369</v>
      </c>
      <c r="J429" s="683">
        <f t="shared" si="58"/>
        <v>100.84831777509591</v>
      </c>
      <c r="K429" s="96"/>
      <c r="L429" s="638">
        <f>L576+L577</f>
        <v>38688.75</v>
      </c>
      <c r="M429" s="695">
        <f>M576+M577</f>
        <v>38689</v>
      </c>
      <c r="N429" s="683">
        <f>M429/L429*100</f>
        <v>100.00064618267584</v>
      </c>
      <c r="O429" s="96"/>
      <c r="P429" s="299">
        <f t="shared" si="59"/>
        <v>2446630.75</v>
      </c>
      <c r="Q429" s="608">
        <f t="shared" si="60"/>
        <v>2467058</v>
      </c>
      <c r="R429" s="696">
        <f t="shared" si="61"/>
        <v>100.83491348255147</v>
      </c>
    </row>
    <row r="430" spans="2:18" ht="15">
      <c r="B430" s="224">
        <f t="shared" si="62"/>
        <v>3</v>
      </c>
      <c r="C430" s="165"/>
      <c r="D430" s="34" t="s">
        <v>5</v>
      </c>
      <c r="E430" s="239" t="s">
        <v>358</v>
      </c>
      <c r="F430" s="194" t="s">
        <v>427</v>
      </c>
      <c r="G430" s="366"/>
      <c r="H430" s="232">
        <f>H431+H432+H433+H437</f>
        <v>114170</v>
      </c>
      <c r="I430" s="232">
        <f>I431+I432+I433+I437</f>
        <v>108902</v>
      </c>
      <c r="J430" s="697">
        <f t="shared" si="58"/>
        <v>95.3858281510029</v>
      </c>
      <c r="K430" s="23"/>
      <c r="L430" s="755"/>
      <c r="M430" s="756"/>
      <c r="N430" s="716"/>
      <c r="O430" s="23"/>
      <c r="P430" s="220">
        <f t="shared" si="59"/>
        <v>114170</v>
      </c>
      <c r="Q430" s="220">
        <f t="shared" si="60"/>
        <v>108902</v>
      </c>
      <c r="R430" s="699">
        <f t="shared" si="61"/>
        <v>95.3858281510029</v>
      </c>
    </row>
    <row r="431" spans="2:18" ht="12.75">
      <c r="B431" s="224">
        <f t="shared" si="62"/>
        <v>4</v>
      </c>
      <c r="C431" s="187"/>
      <c r="D431" s="188"/>
      <c r="E431" s="166"/>
      <c r="F431" s="188" t="s">
        <v>250</v>
      </c>
      <c r="G431" s="307" t="s">
        <v>291</v>
      </c>
      <c r="H431" s="207">
        <v>64300</v>
      </c>
      <c r="I431" s="207">
        <v>62409</v>
      </c>
      <c r="J431" s="697">
        <f t="shared" si="58"/>
        <v>97.05909797822706</v>
      </c>
      <c r="K431" s="191"/>
      <c r="L431" s="757"/>
      <c r="M431" s="237"/>
      <c r="N431" s="716"/>
      <c r="O431" s="191"/>
      <c r="P431" s="218">
        <f t="shared" si="59"/>
        <v>64300</v>
      </c>
      <c r="Q431" s="218">
        <f t="shared" si="60"/>
        <v>62409</v>
      </c>
      <c r="R431" s="699">
        <f t="shared" si="61"/>
        <v>97.05909797822706</v>
      </c>
    </row>
    <row r="432" spans="2:18" ht="12.75">
      <c r="B432" s="224">
        <f t="shared" si="62"/>
        <v>5</v>
      </c>
      <c r="C432" s="187"/>
      <c r="D432" s="188"/>
      <c r="E432" s="166"/>
      <c r="F432" s="188" t="s">
        <v>251</v>
      </c>
      <c r="G432" s="307" t="s">
        <v>292</v>
      </c>
      <c r="H432" s="207">
        <f>23144-730</f>
        <v>22414</v>
      </c>
      <c r="I432" s="207">
        <v>22927</v>
      </c>
      <c r="J432" s="697">
        <f t="shared" si="58"/>
        <v>102.28874810386365</v>
      </c>
      <c r="K432" s="191"/>
      <c r="L432" s="757"/>
      <c r="M432" s="237"/>
      <c r="N432" s="716"/>
      <c r="O432" s="191"/>
      <c r="P432" s="218">
        <f t="shared" si="59"/>
        <v>22414</v>
      </c>
      <c r="Q432" s="218">
        <f t="shared" si="60"/>
        <v>22927</v>
      </c>
      <c r="R432" s="699">
        <f t="shared" si="61"/>
        <v>102.28874810386365</v>
      </c>
    </row>
    <row r="433" spans="2:18" ht="12.75">
      <c r="B433" s="224">
        <f t="shared" si="62"/>
        <v>6</v>
      </c>
      <c r="C433" s="187"/>
      <c r="D433" s="188"/>
      <c r="E433" s="166"/>
      <c r="F433" s="188" t="s">
        <v>257</v>
      </c>
      <c r="G433" s="307" t="s">
        <v>428</v>
      </c>
      <c r="H433" s="207">
        <f>H434+H435+H436</f>
        <v>27295</v>
      </c>
      <c r="I433" s="207">
        <f>SUM(I434:I436)</f>
        <v>23405</v>
      </c>
      <c r="J433" s="697">
        <f t="shared" si="58"/>
        <v>85.74830555046712</v>
      </c>
      <c r="K433" s="191"/>
      <c r="L433" s="757"/>
      <c r="M433" s="237"/>
      <c r="N433" s="716"/>
      <c r="O433" s="191"/>
      <c r="P433" s="218">
        <f t="shared" si="59"/>
        <v>27295</v>
      </c>
      <c r="Q433" s="218">
        <f t="shared" si="60"/>
        <v>23405</v>
      </c>
      <c r="R433" s="699">
        <f t="shared" si="61"/>
        <v>85.74830555046712</v>
      </c>
    </row>
    <row r="434" spans="2:18" ht="12.75">
      <c r="B434" s="224">
        <f t="shared" si="62"/>
        <v>7</v>
      </c>
      <c r="C434" s="165"/>
      <c r="D434" s="166"/>
      <c r="E434" s="166"/>
      <c r="F434" s="166" t="s">
        <v>237</v>
      </c>
      <c r="G434" s="292" t="s">
        <v>398</v>
      </c>
      <c r="H434" s="206">
        <f>22161+2029</f>
        <v>24190</v>
      </c>
      <c r="I434" s="206">
        <v>20010</v>
      </c>
      <c r="J434" s="697">
        <f t="shared" si="58"/>
        <v>82.72013228606863</v>
      </c>
      <c r="K434" s="168"/>
      <c r="L434" s="634"/>
      <c r="M434" s="238"/>
      <c r="N434" s="716"/>
      <c r="O434" s="168"/>
      <c r="P434" s="219">
        <f t="shared" si="59"/>
        <v>24190</v>
      </c>
      <c r="Q434" s="219">
        <f t="shared" si="60"/>
        <v>20010</v>
      </c>
      <c r="R434" s="699">
        <f t="shared" si="61"/>
        <v>82.72013228606863</v>
      </c>
    </row>
    <row r="435" spans="2:18" ht="12.75">
      <c r="B435" s="224">
        <f t="shared" si="62"/>
        <v>8</v>
      </c>
      <c r="C435" s="165"/>
      <c r="D435" s="166"/>
      <c r="E435" s="166"/>
      <c r="F435" s="166" t="s">
        <v>238</v>
      </c>
      <c r="G435" s="292" t="s">
        <v>294</v>
      </c>
      <c r="H435" s="206">
        <f>1249+103</f>
        <v>1352</v>
      </c>
      <c r="I435" s="206">
        <v>1415</v>
      </c>
      <c r="J435" s="697">
        <f t="shared" si="58"/>
        <v>104.65976331360946</v>
      </c>
      <c r="K435" s="168"/>
      <c r="L435" s="634"/>
      <c r="M435" s="238"/>
      <c r="N435" s="716"/>
      <c r="O435" s="168"/>
      <c r="P435" s="219">
        <f t="shared" si="59"/>
        <v>1352</v>
      </c>
      <c r="Q435" s="219">
        <f t="shared" si="60"/>
        <v>1415</v>
      </c>
      <c r="R435" s="699">
        <f t="shared" si="61"/>
        <v>104.65976331360946</v>
      </c>
    </row>
    <row r="436" spans="2:18" ht="12.75">
      <c r="B436" s="224">
        <f t="shared" si="62"/>
        <v>9</v>
      </c>
      <c r="C436" s="165"/>
      <c r="D436" s="166"/>
      <c r="E436" s="166"/>
      <c r="F436" s="166" t="s">
        <v>255</v>
      </c>
      <c r="G436" s="292" t="s">
        <v>295</v>
      </c>
      <c r="H436" s="206">
        <f>1740+13</f>
        <v>1753</v>
      </c>
      <c r="I436" s="206">
        <v>1980</v>
      </c>
      <c r="J436" s="697">
        <f t="shared" si="58"/>
        <v>112.94922989161438</v>
      </c>
      <c r="K436" s="168"/>
      <c r="L436" s="634"/>
      <c r="M436" s="238"/>
      <c r="N436" s="716"/>
      <c r="O436" s="168"/>
      <c r="P436" s="219">
        <f t="shared" si="59"/>
        <v>1753</v>
      </c>
      <c r="Q436" s="219">
        <f t="shared" si="60"/>
        <v>1980</v>
      </c>
      <c r="R436" s="699">
        <f t="shared" si="61"/>
        <v>112.94922989161438</v>
      </c>
    </row>
    <row r="437" spans="2:18" ht="12.75">
      <c r="B437" s="224">
        <f t="shared" si="62"/>
        <v>10</v>
      </c>
      <c r="C437" s="165"/>
      <c r="D437" s="166"/>
      <c r="E437" s="222"/>
      <c r="F437" s="426" t="s">
        <v>256</v>
      </c>
      <c r="G437" s="307" t="s">
        <v>464</v>
      </c>
      <c r="H437" s="207">
        <f>100+61</f>
        <v>161</v>
      </c>
      <c r="I437" s="207">
        <v>161</v>
      </c>
      <c r="J437" s="697">
        <f t="shared" si="58"/>
        <v>100</v>
      </c>
      <c r="K437" s="191"/>
      <c r="L437" s="757"/>
      <c r="M437" s="237"/>
      <c r="N437" s="716"/>
      <c r="O437" s="191"/>
      <c r="P437" s="218">
        <f t="shared" si="59"/>
        <v>161</v>
      </c>
      <c r="Q437" s="218">
        <f t="shared" si="60"/>
        <v>161</v>
      </c>
      <c r="R437" s="699">
        <f t="shared" si="61"/>
        <v>100</v>
      </c>
    </row>
    <row r="438" spans="2:18" ht="15">
      <c r="B438" s="224">
        <f t="shared" si="62"/>
        <v>11</v>
      </c>
      <c r="C438" s="165"/>
      <c r="D438" s="34" t="s">
        <v>6</v>
      </c>
      <c r="E438" s="239" t="s">
        <v>358</v>
      </c>
      <c r="F438" s="194" t="s">
        <v>429</v>
      </c>
      <c r="G438" s="366"/>
      <c r="H438" s="232">
        <f>H439+H440+H441+H445</f>
        <v>150725</v>
      </c>
      <c r="I438" s="232">
        <f>I439+I440+I441+I445</f>
        <v>155208</v>
      </c>
      <c r="J438" s="697">
        <f t="shared" si="58"/>
        <v>102.97429092718527</v>
      </c>
      <c r="K438" s="23"/>
      <c r="L438" s="755"/>
      <c r="M438" s="756"/>
      <c r="N438" s="716"/>
      <c r="O438" s="23"/>
      <c r="P438" s="220">
        <f t="shared" si="59"/>
        <v>150725</v>
      </c>
      <c r="Q438" s="220">
        <f t="shared" si="60"/>
        <v>155208</v>
      </c>
      <c r="R438" s="699">
        <f t="shared" si="61"/>
        <v>102.97429092718527</v>
      </c>
    </row>
    <row r="439" spans="2:18" ht="12.75">
      <c r="B439" s="224">
        <f t="shared" si="62"/>
        <v>12</v>
      </c>
      <c r="C439" s="187"/>
      <c r="D439" s="188"/>
      <c r="E439" s="166"/>
      <c r="F439" s="188" t="s">
        <v>250</v>
      </c>
      <c r="G439" s="307" t="s">
        <v>291</v>
      </c>
      <c r="H439" s="207">
        <v>86532</v>
      </c>
      <c r="I439" s="207">
        <v>88465</v>
      </c>
      <c r="J439" s="697">
        <f t="shared" si="58"/>
        <v>102.23385568344658</v>
      </c>
      <c r="K439" s="191"/>
      <c r="L439" s="757"/>
      <c r="M439" s="237"/>
      <c r="N439" s="716"/>
      <c r="O439" s="191"/>
      <c r="P439" s="218">
        <f t="shared" si="59"/>
        <v>86532</v>
      </c>
      <c r="Q439" s="218">
        <f t="shared" si="60"/>
        <v>88465</v>
      </c>
      <c r="R439" s="699">
        <f t="shared" si="61"/>
        <v>102.23385568344658</v>
      </c>
    </row>
    <row r="440" spans="2:18" ht="12.75">
      <c r="B440" s="224">
        <f t="shared" si="62"/>
        <v>13</v>
      </c>
      <c r="C440" s="187"/>
      <c r="D440" s="188"/>
      <c r="E440" s="166"/>
      <c r="F440" s="188" t="s">
        <v>251</v>
      </c>
      <c r="G440" s="307" t="s">
        <v>292</v>
      </c>
      <c r="H440" s="207">
        <f>32285-2075</f>
        <v>30210</v>
      </c>
      <c r="I440" s="207">
        <v>32170</v>
      </c>
      <c r="J440" s="697">
        <f t="shared" si="58"/>
        <v>106.48791790797749</v>
      </c>
      <c r="K440" s="191"/>
      <c r="L440" s="757"/>
      <c r="M440" s="237"/>
      <c r="N440" s="716"/>
      <c r="O440" s="191"/>
      <c r="P440" s="218">
        <f t="shared" si="59"/>
        <v>30210</v>
      </c>
      <c r="Q440" s="218">
        <f t="shared" si="60"/>
        <v>32170</v>
      </c>
      <c r="R440" s="699">
        <f t="shared" si="61"/>
        <v>106.48791790797749</v>
      </c>
    </row>
    <row r="441" spans="2:18" ht="12.75">
      <c r="B441" s="224">
        <f t="shared" si="62"/>
        <v>14</v>
      </c>
      <c r="C441" s="187"/>
      <c r="D441" s="188"/>
      <c r="E441" s="166"/>
      <c r="F441" s="188" t="s">
        <v>257</v>
      </c>
      <c r="G441" s="307" t="s">
        <v>428</v>
      </c>
      <c r="H441" s="207">
        <f>H442+H443+H444</f>
        <v>31016</v>
      </c>
      <c r="I441" s="207">
        <f>SUM(I442:I444)</f>
        <v>31641</v>
      </c>
      <c r="J441" s="697">
        <f t="shared" si="58"/>
        <v>102.01508898632963</v>
      </c>
      <c r="K441" s="191"/>
      <c r="L441" s="757"/>
      <c r="M441" s="237"/>
      <c r="N441" s="716"/>
      <c r="O441" s="191"/>
      <c r="P441" s="218">
        <f t="shared" si="59"/>
        <v>31016</v>
      </c>
      <c r="Q441" s="218">
        <f t="shared" si="60"/>
        <v>31641</v>
      </c>
      <c r="R441" s="699">
        <f t="shared" si="61"/>
        <v>102.01508898632963</v>
      </c>
    </row>
    <row r="442" spans="2:18" ht="12.75">
      <c r="B442" s="224">
        <f t="shared" si="62"/>
        <v>15</v>
      </c>
      <c r="C442" s="165"/>
      <c r="D442" s="166"/>
      <c r="E442" s="166"/>
      <c r="F442" s="166" t="s">
        <v>237</v>
      </c>
      <c r="G442" s="292" t="s">
        <v>398</v>
      </c>
      <c r="H442" s="206">
        <f>25605+911</f>
        <v>26516</v>
      </c>
      <c r="I442" s="206">
        <v>27052</v>
      </c>
      <c r="J442" s="697">
        <f t="shared" si="58"/>
        <v>102.0214210288128</v>
      </c>
      <c r="K442" s="168"/>
      <c r="L442" s="634"/>
      <c r="M442" s="238"/>
      <c r="N442" s="716"/>
      <c r="O442" s="168"/>
      <c r="P442" s="219">
        <f t="shared" si="59"/>
        <v>26516</v>
      </c>
      <c r="Q442" s="219">
        <f t="shared" si="60"/>
        <v>27052</v>
      </c>
      <c r="R442" s="699">
        <f t="shared" si="61"/>
        <v>102.0214210288128</v>
      </c>
    </row>
    <row r="443" spans="2:18" ht="12.75">
      <c r="B443" s="224">
        <f t="shared" si="62"/>
        <v>16</v>
      </c>
      <c r="C443" s="165"/>
      <c r="D443" s="166"/>
      <c r="E443" s="166"/>
      <c r="F443" s="166" t="s">
        <v>238</v>
      </c>
      <c r="G443" s="292" t="s">
        <v>294</v>
      </c>
      <c r="H443" s="206">
        <f>1515+215</f>
        <v>1730</v>
      </c>
      <c r="I443" s="206">
        <v>1784</v>
      </c>
      <c r="J443" s="697">
        <f t="shared" si="58"/>
        <v>103.12138728323698</v>
      </c>
      <c r="K443" s="168"/>
      <c r="L443" s="634"/>
      <c r="M443" s="238"/>
      <c r="N443" s="716"/>
      <c r="O443" s="168"/>
      <c r="P443" s="219">
        <f t="shared" si="59"/>
        <v>1730</v>
      </c>
      <c r="Q443" s="219">
        <f t="shared" si="60"/>
        <v>1784</v>
      </c>
      <c r="R443" s="699">
        <f t="shared" si="61"/>
        <v>103.12138728323698</v>
      </c>
    </row>
    <row r="444" spans="2:18" ht="12.75">
      <c r="B444" s="224">
        <f t="shared" si="62"/>
        <v>17</v>
      </c>
      <c r="C444" s="187"/>
      <c r="D444" s="166"/>
      <c r="E444" s="166"/>
      <c r="F444" s="166" t="s">
        <v>255</v>
      </c>
      <c r="G444" s="292" t="s">
        <v>295</v>
      </c>
      <c r="H444" s="206">
        <f>2850-80</f>
        <v>2770</v>
      </c>
      <c r="I444" s="206">
        <v>2805</v>
      </c>
      <c r="J444" s="697">
        <f t="shared" si="58"/>
        <v>101.26353790613717</v>
      </c>
      <c r="K444" s="191"/>
      <c r="L444" s="634"/>
      <c r="M444" s="238"/>
      <c r="N444" s="716"/>
      <c r="O444" s="191"/>
      <c r="P444" s="219">
        <f t="shared" si="59"/>
        <v>2770</v>
      </c>
      <c r="Q444" s="219">
        <f t="shared" si="60"/>
        <v>2805</v>
      </c>
      <c r="R444" s="699">
        <f t="shared" si="61"/>
        <v>101.26353790613717</v>
      </c>
    </row>
    <row r="445" spans="2:18" ht="12.75">
      <c r="B445" s="224">
        <f t="shared" si="62"/>
        <v>18</v>
      </c>
      <c r="C445" s="187"/>
      <c r="D445" s="166"/>
      <c r="E445" s="222"/>
      <c r="F445" s="426" t="s">
        <v>256</v>
      </c>
      <c r="G445" s="307" t="s">
        <v>464</v>
      </c>
      <c r="H445" s="207">
        <f>2932+35</f>
        <v>2967</v>
      </c>
      <c r="I445" s="207">
        <v>2932</v>
      </c>
      <c r="J445" s="697">
        <f t="shared" si="58"/>
        <v>98.82035726322886</v>
      </c>
      <c r="K445" s="191"/>
      <c r="L445" s="757"/>
      <c r="M445" s="237"/>
      <c r="N445" s="716"/>
      <c r="O445" s="191"/>
      <c r="P445" s="218">
        <f t="shared" si="59"/>
        <v>2967</v>
      </c>
      <c r="Q445" s="218">
        <f t="shared" si="60"/>
        <v>2932</v>
      </c>
      <c r="R445" s="699">
        <f t="shared" si="61"/>
        <v>98.82035726322886</v>
      </c>
    </row>
    <row r="446" spans="2:18" ht="15">
      <c r="B446" s="224">
        <f t="shared" si="62"/>
        <v>19</v>
      </c>
      <c r="C446" s="187"/>
      <c r="D446" s="34" t="s">
        <v>7</v>
      </c>
      <c r="E446" s="239" t="s">
        <v>358</v>
      </c>
      <c r="F446" s="194" t="s">
        <v>430</v>
      </c>
      <c r="G446" s="366"/>
      <c r="H446" s="394">
        <f>H447+H448+H449+H454</f>
        <v>109805</v>
      </c>
      <c r="I446" s="394">
        <f>I447+I448+I449+I454</f>
        <v>110566</v>
      </c>
      <c r="J446" s="697">
        <f t="shared" si="58"/>
        <v>100.69304676471928</v>
      </c>
      <c r="K446" s="191"/>
      <c r="L446" s="758"/>
      <c r="M446" s="759"/>
      <c r="N446" s="716"/>
      <c r="O446" s="191"/>
      <c r="P446" s="395">
        <f t="shared" si="59"/>
        <v>109805</v>
      </c>
      <c r="Q446" s="395">
        <f t="shared" si="60"/>
        <v>110566</v>
      </c>
      <c r="R446" s="699">
        <f t="shared" si="61"/>
        <v>100.69304676471928</v>
      </c>
    </row>
    <row r="447" spans="2:18" ht="12.75">
      <c r="B447" s="224">
        <f t="shared" si="62"/>
        <v>20</v>
      </c>
      <c r="C447" s="187"/>
      <c r="D447" s="188"/>
      <c r="E447" s="188"/>
      <c r="F447" s="188" t="s">
        <v>250</v>
      </c>
      <c r="G447" s="307" t="s">
        <v>291</v>
      </c>
      <c r="H447" s="207">
        <v>64202</v>
      </c>
      <c r="I447" s="207">
        <v>63170</v>
      </c>
      <c r="J447" s="697">
        <f t="shared" si="58"/>
        <v>98.39257344007974</v>
      </c>
      <c r="K447" s="191"/>
      <c r="L447" s="634"/>
      <c r="M447" s="238"/>
      <c r="N447" s="716"/>
      <c r="O447" s="191"/>
      <c r="P447" s="219">
        <f t="shared" si="59"/>
        <v>64202</v>
      </c>
      <c r="Q447" s="219">
        <f t="shared" si="60"/>
        <v>63170</v>
      </c>
      <c r="R447" s="699">
        <f t="shared" si="61"/>
        <v>98.39257344007974</v>
      </c>
    </row>
    <row r="448" spans="2:18" ht="12.75">
      <c r="B448" s="224">
        <f t="shared" si="62"/>
        <v>21</v>
      </c>
      <c r="C448" s="187"/>
      <c r="D448" s="188"/>
      <c r="E448" s="188"/>
      <c r="F448" s="188" t="s">
        <v>251</v>
      </c>
      <c r="G448" s="307" t="s">
        <v>292</v>
      </c>
      <c r="H448" s="207">
        <f>24000-1641</f>
        <v>22359</v>
      </c>
      <c r="I448" s="207">
        <v>23344</v>
      </c>
      <c r="J448" s="697">
        <f t="shared" si="58"/>
        <v>104.40538485621002</v>
      </c>
      <c r="K448" s="191"/>
      <c r="L448" s="634"/>
      <c r="M448" s="238"/>
      <c r="N448" s="716"/>
      <c r="O448" s="191"/>
      <c r="P448" s="219">
        <f t="shared" si="59"/>
        <v>22359</v>
      </c>
      <c r="Q448" s="219">
        <f t="shared" si="60"/>
        <v>23344</v>
      </c>
      <c r="R448" s="699">
        <f t="shared" si="61"/>
        <v>104.40538485621002</v>
      </c>
    </row>
    <row r="449" spans="2:18" ht="12.75">
      <c r="B449" s="224">
        <f t="shared" si="62"/>
        <v>22</v>
      </c>
      <c r="C449" s="187"/>
      <c r="D449" s="188"/>
      <c r="E449" s="188"/>
      <c r="F449" s="188" t="s">
        <v>257</v>
      </c>
      <c r="G449" s="307" t="s">
        <v>428</v>
      </c>
      <c r="H449" s="207">
        <f>H450+H451+H452+H453</f>
        <v>21354</v>
      </c>
      <c r="I449" s="207">
        <f>SUM(I450:I453)</f>
        <v>22162</v>
      </c>
      <c r="J449" s="697">
        <f t="shared" si="58"/>
        <v>103.78383441041493</v>
      </c>
      <c r="K449" s="191"/>
      <c r="L449" s="634"/>
      <c r="M449" s="238"/>
      <c r="N449" s="716"/>
      <c r="O449" s="191"/>
      <c r="P449" s="219">
        <f t="shared" si="59"/>
        <v>21354</v>
      </c>
      <c r="Q449" s="219">
        <f t="shared" si="60"/>
        <v>22162</v>
      </c>
      <c r="R449" s="699">
        <f t="shared" si="61"/>
        <v>103.78383441041493</v>
      </c>
    </row>
    <row r="450" spans="2:18" ht="12.75">
      <c r="B450" s="224">
        <f t="shared" si="62"/>
        <v>23</v>
      </c>
      <c r="C450" s="187"/>
      <c r="D450" s="166"/>
      <c r="E450" s="166"/>
      <c r="F450" s="166" t="s">
        <v>237</v>
      </c>
      <c r="G450" s="292" t="s">
        <v>398</v>
      </c>
      <c r="H450" s="206">
        <f>17528+579</f>
        <v>18107</v>
      </c>
      <c r="I450" s="206">
        <v>18727</v>
      </c>
      <c r="J450" s="697">
        <f t="shared" si="58"/>
        <v>103.4240901308886</v>
      </c>
      <c r="K450" s="191"/>
      <c r="L450" s="634"/>
      <c r="M450" s="238"/>
      <c r="N450" s="716"/>
      <c r="O450" s="191"/>
      <c r="P450" s="219">
        <f t="shared" si="59"/>
        <v>18107</v>
      </c>
      <c r="Q450" s="219">
        <f t="shared" si="60"/>
        <v>18727</v>
      </c>
      <c r="R450" s="699">
        <f t="shared" si="61"/>
        <v>103.4240901308886</v>
      </c>
    </row>
    <row r="451" spans="2:18" ht="12.75">
      <c r="B451" s="224">
        <f t="shared" si="62"/>
        <v>24</v>
      </c>
      <c r="C451" s="187"/>
      <c r="D451" s="166"/>
      <c r="E451" s="166"/>
      <c r="F451" s="166" t="s">
        <v>238</v>
      </c>
      <c r="G451" s="292" t="s">
        <v>294</v>
      </c>
      <c r="H451" s="206">
        <f>1336-151</f>
        <v>1185</v>
      </c>
      <c r="I451" s="206">
        <v>1356</v>
      </c>
      <c r="J451" s="697">
        <f t="shared" si="58"/>
        <v>114.43037974683546</v>
      </c>
      <c r="K451" s="191"/>
      <c r="L451" s="634"/>
      <c r="M451" s="238"/>
      <c r="N451" s="716"/>
      <c r="O451" s="191"/>
      <c r="P451" s="219">
        <f t="shared" si="59"/>
        <v>1185</v>
      </c>
      <c r="Q451" s="219">
        <f t="shared" si="60"/>
        <v>1356</v>
      </c>
      <c r="R451" s="699">
        <f t="shared" si="61"/>
        <v>114.43037974683546</v>
      </c>
    </row>
    <row r="452" spans="2:18" ht="12.75">
      <c r="B452" s="224">
        <f t="shared" si="62"/>
        <v>25</v>
      </c>
      <c r="C452" s="187"/>
      <c r="D452" s="166"/>
      <c r="E452" s="193"/>
      <c r="F452" s="166" t="s">
        <v>253</v>
      </c>
      <c r="G452" s="292" t="s">
        <v>311</v>
      </c>
      <c r="H452" s="206">
        <f>116+36</f>
        <v>152</v>
      </c>
      <c r="I452" s="206">
        <v>116</v>
      </c>
      <c r="J452" s="697">
        <f t="shared" si="58"/>
        <v>76.31578947368422</v>
      </c>
      <c r="K452" s="191"/>
      <c r="L452" s="634"/>
      <c r="M452" s="238"/>
      <c r="N452" s="716"/>
      <c r="O452" s="191"/>
      <c r="P452" s="219">
        <f t="shared" si="59"/>
        <v>152</v>
      </c>
      <c r="Q452" s="219">
        <f t="shared" si="60"/>
        <v>116</v>
      </c>
      <c r="R452" s="699">
        <f t="shared" si="61"/>
        <v>76.31578947368422</v>
      </c>
    </row>
    <row r="453" spans="2:18" ht="12.75">
      <c r="B453" s="224">
        <f t="shared" si="62"/>
        <v>26</v>
      </c>
      <c r="C453" s="187"/>
      <c r="D453" s="166"/>
      <c r="E453" s="193"/>
      <c r="F453" s="166" t="s">
        <v>255</v>
      </c>
      <c r="G453" s="292" t="s">
        <v>295</v>
      </c>
      <c r="H453" s="206">
        <v>1910</v>
      </c>
      <c r="I453" s="206">
        <v>1963</v>
      </c>
      <c r="J453" s="697">
        <f t="shared" si="58"/>
        <v>102.77486910994764</v>
      </c>
      <c r="K453" s="191"/>
      <c r="L453" s="636"/>
      <c r="M453" s="172"/>
      <c r="N453" s="697"/>
      <c r="O453" s="424"/>
      <c r="P453" s="221">
        <f t="shared" si="59"/>
        <v>1910</v>
      </c>
      <c r="Q453" s="221">
        <f t="shared" si="60"/>
        <v>1963</v>
      </c>
      <c r="R453" s="704">
        <f t="shared" si="61"/>
        <v>102.77486910994764</v>
      </c>
    </row>
    <row r="454" spans="2:18" ht="12.75">
      <c r="B454" s="224">
        <f t="shared" si="62"/>
        <v>27</v>
      </c>
      <c r="C454" s="187"/>
      <c r="D454" s="166"/>
      <c r="E454" s="193"/>
      <c r="F454" s="426" t="s">
        <v>256</v>
      </c>
      <c r="G454" s="307" t="s">
        <v>464</v>
      </c>
      <c r="H454" s="207">
        <v>1890</v>
      </c>
      <c r="I454" s="207">
        <v>1890</v>
      </c>
      <c r="J454" s="697">
        <f t="shared" si="58"/>
        <v>100</v>
      </c>
      <c r="K454" s="191"/>
      <c r="L454" s="728"/>
      <c r="M454" s="190"/>
      <c r="N454" s="697"/>
      <c r="O454" s="375"/>
      <c r="P454" s="396">
        <f t="shared" si="59"/>
        <v>1890</v>
      </c>
      <c r="Q454" s="396">
        <f t="shared" si="60"/>
        <v>1890</v>
      </c>
      <c r="R454" s="704">
        <f t="shared" si="61"/>
        <v>100</v>
      </c>
    </row>
    <row r="455" spans="2:18" ht="15">
      <c r="B455" s="224">
        <f t="shared" si="62"/>
        <v>28</v>
      </c>
      <c r="C455" s="187"/>
      <c r="D455" s="34" t="s">
        <v>8</v>
      </c>
      <c r="E455" s="401" t="s">
        <v>358</v>
      </c>
      <c r="F455" s="402" t="s">
        <v>431</v>
      </c>
      <c r="G455" s="403"/>
      <c r="H455" s="404">
        <f>H456+H457+H458+H462</f>
        <v>143376</v>
      </c>
      <c r="I455" s="404">
        <f>I456+I457+I458+I462</f>
        <v>131865</v>
      </c>
      <c r="J455" s="720">
        <f t="shared" si="58"/>
        <v>91.97145965852025</v>
      </c>
      <c r="K455" s="191"/>
      <c r="L455" s="760"/>
      <c r="M455" s="761"/>
      <c r="N455" s="723"/>
      <c r="O455" s="191"/>
      <c r="P455" s="405">
        <f t="shared" si="59"/>
        <v>143376</v>
      </c>
      <c r="Q455" s="405">
        <f t="shared" si="60"/>
        <v>131865</v>
      </c>
      <c r="R455" s="724">
        <f t="shared" si="61"/>
        <v>91.97145965852025</v>
      </c>
    </row>
    <row r="456" spans="2:18" ht="12.75">
      <c r="B456" s="224">
        <f t="shared" si="62"/>
        <v>29</v>
      </c>
      <c r="C456" s="187"/>
      <c r="D456" s="188"/>
      <c r="E456" s="188"/>
      <c r="F456" s="188" t="s">
        <v>250</v>
      </c>
      <c r="G456" s="307" t="s">
        <v>291</v>
      </c>
      <c r="H456" s="207">
        <v>83743</v>
      </c>
      <c r="I456" s="207">
        <v>73728</v>
      </c>
      <c r="J456" s="697">
        <f t="shared" si="58"/>
        <v>88.04079146913772</v>
      </c>
      <c r="K456" s="191"/>
      <c r="L456" s="634"/>
      <c r="M456" s="238"/>
      <c r="N456" s="716"/>
      <c r="O456" s="191"/>
      <c r="P456" s="219">
        <f t="shared" si="59"/>
        <v>83743</v>
      </c>
      <c r="Q456" s="219">
        <f t="shared" si="60"/>
        <v>73728</v>
      </c>
      <c r="R456" s="699">
        <f t="shared" si="61"/>
        <v>88.04079146913772</v>
      </c>
    </row>
    <row r="457" spans="2:18" ht="12.75">
      <c r="B457" s="224">
        <f t="shared" si="62"/>
        <v>30</v>
      </c>
      <c r="C457" s="187"/>
      <c r="D457" s="188"/>
      <c r="E457" s="188"/>
      <c r="F457" s="188" t="s">
        <v>251</v>
      </c>
      <c r="G457" s="307" t="s">
        <v>292</v>
      </c>
      <c r="H457" s="207">
        <f>31293-2064</f>
        <v>29229</v>
      </c>
      <c r="I457" s="207">
        <v>26810</v>
      </c>
      <c r="J457" s="697">
        <f t="shared" si="58"/>
        <v>91.72397276677272</v>
      </c>
      <c r="K457" s="191"/>
      <c r="L457" s="634"/>
      <c r="M457" s="238"/>
      <c r="N457" s="716"/>
      <c r="O457" s="191"/>
      <c r="P457" s="219">
        <f t="shared" si="59"/>
        <v>29229</v>
      </c>
      <c r="Q457" s="219">
        <f t="shared" si="60"/>
        <v>26810</v>
      </c>
      <c r="R457" s="699">
        <f t="shared" si="61"/>
        <v>91.72397276677272</v>
      </c>
    </row>
    <row r="458" spans="2:18" ht="12.75">
      <c r="B458" s="224">
        <f t="shared" si="62"/>
        <v>31</v>
      </c>
      <c r="C458" s="187"/>
      <c r="D458" s="188"/>
      <c r="E458" s="188"/>
      <c r="F458" s="188" t="s">
        <v>257</v>
      </c>
      <c r="G458" s="307" t="s">
        <v>428</v>
      </c>
      <c r="H458" s="207">
        <f>H459+H460+H461</f>
        <v>29100</v>
      </c>
      <c r="I458" s="207">
        <f>SUM(I459:I461)</f>
        <v>30022</v>
      </c>
      <c r="J458" s="697">
        <f t="shared" si="58"/>
        <v>103.16838487972508</v>
      </c>
      <c r="K458" s="191"/>
      <c r="L458" s="634"/>
      <c r="M458" s="238"/>
      <c r="N458" s="716"/>
      <c r="O458" s="191"/>
      <c r="P458" s="219">
        <f t="shared" si="59"/>
        <v>29100</v>
      </c>
      <c r="Q458" s="219">
        <f t="shared" si="60"/>
        <v>30022</v>
      </c>
      <c r="R458" s="699">
        <f t="shared" si="61"/>
        <v>103.16838487972508</v>
      </c>
    </row>
    <row r="459" spans="2:18" ht="12.75">
      <c r="B459" s="224">
        <f t="shared" si="62"/>
        <v>32</v>
      </c>
      <c r="C459" s="187"/>
      <c r="D459" s="166"/>
      <c r="E459" s="166"/>
      <c r="F459" s="166" t="s">
        <v>237</v>
      </c>
      <c r="G459" s="292" t="s">
        <v>398</v>
      </c>
      <c r="H459" s="206">
        <f>22920+2102</f>
        <v>25022</v>
      </c>
      <c r="I459" s="206">
        <v>25916</v>
      </c>
      <c r="J459" s="697">
        <f t="shared" si="58"/>
        <v>103.5728558868196</v>
      </c>
      <c r="K459" s="191"/>
      <c r="L459" s="634"/>
      <c r="M459" s="238"/>
      <c r="N459" s="716"/>
      <c r="O459" s="191"/>
      <c r="P459" s="219">
        <f t="shared" si="59"/>
        <v>25022</v>
      </c>
      <c r="Q459" s="219">
        <f t="shared" si="60"/>
        <v>25916</v>
      </c>
      <c r="R459" s="699">
        <f t="shared" si="61"/>
        <v>103.5728558868196</v>
      </c>
    </row>
    <row r="460" spans="2:18" ht="12.75">
      <c r="B460" s="224">
        <f t="shared" si="62"/>
        <v>33</v>
      </c>
      <c r="C460" s="187"/>
      <c r="D460" s="166"/>
      <c r="E460" s="166"/>
      <c r="F460" s="166" t="s">
        <v>238</v>
      </c>
      <c r="G460" s="292" t="s">
        <v>294</v>
      </c>
      <c r="H460" s="206">
        <f>1397+142</f>
        <v>1539</v>
      </c>
      <c r="I460" s="206">
        <v>1605</v>
      </c>
      <c r="J460" s="697">
        <f aca="true" t="shared" si="63" ref="J460:J491">I460/H460*100</f>
        <v>104.28849902534114</v>
      </c>
      <c r="K460" s="191"/>
      <c r="L460" s="634"/>
      <c r="M460" s="238"/>
      <c r="N460" s="716"/>
      <c r="O460" s="191"/>
      <c r="P460" s="219">
        <f aca="true" t="shared" si="64" ref="P460:P491">H460+L460</f>
        <v>1539</v>
      </c>
      <c r="Q460" s="219">
        <f aca="true" t="shared" si="65" ref="Q460:Q491">M460+I460</f>
        <v>1605</v>
      </c>
      <c r="R460" s="699">
        <f aca="true" t="shared" si="66" ref="R460:R491">Q460/P460*100</f>
        <v>104.28849902534114</v>
      </c>
    </row>
    <row r="461" spans="2:18" ht="12.75">
      <c r="B461" s="224">
        <f aca="true" t="shared" si="67" ref="B461:B492">B460+1</f>
        <v>34</v>
      </c>
      <c r="C461" s="187"/>
      <c r="D461" s="166"/>
      <c r="E461" s="193"/>
      <c r="F461" s="166" t="s">
        <v>255</v>
      </c>
      <c r="G461" s="292" t="s">
        <v>295</v>
      </c>
      <c r="H461" s="206">
        <f>2494+45</f>
        <v>2539</v>
      </c>
      <c r="I461" s="206">
        <v>2501</v>
      </c>
      <c r="J461" s="697">
        <f t="shared" si="63"/>
        <v>98.50334777471446</v>
      </c>
      <c r="K461" s="191"/>
      <c r="L461" s="634"/>
      <c r="M461" s="238"/>
      <c r="N461" s="716"/>
      <c r="O461" s="191"/>
      <c r="P461" s="219">
        <f t="shared" si="64"/>
        <v>2539</v>
      </c>
      <c r="Q461" s="219">
        <f t="shared" si="65"/>
        <v>2501</v>
      </c>
      <c r="R461" s="699">
        <f t="shared" si="66"/>
        <v>98.50334777471446</v>
      </c>
    </row>
    <row r="462" spans="2:18" ht="12.75">
      <c r="B462" s="224">
        <f t="shared" si="67"/>
        <v>35</v>
      </c>
      <c r="C462" s="187"/>
      <c r="D462" s="166"/>
      <c r="E462" s="193"/>
      <c r="F462" s="217" t="s">
        <v>256</v>
      </c>
      <c r="G462" s="425" t="s">
        <v>464</v>
      </c>
      <c r="H462" s="207">
        <f>1031+273</f>
        <v>1304</v>
      </c>
      <c r="I462" s="207">
        <v>1305</v>
      </c>
      <c r="J462" s="697">
        <f t="shared" si="63"/>
        <v>100.07668711656441</v>
      </c>
      <c r="K462" s="191"/>
      <c r="L462" s="757"/>
      <c r="M462" s="237"/>
      <c r="N462" s="716"/>
      <c r="O462" s="191"/>
      <c r="P462" s="218">
        <f t="shared" si="64"/>
        <v>1304</v>
      </c>
      <c r="Q462" s="218">
        <f t="shared" si="65"/>
        <v>1305</v>
      </c>
      <c r="R462" s="699">
        <f t="shared" si="66"/>
        <v>100.07668711656441</v>
      </c>
    </row>
    <row r="463" spans="2:18" ht="15">
      <c r="B463" s="224">
        <f t="shared" si="67"/>
        <v>36</v>
      </c>
      <c r="C463" s="187"/>
      <c r="D463" s="34" t="s">
        <v>9</v>
      </c>
      <c r="E463" s="239" t="s">
        <v>358</v>
      </c>
      <c r="F463" s="194" t="s">
        <v>432</v>
      </c>
      <c r="G463" s="366"/>
      <c r="H463" s="232">
        <f>H464+H465+H466+H470</f>
        <v>131226</v>
      </c>
      <c r="I463" s="232">
        <f>I464+I465+I466+I470</f>
        <v>128825</v>
      </c>
      <c r="J463" s="697">
        <f t="shared" si="63"/>
        <v>98.17033209882187</v>
      </c>
      <c r="K463" s="191"/>
      <c r="L463" s="758"/>
      <c r="M463" s="759"/>
      <c r="N463" s="716"/>
      <c r="O463" s="191"/>
      <c r="P463" s="395">
        <f t="shared" si="64"/>
        <v>131226</v>
      </c>
      <c r="Q463" s="395">
        <f t="shared" si="65"/>
        <v>128825</v>
      </c>
      <c r="R463" s="699">
        <f t="shared" si="66"/>
        <v>98.17033209882187</v>
      </c>
    </row>
    <row r="464" spans="2:18" ht="12.75">
      <c r="B464" s="224">
        <f t="shared" si="67"/>
        <v>37</v>
      </c>
      <c r="C464" s="187"/>
      <c r="D464" s="188"/>
      <c r="E464" s="188"/>
      <c r="F464" s="188" t="s">
        <v>250</v>
      </c>
      <c r="G464" s="307" t="s">
        <v>291</v>
      </c>
      <c r="H464" s="207">
        <v>77583</v>
      </c>
      <c r="I464" s="207">
        <v>74733</v>
      </c>
      <c r="J464" s="697">
        <f t="shared" si="63"/>
        <v>96.3265148292796</v>
      </c>
      <c r="K464" s="191"/>
      <c r="L464" s="634"/>
      <c r="M464" s="238"/>
      <c r="N464" s="716"/>
      <c r="O464" s="191"/>
      <c r="P464" s="219">
        <f t="shared" si="64"/>
        <v>77583</v>
      </c>
      <c r="Q464" s="219">
        <f t="shared" si="65"/>
        <v>74733</v>
      </c>
      <c r="R464" s="699">
        <f t="shared" si="66"/>
        <v>96.3265148292796</v>
      </c>
    </row>
    <row r="465" spans="2:18" ht="12.75">
      <c r="B465" s="224">
        <f t="shared" si="67"/>
        <v>38</v>
      </c>
      <c r="C465" s="187"/>
      <c r="D465" s="188"/>
      <c r="E465" s="188"/>
      <c r="F465" s="188" t="s">
        <v>251</v>
      </c>
      <c r="G465" s="307" t="s">
        <v>292</v>
      </c>
      <c r="H465" s="207">
        <f>28145-1102</f>
        <v>27043</v>
      </c>
      <c r="I465" s="207">
        <v>26523</v>
      </c>
      <c r="J465" s="697">
        <f t="shared" si="63"/>
        <v>98.07713641238028</v>
      </c>
      <c r="K465" s="191"/>
      <c r="L465" s="634"/>
      <c r="M465" s="238"/>
      <c r="N465" s="716"/>
      <c r="O465" s="191"/>
      <c r="P465" s="219">
        <f t="shared" si="64"/>
        <v>27043</v>
      </c>
      <c r="Q465" s="219">
        <f t="shared" si="65"/>
        <v>26523</v>
      </c>
      <c r="R465" s="699">
        <f t="shared" si="66"/>
        <v>98.07713641238028</v>
      </c>
    </row>
    <row r="466" spans="2:18" ht="12.75">
      <c r="B466" s="224">
        <f t="shared" si="67"/>
        <v>39</v>
      </c>
      <c r="C466" s="187"/>
      <c r="D466" s="188"/>
      <c r="E466" s="188"/>
      <c r="F466" s="188" t="s">
        <v>257</v>
      </c>
      <c r="G466" s="307" t="s">
        <v>428</v>
      </c>
      <c r="H466" s="207">
        <f>H467+H468+H469</f>
        <v>26013</v>
      </c>
      <c r="I466" s="207">
        <f>SUM(I467:I469)</f>
        <v>26983</v>
      </c>
      <c r="J466" s="697">
        <f t="shared" si="63"/>
        <v>103.72890477838004</v>
      </c>
      <c r="K466" s="191"/>
      <c r="L466" s="634"/>
      <c r="M466" s="238"/>
      <c r="N466" s="716"/>
      <c r="O466" s="191"/>
      <c r="P466" s="219">
        <f t="shared" si="64"/>
        <v>26013</v>
      </c>
      <c r="Q466" s="219">
        <f t="shared" si="65"/>
        <v>26983</v>
      </c>
      <c r="R466" s="699">
        <f t="shared" si="66"/>
        <v>103.72890477838004</v>
      </c>
    </row>
    <row r="467" spans="2:18" ht="12.75">
      <c r="B467" s="224">
        <f t="shared" si="67"/>
        <v>40</v>
      </c>
      <c r="C467" s="187"/>
      <c r="D467" s="166"/>
      <c r="E467" s="166"/>
      <c r="F467" s="166" t="s">
        <v>237</v>
      </c>
      <c r="G467" s="292" t="s">
        <v>398</v>
      </c>
      <c r="H467" s="206">
        <f>19130+2856</f>
        <v>21986</v>
      </c>
      <c r="I467" s="206">
        <v>22586</v>
      </c>
      <c r="J467" s="697">
        <f t="shared" si="63"/>
        <v>102.72900936959883</v>
      </c>
      <c r="K467" s="191"/>
      <c r="L467" s="634"/>
      <c r="M467" s="238"/>
      <c r="N467" s="716"/>
      <c r="O467" s="191"/>
      <c r="P467" s="219">
        <f t="shared" si="64"/>
        <v>21986</v>
      </c>
      <c r="Q467" s="219">
        <f t="shared" si="65"/>
        <v>22586</v>
      </c>
      <c r="R467" s="699">
        <f t="shared" si="66"/>
        <v>102.72900936959883</v>
      </c>
    </row>
    <row r="468" spans="2:18" ht="12.75">
      <c r="B468" s="224">
        <f t="shared" si="67"/>
        <v>41</v>
      </c>
      <c r="C468" s="187"/>
      <c r="D468" s="166"/>
      <c r="E468" s="166"/>
      <c r="F468" s="166" t="s">
        <v>238</v>
      </c>
      <c r="G468" s="292" t="s">
        <v>294</v>
      </c>
      <c r="H468" s="206">
        <v>1732</v>
      </c>
      <c r="I468" s="206">
        <v>1541</v>
      </c>
      <c r="J468" s="697">
        <f t="shared" si="63"/>
        <v>88.97228637413394</v>
      </c>
      <c r="K468" s="191"/>
      <c r="L468" s="634"/>
      <c r="M468" s="238"/>
      <c r="N468" s="716"/>
      <c r="O468" s="191"/>
      <c r="P468" s="219">
        <f t="shared" si="64"/>
        <v>1732</v>
      </c>
      <c r="Q468" s="219">
        <f t="shared" si="65"/>
        <v>1541</v>
      </c>
      <c r="R468" s="699">
        <f t="shared" si="66"/>
        <v>88.97228637413394</v>
      </c>
    </row>
    <row r="469" spans="2:18" ht="12.75">
      <c r="B469" s="224">
        <f t="shared" si="67"/>
        <v>42</v>
      </c>
      <c r="C469" s="187"/>
      <c r="D469" s="166"/>
      <c r="E469" s="193"/>
      <c r="F469" s="166" t="s">
        <v>255</v>
      </c>
      <c r="G469" s="292" t="s">
        <v>295</v>
      </c>
      <c r="H469" s="206">
        <f>2339-44</f>
        <v>2295</v>
      </c>
      <c r="I469" s="206">
        <v>2856</v>
      </c>
      <c r="J469" s="697">
        <f t="shared" si="63"/>
        <v>124.44444444444444</v>
      </c>
      <c r="K469" s="191"/>
      <c r="L469" s="634"/>
      <c r="M469" s="238"/>
      <c r="N469" s="716"/>
      <c r="O469" s="191"/>
      <c r="P469" s="219">
        <f t="shared" si="64"/>
        <v>2295</v>
      </c>
      <c r="Q469" s="219">
        <f t="shared" si="65"/>
        <v>2856</v>
      </c>
      <c r="R469" s="699">
        <f t="shared" si="66"/>
        <v>124.44444444444444</v>
      </c>
    </row>
    <row r="470" spans="2:18" ht="12.75">
      <c r="B470" s="224">
        <f t="shared" si="67"/>
        <v>43</v>
      </c>
      <c r="C470" s="187"/>
      <c r="D470" s="166"/>
      <c r="E470" s="193"/>
      <c r="F470" s="217" t="s">
        <v>256</v>
      </c>
      <c r="G470" s="425" t="s">
        <v>464</v>
      </c>
      <c r="H470" s="207">
        <f>452+135</f>
        <v>587</v>
      </c>
      <c r="I470" s="207">
        <v>586</v>
      </c>
      <c r="J470" s="697">
        <f t="shared" si="63"/>
        <v>99.82964224872232</v>
      </c>
      <c r="K470" s="191"/>
      <c r="L470" s="757"/>
      <c r="M470" s="237"/>
      <c r="N470" s="716"/>
      <c r="O470" s="191"/>
      <c r="P470" s="218">
        <f t="shared" si="64"/>
        <v>587</v>
      </c>
      <c r="Q470" s="218">
        <f t="shared" si="65"/>
        <v>586</v>
      </c>
      <c r="R470" s="699">
        <f t="shared" si="66"/>
        <v>99.82964224872232</v>
      </c>
    </row>
    <row r="471" spans="2:18" ht="15">
      <c r="B471" s="224">
        <f t="shared" si="67"/>
        <v>44</v>
      </c>
      <c r="C471" s="187"/>
      <c r="D471" s="34" t="s">
        <v>192</v>
      </c>
      <c r="E471" s="239" t="s">
        <v>358</v>
      </c>
      <c r="F471" s="194" t="s">
        <v>433</v>
      </c>
      <c r="G471" s="366"/>
      <c r="H471" s="232">
        <f>H472+H473+H474+H478</f>
        <v>205969</v>
      </c>
      <c r="I471" s="232">
        <f>I472+I473+I474+I478</f>
        <v>199262</v>
      </c>
      <c r="J471" s="697">
        <f t="shared" si="63"/>
        <v>96.74368472925538</v>
      </c>
      <c r="K471" s="191"/>
      <c r="L471" s="758"/>
      <c r="M471" s="759"/>
      <c r="N471" s="716"/>
      <c r="O471" s="191"/>
      <c r="P471" s="395">
        <f t="shared" si="64"/>
        <v>205969</v>
      </c>
      <c r="Q471" s="395">
        <f t="shared" si="65"/>
        <v>199262</v>
      </c>
      <c r="R471" s="699">
        <f t="shared" si="66"/>
        <v>96.74368472925538</v>
      </c>
    </row>
    <row r="472" spans="2:18" ht="12.75">
      <c r="B472" s="224">
        <f t="shared" si="67"/>
        <v>45</v>
      </c>
      <c r="C472" s="187"/>
      <c r="D472" s="188"/>
      <c r="E472" s="188"/>
      <c r="F472" s="188" t="s">
        <v>250</v>
      </c>
      <c r="G472" s="307" t="s">
        <v>291</v>
      </c>
      <c r="H472" s="207">
        <v>120172</v>
      </c>
      <c r="I472" s="207">
        <v>113397</v>
      </c>
      <c r="J472" s="697">
        <f t="shared" si="63"/>
        <v>94.36224744532836</v>
      </c>
      <c r="K472" s="191"/>
      <c r="L472" s="634"/>
      <c r="M472" s="238"/>
      <c r="N472" s="716"/>
      <c r="O472" s="191"/>
      <c r="P472" s="219">
        <f t="shared" si="64"/>
        <v>120172</v>
      </c>
      <c r="Q472" s="219">
        <f t="shared" si="65"/>
        <v>113397</v>
      </c>
      <c r="R472" s="699">
        <f t="shared" si="66"/>
        <v>94.36224744532836</v>
      </c>
    </row>
    <row r="473" spans="2:18" ht="12.75">
      <c r="B473" s="224">
        <f t="shared" si="67"/>
        <v>46</v>
      </c>
      <c r="C473" s="187"/>
      <c r="D473" s="188"/>
      <c r="E473" s="188"/>
      <c r="F473" s="188" t="s">
        <v>251</v>
      </c>
      <c r="G473" s="307" t="s">
        <v>292</v>
      </c>
      <c r="H473" s="207">
        <f>44136-2140</f>
        <v>41996</v>
      </c>
      <c r="I473" s="207">
        <v>40714</v>
      </c>
      <c r="J473" s="697">
        <f t="shared" si="63"/>
        <v>96.94732831698258</v>
      </c>
      <c r="K473" s="191"/>
      <c r="L473" s="634"/>
      <c r="M473" s="238"/>
      <c r="N473" s="716"/>
      <c r="O473" s="191"/>
      <c r="P473" s="219">
        <f t="shared" si="64"/>
        <v>41996</v>
      </c>
      <c r="Q473" s="219">
        <f t="shared" si="65"/>
        <v>40714</v>
      </c>
      <c r="R473" s="699">
        <f t="shared" si="66"/>
        <v>96.94732831698258</v>
      </c>
    </row>
    <row r="474" spans="2:18" ht="12.75">
      <c r="B474" s="224">
        <f t="shared" si="67"/>
        <v>47</v>
      </c>
      <c r="C474" s="187"/>
      <c r="D474" s="188"/>
      <c r="E474" s="188"/>
      <c r="F474" s="188" t="s">
        <v>257</v>
      </c>
      <c r="G474" s="307" t="s">
        <v>428</v>
      </c>
      <c r="H474" s="207">
        <f>H475+H476+H477</f>
        <v>42950</v>
      </c>
      <c r="I474" s="207">
        <f>SUM(I475:I477)</f>
        <v>44300</v>
      </c>
      <c r="J474" s="697">
        <f t="shared" si="63"/>
        <v>103.14318975552969</v>
      </c>
      <c r="K474" s="191"/>
      <c r="L474" s="634"/>
      <c r="M474" s="238"/>
      <c r="N474" s="716"/>
      <c r="O474" s="191"/>
      <c r="P474" s="219">
        <f t="shared" si="64"/>
        <v>42950</v>
      </c>
      <c r="Q474" s="219">
        <f t="shared" si="65"/>
        <v>44300</v>
      </c>
      <c r="R474" s="699">
        <f t="shared" si="66"/>
        <v>103.14318975552969</v>
      </c>
    </row>
    <row r="475" spans="2:18" ht="12.75">
      <c r="B475" s="224">
        <f t="shared" si="67"/>
        <v>48</v>
      </c>
      <c r="C475" s="187"/>
      <c r="D475" s="166"/>
      <c r="E475" s="166"/>
      <c r="F475" s="166" t="s">
        <v>237</v>
      </c>
      <c r="G475" s="292" t="s">
        <v>398</v>
      </c>
      <c r="H475" s="206">
        <f>35010+1243</f>
        <v>36253</v>
      </c>
      <c r="I475" s="206">
        <v>37333</v>
      </c>
      <c r="J475" s="697">
        <f t="shared" si="63"/>
        <v>102.9790638016164</v>
      </c>
      <c r="K475" s="191"/>
      <c r="L475" s="634"/>
      <c r="M475" s="238"/>
      <c r="N475" s="716"/>
      <c r="O475" s="191"/>
      <c r="P475" s="219">
        <f t="shared" si="64"/>
        <v>36253</v>
      </c>
      <c r="Q475" s="219">
        <f t="shared" si="65"/>
        <v>37333</v>
      </c>
      <c r="R475" s="699">
        <f t="shared" si="66"/>
        <v>102.9790638016164</v>
      </c>
    </row>
    <row r="476" spans="2:18" ht="12.75">
      <c r="B476" s="224">
        <f t="shared" si="67"/>
        <v>49</v>
      </c>
      <c r="C476" s="187"/>
      <c r="D476" s="166"/>
      <c r="E476" s="166"/>
      <c r="F476" s="166" t="s">
        <v>238</v>
      </c>
      <c r="G476" s="292" t="s">
        <v>294</v>
      </c>
      <c r="H476" s="206">
        <f>2585+622</f>
        <v>3207</v>
      </c>
      <c r="I476" s="206">
        <v>3300</v>
      </c>
      <c r="J476" s="697">
        <f t="shared" si="63"/>
        <v>102.8999064546305</v>
      </c>
      <c r="K476" s="191"/>
      <c r="L476" s="634"/>
      <c r="M476" s="238"/>
      <c r="N476" s="716"/>
      <c r="O476" s="191"/>
      <c r="P476" s="219">
        <f t="shared" si="64"/>
        <v>3207</v>
      </c>
      <c r="Q476" s="219">
        <f t="shared" si="65"/>
        <v>3300</v>
      </c>
      <c r="R476" s="699">
        <f t="shared" si="66"/>
        <v>102.8999064546305</v>
      </c>
    </row>
    <row r="477" spans="2:18" ht="12.75">
      <c r="B477" s="458">
        <f t="shared" si="67"/>
        <v>50</v>
      </c>
      <c r="C477" s="459"/>
      <c r="D477" s="460"/>
      <c r="E477" s="389"/>
      <c r="F477" s="460" t="s">
        <v>255</v>
      </c>
      <c r="G477" s="344" t="s">
        <v>295</v>
      </c>
      <c r="H477" s="247">
        <f>3440+50</f>
        <v>3490</v>
      </c>
      <c r="I477" s="247">
        <v>3667</v>
      </c>
      <c r="J477" s="716">
        <f t="shared" si="63"/>
        <v>105.07163323782235</v>
      </c>
      <c r="K477" s="191"/>
      <c r="L477" s="634"/>
      <c r="M477" s="238"/>
      <c r="N477" s="716"/>
      <c r="O477" s="191"/>
      <c r="P477" s="219">
        <f t="shared" si="64"/>
        <v>3490</v>
      </c>
      <c r="Q477" s="219">
        <f t="shared" si="65"/>
        <v>3667</v>
      </c>
      <c r="R477" s="699">
        <f t="shared" si="66"/>
        <v>105.07163323782235</v>
      </c>
    </row>
    <row r="478" spans="2:18" ht="12.75">
      <c r="B478" s="647">
        <f t="shared" si="67"/>
        <v>51</v>
      </c>
      <c r="C478" s="433"/>
      <c r="D478" s="434"/>
      <c r="E478" s="648"/>
      <c r="F478" s="649" t="s">
        <v>256</v>
      </c>
      <c r="G478" s="425" t="s">
        <v>464</v>
      </c>
      <c r="H478" s="207">
        <f>418+433</f>
        <v>851</v>
      </c>
      <c r="I478" s="207">
        <v>851</v>
      </c>
      <c r="J478" s="697">
        <f t="shared" si="63"/>
        <v>100</v>
      </c>
      <c r="K478" s="375"/>
      <c r="L478" s="728"/>
      <c r="M478" s="190"/>
      <c r="N478" s="697"/>
      <c r="O478" s="375"/>
      <c r="P478" s="396">
        <f t="shared" si="64"/>
        <v>851</v>
      </c>
      <c r="Q478" s="396">
        <f t="shared" si="65"/>
        <v>851</v>
      </c>
      <c r="R478" s="704">
        <f t="shared" si="66"/>
        <v>100</v>
      </c>
    </row>
    <row r="479" spans="2:18" ht="15">
      <c r="B479" s="647">
        <f t="shared" si="67"/>
        <v>52</v>
      </c>
      <c r="C479" s="433"/>
      <c r="D479" s="650" t="s">
        <v>196</v>
      </c>
      <c r="E479" s="239" t="s">
        <v>358</v>
      </c>
      <c r="F479" s="194" t="s">
        <v>434</v>
      </c>
      <c r="G479" s="366"/>
      <c r="H479" s="232">
        <f>H480+H481+H482+H488</f>
        <v>299824</v>
      </c>
      <c r="I479" s="232">
        <f>I480+I481+I482+I488</f>
        <v>310924</v>
      </c>
      <c r="J479" s="697">
        <f t="shared" si="63"/>
        <v>103.70217194087196</v>
      </c>
      <c r="K479" s="375"/>
      <c r="L479" s="762"/>
      <c r="M479" s="763"/>
      <c r="N479" s="697"/>
      <c r="O479" s="375"/>
      <c r="P479" s="397">
        <f t="shared" si="64"/>
        <v>299824</v>
      </c>
      <c r="Q479" s="397">
        <f t="shared" si="65"/>
        <v>310924</v>
      </c>
      <c r="R479" s="704">
        <f t="shared" si="66"/>
        <v>103.70217194087196</v>
      </c>
    </row>
    <row r="480" spans="2:18" ht="12.75">
      <c r="B480" s="647">
        <f t="shared" si="67"/>
        <v>53</v>
      </c>
      <c r="C480" s="433"/>
      <c r="D480" s="426"/>
      <c r="E480" s="426"/>
      <c r="F480" s="426" t="s">
        <v>250</v>
      </c>
      <c r="G480" s="311" t="s">
        <v>291</v>
      </c>
      <c r="H480" s="207">
        <v>174461</v>
      </c>
      <c r="I480" s="207">
        <v>179369</v>
      </c>
      <c r="J480" s="697">
        <f t="shared" si="63"/>
        <v>102.81323619605527</v>
      </c>
      <c r="K480" s="375"/>
      <c r="L480" s="636"/>
      <c r="M480" s="172"/>
      <c r="N480" s="697"/>
      <c r="O480" s="375"/>
      <c r="P480" s="221">
        <f t="shared" si="64"/>
        <v>174461</v>
      </c>
      <c r="Q480" s="221">
        <f t="shared" si="65"/>
        <v>179369</v>
      </c>
      <c r="R480" s="704">
        <f t="shared" si="66"/>
        <v>102.81323619605527</v>
      </c>
    </row>
    <row r="481" spans="2:18" ht="12.75">
      <c r="B481" s="224">
        <f t="shared" si="67"/>
        <v>54</v>
      </c>
      <c r="C481" s="187"/>
      <c r="D481" s="188"/>
      <c r="E481" s="188"/>
      <c r="F481" s="188" t="s">
        <v>251</v>
      </c>
      <c r="G481" s="307" t="s">
        <v>292</v>
      </c>
      <c r="H481" s="411">
        <f>64610-3568</f>
        <v>61042</v>
      </c>
      <c r="I481" s="411">
        <v>65846</v>
      </c>
      <c r="J481" s="720">
        <f t="shared" si="63"/>
        <v>107.86999115363191</v>
      </c>
      <c r="K481" s="191"/>
      <c r="L481" s="639"/>
      <c r="M481" s="641"/>
      <c r="N481" s="723"/>
      <c r="O481" s="191"/>
      <c r="P481" s="407">
        <f t="shared" si="64"/>
        <v>61042</v>
      </c>
      <c r="Q481" s="407">
        <f t="shared" si="65"/>
        <v>65846</v>
      </c>
      <c r="R481" s="724">
        <f t="shared" si="66"/>
        <v>107.86999115363191</v>
      </c>
    </row>
    <row r="482" spans="2:18" ht="12.75">
      <c r="B482" s="224">
        <f t="shared" si="67"/>
        <v>55</v>
      </c>
      <c r="C482" s="187"/>
      <c r="D482" s="188"/>
      <c r="E482" s="188"/>
      <c r="F482" s="188" t="s">
        <v>257</v>
      </c>
      <c r="G482" s="307" t="s">
        <v>428</v>
      </c>
      <c r="H482" s="207">
        <f>H484+H485+H487+H486+H483</f>
        <v>59772</v>
      </c>
      <c r="I482" s="207">
        <f>SUM(I483:I487)</f>
        <v>61160</v>
      </c>
      <c r="J482" s="697">
        <f t="shared" si="63"/>
        <v>102.32215753195477</v>
      </c>
      <c r="K482" s="191"/>
      <c r="L482" s="634"/>
      <c r="M482" s="238"/>
      <c r="N482" s="716"/>
      <c r="O482" s="191"/>
      <c r="P482" s="219">
        <f t="shared" si="64"/>
        <v>59772</v>
      </c>
      <c r="Q482" s="219">
        <f t="shared" si="65"/>
        <v>61160</v>
      </c>
      <c r="R482" s="699">
        <f t="shared" si="66"/>
        <v>102.32215753195477</v>
      </c>
    </row>
    <row r="483" spans="2:18" ht="12.75">
      <c r="B483" s="224">
        <f t="shared" si="67"/>
        <v>56</v>
      </c>
      <c r="C483" s="187"/>
      <c r="D483" s="188"/>
      <c r="E483" s="188"/>
      <c r="F483" s="166" t="s">
        <v>252</v>
      </c>
      <c r="G483" s="292" t="s">
        <v>770</v>
      </c>
      <c r="H483" s="206">
        <v>39</v>
      </c>
      <c r="I483" s="206">
        <v>51</v>
      </c>
      <c r="J483" s="697">
        <f t="shared" si="63"/>
        <v>130.76923076923077</v>
      </c>
      <c r="K483" s="191"/>
      <c r="L483" s="634"/>
      <c r="M483" s="238"/>
      <c r="N483" s="716"/>
      <c r="O483" s="191"/>
      <c r="P483" s="219">
        <f t="shared" si="64"/>
        <v>39</v>
      </c>
      <c r="Q483" s="219">
        <f t="shared" si="65"/>
        <v>51</v>
      </c>
      <c r="R483" s="699">
        <f t="shared" si="66"/>
        <v>130.76923076923077</v>
      </c>
    </row>
    <row r="484" spans="2:18" ht="12.75">
      <c r="B484" s="224">
        <f t="shared" si="67"/>
        <v>57</v>
      </c>
      <c r="C484" s="187"/>
      <c r="D484" s="166"/>
      <c r="E484" s="166"/>
      <c r="F484" s="166" t="s">
        <v>237</v>
      </c>
      <c r="G484" s="292" t="s">
        <v>398</v>
      </c>
      <c r="H484" s="206">
        <f>37580+2866</f>
        <v>40446</v>
      </c>
      <c r="I484" s="206">
        <v>41441</v>
      </c>
      <c r="J484" s="697">
        <f t="shared" si="63"/>
        <v>102.46007021707956</v>
      </c>
      <c r="K484" s="191"/>
      <c r="L484" s="634"/>
      <c r="M484" s="238"/>
      <c r="N484" s="716"/>
      <c r="O484" s="191"/>
      <c r="P484" s="219">
        <f t="shared" si="64"/>
        <v>40446</v>
      </c>
      <c r="Q484" s="219">
        <f t="shared" si="65"/>
        <v>41441</v>
      </c>
      <c r="R484" s="699">
        <f t="shared" si="66"/>
        <v>102.46007021707956</v>
      </c>
    </row>
    <row r="485" spans="2:18" ht="12.75">
      <c r="B485" s="224">
        <f t="shared" si="67"/>
        <v>58</v>
      </c>
      <c r="C485" s="187"/>
      <c r="D485" s="166"/>
      <c r="E485" s="166"/>
      <c r="F485" s="166" t="s">
        <v>238</v>
      </c>
      <c r="G485" s="292" t="s">
        <v>294</v>
      </c>
      <c r="H485" s="206">
        <f>4078+212</f>
        <v>4290</v>
      </c>
      <c r="I485" s="206">
        <v>4438</v>
      </c>
      <c r="J485" s="697">
        <f t="shared" si="63"/>
        <v>103.44988344988344</v>
      </c>
      <c r="K485" s="191"/>
      <c r="L485" s="636"/>
      <c r="M485" s="172"/>
      <c r="N485" s="697"/>
      <c r="O485" s="375"/>
      <c r="P485" s="221">
        <f t="shared" si="64"/>
        <v>4290</v>
      </c>
      <c r="Q485" s="221">
        <f t="shared" si="65"/>
        <v>4438</v>
      </c>
      <c r="R485" s="704">
        <f t="shared" si="66"/>
        <v>103.44988344988344</v>
      </c>
    </row>
    <row r="486" spans="2:18" ht="12.75">
      <c r="B486" s="224">
        <f t="shared" si="67"/>
        <v>59</v>
      </c>
      <c r="C486" s="187"/>
      <c r="D486" s="166"/>
      <c r="E486" s="193"/>
      <c r="F486" s="166" t="s">
        <v>254</v>
      </c>
      <c r="G486" s="292" t="s">
        <v>435</v>
      </c>
      <c r="H486" s="206">
        <f>7000+100</f>
        <v>7100</v>
      </c>
      <c r="I486" s="206">
        <v>7100</v>
      </c>
      <c r="J486" s="697">
        <f t="shared" si="63"/>
        <v>100</v>
      </c>
      <c r="K486" s="191"/>
      <c r="L486" s="636"/>
      <c r="M486" s="172"/>
      <c r="N486" s="697"/>
      <c r="O486" s="375"/>
      <c r="P486" s="221">
        <f t="shared" si="64"/>
        <v>7100</v>
      </c>
      <c r="Q486" s="221">
        <f t="shared" si="65"/>
        <v>7100</v>
      </c>
      <c r="R486" s="704">
        <f t="shared" si="66"/>
        <v>100</v>
      </c>
    </row>
    <row r="487" spans="2:18" ht="12.75">
      <c r="B487" s="224">
        <f t="shared" si="67"/>
        <v>60</v>
      </c>
      <c r="C487" s="187"/>
      <c r="D487" s="166"/>
      <c r="E487" s="193"/>
      <c r="F487" s="166" t="s">
        <v>255</v>
      </c>
      <c r="G487" s="292" t="s">
        <v>295</v>
      </c>
      <c r="H487" s="206">
        <f>8572-675</f>
        <v>7897</v>
      </c>
      <c r="I487" s="206">
        <v>8130</v>
      </c>
      <c r="J487" s="697">
        <f t="shared" si="63"/>
        <v>102.95048752690896</v>
      </c>
      <c r="K487" s="191"/>
      <c r="L487" s="639"/>
      <c r="M487" s="641"/>
      <c r="N487" s="723"/>
      <c r="O487" s="191"/>
      <c r="P487" s="407">
        <f t="shared" si="64"/>
        <v>7897</v>
      </c>
      <c r="Q487" s="407">
        <f t="shared" si="65"/>
        <v>8130</v>
      </c>
      <c r="R487" s="724">
        <f t="shared" si="66"/>
        <v>102.95048752690896</v>
      </c>
    </row>
    <row r="488" spans="2:18" ht="12.75">
      <c r="B488" s="224">
        <f t="shared" si="67"/>
        <v>61</v>
      </c>
      <c r="C488" s="187"/>
      <c r="D488" s="166"/>
      <c r="E488" s="193"/>
      <c r="F488" s="217" t="s">
        <v>256</v>
      </c>
      <c r="G488" s="425" t="s">
        <v>464</v>
      </c>
      <c r="H488" s="207">
        <f>4236+313</f>
        <v>4549</v>
      </c>
      <c r="I488" s="207">
        <v>4549</v>
      </c>
      <c r="J488" s="697">
        <f t="shared" si="63"/>
        <v>100</v>
      </c>
      <c r="K488" s="191"/>
      <c r="L488" s="757"/>
      <c r="M488" s="237"/>
      <c r="N488" s="716"/>
      <c r="O488" s="191"/>
      <c r="P488" s="218">
        <f t="shared" si="64"/>
        <v>4549</v>
      </c>
      <c r="Q488" s="218">
        <f t="shared" si="65"/>
        <v>4549</v>
      </c>
      <c r="R488" s="699">
        <f t="shared" si="66"/>
        <v>100</v>
      </c>
    </row>
    <row r="489" spans="2:18" ht="15">
      <c r="B489" s="224">
        <f t="shared" si="67"/>
        <v>62</v>
      </c>
      <c r="C489" s="187"/>
      <c r="D489" s="34" t="s">
        <v>436</v>
      </c>
      <c r="E489" s="239" t="s">
        <v>358</v>
      </c>
      <c r="F489" s="194" t="s">
        <v>437</v>
      </c>
      <c r="G489" s="366"/>
      <c r="H489" s="232">
        <f>H490+H491+H492+H497</f>
        <v>198767</v>
      </c>
      <c r="I489" s="232">
        <f>I490+I491+I492+I497</f>
        <v>206345</v>
      </c>
      <c r="J489" s="697">
        <f t="shared" si="63"/>
        <v>103.81250408770069</v>
      </c>
      <c r="K489" s="191"/>
      <c r="L489" s="758"/>
      <c r="M489" s="759"/>
      <c r="N489" s="716"/>
      <c r="O489" s="191"/>
      <c r="P489" s="395">
        <f t="shared" si="64"/>
        <v>198767</v>
      </c>
      <c r="Q489" s="395">
        <f t="shared" si="65"/>
        <v>206345</v>
      </c>
      <c r="R489" s="699">
        <f t="shared" si="66"/>
        <v>103.81250408770069</v>
      </c>
    </row>
    <row r="490" spans="2:18" ht="12.75">
      <c r="B490" s="224">
        <f t="shared" si="67"/>
        <v>63</v>
      </c>
      <c r="C490" s="187"/>
      <c r="D490" s="188"/>
      <c r="E490" s="188"/>
      <c r="F490" s="188" t="s">
        <v>250</v>
      </c>
      <c r="G490" s="307" t="s">
        <v>291</v>
      </c>
      <c r="H490" s="207">
        <v>113067</v>
      </c>
      <c r="I490" s="207">
        <v>117147</v>
      </c>
      <c r="J490" s="697">
        <f t="shared" si="63"/>
        <v>103.6084799278304</v>
      </c>
      <c r="K490" s="191"/>
      <c r="L490" s="634"/>
      <c r="M490" s="238"/>
      <c r="N490" s="716"/>
      <c r="O490" s="191"/>
      <c r="P490" s="219">
        <f t="shared" si="64"/>
        <v>113067</v>
      </c>
      <c r="Q490" s="219">
        <f t="shared" si="65"/>
        <v>117147</v>
      </c>
      <c r="R490" s="699">
        <f t="shared" si="66"/>
        <v>103.6084799278304</v>
      </c>
    </row>
    <row r="491" spans="2:18" ht="12.75">
      <c r="B491" s="224">
        <f t="shared" si="67"/>
        <v>64</v>
      </c>
      <c r="C491" s="187"/>
      <c r="D491" s="188"/>
      <c r="E491" s="188"/>
      <c r="F491" s="188" t="s">
        <v>251</v>
      </c>
      <c r="G491" s="307" t="s">
        <v>292</v>
      </c>
      <c r="H491" s="207">
        <f>41368-1902</f>
        <v>39466</v>
      </c>
      <c r="I491" s="207">
        <v>41666</v>
      </c>
      <c r="J491" s="697">
        <f t="shared" si="63"/>
        <v>105.57441848679876</v>
      </c>
      <c r="K491" s="191"/>
      <c r="L491" s="634"/>
      <c r="M491" s="238"/>
      <c r="N491" s="716"/>
      <c r="O491" s="191"/>
      <c r="P491" s="219">
        <f t="shared" si="64"/>
        <v>39466</v>
      </c>
      <c r="Q491" s="219">
        <f t="shared" si="65"/>
        <v>41666</v>
      </c>
      <c r="R491" s="699">
        <f t="shared" si="66"/>
        <v>105.57441848679876</v>
      </c>
    </row>
    <row r="492" spans="2:18" ht="12.75">
      <c r="B492" s="224">
        <f t="shared" si="67"/>
        <v>65</v>
      </c>
      <c r="C492" s="187"/>
      <c r="D492" s="188"/>
      <c r="E492" s="188"/>
      <c r="F492" s="188" t="s">
        <v>257</v>
      </c>
      <c r="G492" s="307" t="s">
        <v>428</v>
      </c>
      <c r="H492" s="207">
        <f>H494+H495+H496+H493</f>
        <v>45571</v>
      </c>
      <c r="I492" s="207">
        <f>SUM(I493:I496)</f>
        <v>46869</v>
      </c>
      <c r="J492" s="697">
        <f aca="true" t="shared" si="68" ref="J492:J523">I492/H492*100</f>
        <v>102.84830264861424</v>
      </c>
      <c r="K492" s="191"/>
      <c r="L492" s="634"/>
      <c r="M492" s="238"/>
      <c r="N492" s="716"/>
      <c r="O492" s="191"/>
      <c r="P492" s="219">
        <f aca="true" t="shared" si="69" ref="P492:P523">H492+L492</f>
        <v>45571</v>
      </c>
      <c r="Q492" s="219">
        <f aca="true" t="shared" si="70" ref="Q492:Q523">M492+I492</f>
        <v>46869</v>
      </c>
      <c r="R492" s="699">
        <f aca="true" t="shared" si="71" ref="R492:R523">Q492/P492*100</f>
        <v>102.84830264861424</v>
      </c>
    </row>
    <row r="493" spans="2:18" ht="12.75">
      <c r="B493" s="224">
        <f aca="true" t="shared" si="72" ref="B493:B516">B492+1</f>
        <v>66</v>
      </c>
      <c r="C493" s="187"/>
      <c r="D493" s="188"/>
      <c r="E493" s="188"/>
      <c r="F493" s="166" t="s">
        <v>252</v>
      </c>
      <c r="G493" s="292" t="s">
        <v>770</v>
      </c>
      <c r="H493" s="206">
        <v>52</v>
      </c>
      <c r="I493" s="206">
        <v>52</v>
      </c>
      <c r="J493" s="697">
        <f t="shared" si="68"/>
        <v>100</v>
      </c>
      <c r="K493" s="191"/>
      <c r="L493" s="634"/>
      <c r="M493" s="238"/>
      <c r="N493" s="716"/>
      <c r="O493" s="191"/>
      <c r="P493" s="219">
        <f t="shared" si="69"/>
        <v>52</v>
      </c>
      <c r="Q493" s="219">
        <f t="shared" si="70"/>
        <v>52</v>
      </c>
      <c r="R493" s="699">
        <f t="shared" si="71"/>
        <v>100</v>
      </c>
    </row>
    <row r="494" spans="2:18" ht="12.75">
      <c r="B494" s="224">
        <f t="shared" si="72"/>
        <v>67</v>
      </c>
      <c r="C494" s="187"/>
      <c r="D494" s="166"/>
      <c r="E494" s="166"/>
      <c r="F494" s="166" t="s">
        <v>237</v>
      </c>
      <c r="G494" s="292" t="s">
        <v>398</v>
      </c>
      <c r="H494" s="206">
        <f>33336+2500+3370</f>
        <v>39206</v>
      </c>
      <c r="I494" s="206">
        <v>40386</v>
      </c>
      <c r="J494" s="697">
        <f t="shared" si="68"/>
        <v>103.00974340662144</v>
      </c>
      <c r="K494" s="191"/>
      <c r="L494" s="634"/>
      <c r="M494" s="238"/>
      <c r="N494" s="716"/>
      <c r="O494" s="191"/>
      <c r="P494" s="219">
        <f t="shared" si="69"/>
        <v>39206</v>
      </c>
      <c r="Q494" s="219">
        <f t="shared" si="70"/>
        <v>40386</v>
      </c>
      <c r="R494" s="699">
        <f t="shared" si="71"/>
        <v>103.00974340662144</v>
      </c>
    </row>
    <row r="495" spans="2:18" ht="12.75">
      <c r="B495" s="224">
        <f t="shared" si="72"/>
        <v>68</v>
      </c>
      <c r="C495" s="187"/>
      <c r="D495" s="166"/>
      <c r="E495" s="166"/>
      <c r="F495" s="166" t="s">
        <v>238</v>
      </c>
      <c r="G495" s="292" t="s">
        <v>294</v>
      </c>
      <c r="H495" s="206">
        <f>2336+131</f>
        <v>2467</v>
      </c>
      <c r="I495" s="206">
        <v>2688</v>
      </c>
      <c r="J495" s="697">
        <f t="shared" si="68"/>
        <v>108.95824888528578</v>
      </c>
      <c r="K495" s="191"/>
      <c r="L495" s="634"/>
      <c r="M495" s="238"/>
      <c r="N495" s="716"/>
      <c r="O495" s="191"/>
      <c r="P495" s="219">
        <f t="shared" si="69"/>
        <v>2467</v>
      </c>
      <c r="Q495" s="219">
        <f t="shared" si="70"/>
        <v>2688</v>
      </c>
      <c r="R495" s="699">
        <f t="shared" si="71"/>
        <v>108.95824888528578</v>
      </c>
    </row>
    <row r="496" spans="2:18" ht="12.75">
      <c r="B496" s="224">
        <f t="shared" si="72"/>
        <v>69</v>
      </c>
      <c r="C496" s="187"/>
      <c r="D496" s="166"/>
      <c r="E496" s="193"/>
      <c r="F496" s="166" t="s">
        <v>255</v>
      </c>
      <c r="G496" s="292" t="s">
        <v>295</v>
      </c>
      <c r="H496" s="206">
        <f>3580+266</f>
        <v>3846</v>
      </c>
      <c r="I496" s="206">
        <v>3743</v>
      </c>
      <c r="J496" s="697">
        <f t="shared" si="68"/>
        <v>97.32189287571504</v>
      </c>
      <c r="K496" s="191"/>
      <c r="L496" s="634"/>
      <c r="M496" s="238"/>
      <c r="N496" s="716"/>
      <c r="O496" s="191"/>
      <c r="P496" s="219">
        <f t="shared" si="69"/>
        <v>3846</v>
      </c>
      <c r="Q496" s="219">
        <f t="shared" si="70"/>
        <v>3743</v>
      </c>
      <c r="R496" s="699">
        <f t="shared" si="71"/>
        <v>97.32189287571504</v>
      </c>
    </row>
    <row r="497" spans="2:18" ht="12.75">
      <c r="B497" s="224">
        <f t="shared" si="72"/>
        <v>70</v>
      </c>
      <c r="C497" s="187"/>
      <c r="D497" s="166"/>
      <c r="E497" s="193"/>
      <c r="F497" s="217" t="s">
        <v>256</v>
      </c>
      <c r="G497" s="425" t="s">
        <v>464</v>
      </c>
      <c r="H497" s="207">
        <f>568+95</f>
        <v>663</v>
      </c>
      <c r="I497" s="207">
        <v>663</v>
      </c>
      <c r="J497" s="697">
        <f t="shared" si="68"/>
        <v>100</v>
      </c>
      <c r="K497" s="191"/>
      <c r="L497" s="757"/>
      <c r="M497" s="237"/>
      <c r="N497" s="716"/>
      <c r="O497" s="191"/>
      <c r="P497" s="218">
        <f t="shared" si="69"/>
        <v>663</v>
      </c>
      <c r="Q497" s="218">
        <f t="shared" si="70"/>
        <v>663</v>
      </c>
      <c r="R497" s="699">
        <f t="shared" si="71"/>
        <v>100</v>
      </c>
    </row>
    <row r="498" spans="2:18" ht="15">
      <c r="B498" s="224">
        <f t="shared" si="72"/>
        <v>71</v>
      </c>
      <c r="C498" s="187"/>
      <c r="D498" s="34" t="s">
        <v>438</v>
      </c>
      <c r="E498" s="239" t="s">
        <v>358</v>
      </c>
      <c r="F498" s="194" t="s">
        <v>439</v>
      </c>
      <c r="G498" s="366"/>
      <c r="H498" s="232">
        <f>H499+H500+H501+H506</f>
        <v>112576</v>
      </c>
      <c r="I498" s="232">
        <f>I499+I500+I501+I506</f>
        <v>113392</v>
      </c>
      <c r="J498" s="697">
        <f t="shared" si="68"/>
        <v>100.72484366117112</v>
      </c>
      <c r="K498" s="191"/>
      <c r="L498" s="758"/>
      <c r="M498" s="759"/>
      <c r="N498" s="716"/>
      <c r="O498" s="191"/>
      <c r="P498" s="395">
        <f t="shared" si="69"/>
        <v>112576</v>
      </c>
      <c r="Q498" s="395">
        <f t="shared" si="70"/>
        <v>113392</v>
      </c>
      <c r="R498" s="699">
        <f t="shared" si="71"/>
        <v>100.72484366117112</v>
      </c>
    </row>
    <row r="499" spans="2:18" ht="12.75">
      <c r="B499" s="224">
        <f t="shared" si="72"/>
        <v>72</v>
      </c>
      <c r="C499" s="187"/>
      <c r="D499" s="188"/>
      <c r="E499" s="188"/>
      <c r="F499" s="188" t="s">
        <v>250</v>
      </c>
      <c r="G499" s="307" t="s">
        <v>291</v>
      </c>
      <c r="H499" s="207">
        <v>61203</v>
      </c>
      <c r="I499" s="207">
        <v>61053</v>
      </c>
      <c r="J499" s="697">
        <f t="shared" si="68"/>
        <v>99.75491397480516</v>
      </c>
      <c r="K499" s="191"/>
      <c r="L499" s="634"/>
      <c r="M499" s="238"/>
      <c r="N499" s="716"/>
      <c r="O499" s="191"/>
      <c r="P499" s="219">
        <f t="shared" si="69"/>
        <v>61203</v>
      </c>
      <c r="Q499" s="219">
        <f t="shared" si="70"/>
        <v>61053</v>
      </c>
      <c r="R499" s="699">
        <f t="shared" si="71"/>
        <v>99.75491397480516</v>
      </c>
    </row>
    <row r="500" spans="2:18" ht="12.75">
      <c r="B500" s="224">
        <f t="shared" si="72"/>
        <v>73</v>
      </c>
      <c r="C500" s="187"/>
      <c r="D500" s="188"/>
      <c r="E500" s="188"/>
      <c r="F500" s="188" t="s">
        <v>251</v>
      </c>
      <c r="G500" s="307" t="s">
        <v>292</v>
      </c>
      <c r="H500" s="207">
        <f>22744-4604</f>
        <v>18140</v>
      </c>
      <c r="I500" s="207">
        <v>21805</v>
      </c>
      <c r="J500" s="697">
        <f t="shared" si="68"/>
        <v>120.20396912899669</v>
      </c>
      <c r="K500" s="191"/>
      <c r="L500" s="634"/>
      <c r="M500" s="238"/>
      <c r="N500" s="716"/>
      <c r="O500" s="191"/>
      <c r="P500" s="219">
        <f t="shared" si="69"/>
        <v>18140</v>
      </c>
      <c r="Q500" s="219">
        <f t="shared" si="70"/>
        <v>21805</v>
      </c>
      <c r="R500" s="699">
        <f t="shared" si="71"/>
        <v>120.20396912899669</v>
      </c>
    </row>
    <row r="501" spans="2:18" ht="12.75">
      <c r="B501" s="224">
        <f t="shared" si="72"/>
        <v>74</v>
      </c>
      <c r="C501" s="187"/>
      <c r="D501" s="188"/>
      <c r="E501" s="188"/>
      <c r="F501" s="188" t="s">
        <v>257</v>
      </c>
      <c r="G501" s="307" t="s">
        <v>428</v>
      </c>
      <c r="H501" s="207">
        <f>H502+H503+H504+H505</f>
        <v>28220</v>
      </c>
      <c r="I501" s="207">
        <f>SUM(I502:I505)</f>
        <v>25521</v>
      </c>
      <c r="J501" s="697">
        <f t="shared" si="68"/>
        <v>90.43586109142451</v>
      </c>
      <c r="K501" s="191"/>
      <c r="L501" s="634"/>
      <c r="M501" s="238"/>
      <c r="N501" s="716"/>
      <c r="O501" s="191"/>
      <c r="P501" s="219">
        <f t="shared" si="69"/>
        <v>28220</v>
      </c>
      <c r="Q501" s="219">
        <f t="shared" si="70"/>
        <v>25521</v>
      </c>
      <c r="R501" s="699">
        <f t="shared" si="71"/>
        <v>90.43586109142451</v>
      </c>
    </row>
    <row r="502" spans="2:18" ht="12.75">
      <c r="B502" s="224">
        <f t="shared" si="72"/>
        <v>75</v>
      </c>
      <c r="C502" s="187"/>
      <c r="D502" s="166"/>
      <c r="E502" s="166"/>
      <c r="F502" s="166" t="s">
        <v>237</v>
      </c>
      <c r="G502" s="292" t="s">
        <v>398</v>
      </c>
      <c r="H502" s="206">
        <f>20759+2972</f>
        <v>23731</v>
      </c>
      <c r="I502" s="206">
        <v>20779</v>
      </c>
      <c r="J502" s="697">
        <f t="shared" si="68"/>
        <v>87.56057477560995</v>
      </c>
      <c r="K502" s="191"/>
      <c r="L502" s="634"/>
      <c r="M502" s="238"/>
      <c r="N502" s="716"/>
      <c r="O502" s="191"/>
      <c r="P502" s="219">
        <f t="shared" si="69"/>
        <v>23731</v>
      </c>
      <c r="Q502" s="219">
        <f t="shared" si="70"/>
        <v>20779</v>
      </c>
      <c r="R502" s="699">
        <f t="shared" si="71"/>
        <v>87.56057477560995</v>
      </c>
    </row>
    <row r="503" spans="2:18" ht="12.75">
      <c r="B503" s="224">
        <f t="shared" si="72"/>
        <v>76</v>
      </c>
      <c r="C503" s="187"/>
      <c r="D503" s="166"/>
      <c r="E503" s="166"/>
      <c r="F503" s="166" t="s">
        <v>238</v>
      </c>
      <c r="G503" s="292" t="s">
        <v>294</v>
      </c>
      <c r="H503" s="206">
        <f>1359-135</f>
        <v>1224</v>
      </c>
      <c r="I503" s="206">
        <v>1366</v>
      </c>
      <c r="J503" s="697">
        <f t="shared" si="68"/>
        <v>111.60130718954248</v>
      </c>
      <c r="K503" s="191"/>
      <c r="L503" s="634"/>
      <c r="M503" s="238"/>
      <c r="N503" s="716"/>
      <c r="O503" s="191"/>
      <c r="P503" s="219">
        <f t="shared" si="69"/>
        <v>1224</v>
      </c>
      <c r="Q503" s="219">
        <f t="shared" si="70"/>
        <v>1366</v>
      </c>
      <c r="R503" s="699">
        <f t="shared" si="71"/>
        <v>111.60130718954248</v>
      </c>
    </row>
    <row r="504" spans="2:18" ht="12.75">
      <c r="B504" s="224">
        <f t="shared" si="72"/>
        <v>77</v>
      </c>
      <c r="C504" s="187"/>
      <c r="D504" s="166"/>
      <c r="E504" s="193"/>
      <c r="F504" s="166" t="s">
        <v>253</v>
      </c>
      <c r="G504" s="292" t="s">
        <v>311</v>
      </c>
      <c r="H504" s="206">
        <v>46</v>
      </c>
      <c r="I504" s="206">
        <v>46</v>
      </c>
      <c r="J504" s="697">
        <f t="shared" si="68"/>
        <v>100</v>
      </c>
      <c r="K504" s="191"/>
      <c r="L504" s="634"/>
      <c r="M504" s="238"/>
      <c r="N504" s="716"/>
      <c r="O504" s="191"/>
      <c r="P504" s="219">
        <f t="shared" si="69"/>
        <v>46</v>
      </c>
      <c r="Q504" s="219">
        <f t="shared" si="70"/>
        <v>46</v>
      </c>
      <c r="R504" s="699">
        <f t="shared" si="71"/>
        <v>100</v>
      </c>
    </row>
    <row r="505" spans="2:18" ht="12.75">
      <c r="B505" s="224">
        <f t="shared" si="72"/>
        <v>78</v>
      </c>
      <c r="C505" s="187"/>
      <c r="D505" s="166"/>
      <c r="E505" s="193"/>
      <c r="F505" s="166" t="s">
        <v>255</v>
      </c>
      <c r="G505" s="292" t="s">
        <v>295</v>
      </c>
      <c r="H505" s="206">
        <f>3192+27</f>
        <v>3219</v>
      </c>
      <c r="I505" s="206">
        <v>3330</v>
      </c>
      <c r="J505" s="697">
        <f t="shared" si="68"/>
        <v>103.44827586206897</v>
      </c>
      <c r="K505" s="191"/>
      <c r="L505" s="634"/>
      <c r="M505" s="238"/>
      <c r="N505" s="716"/>
      <c r="O505" s="191"/>
      <c r="P505" s="219">
        <f t="shared" si="69"/>
        <v>3219</v>
      </c>
      <c r="Q505" s="219">
        <f t="shared" si="70"/>
        <v>3330</v>
      </c>
      <c r="R505" s="699">
        <f t="shared" si="71"/>
        <v>103.44827586206897</v>
      </c>
    </row>
    <row r="506" spans="2:18" ht="12.75">
      <c r="B506" s="224">
        <f t="shared" si="72"/>
        <v>79</v>
      </c>
      <c r="C506" s="187"/>
      <c r="D506" s="166"/>
      <c r="E506" s="193"/>
      <c r="F506" s="217" t="s">
        <v>256</v>
      </c>
      <c r="G506" s="425" t="s">
        <v>464</v>
      </c>
      <c r="H506" s="207">
        <f>709+4304</f>
        <v>5013</v>
      </c>
      <c r="I506" s="207">
        <v>5013</v>
      </c>
      <c r="J506" s="697">
        <f t="shared" si="68"/>
        <v>100</v>
      </c>
      <c r="K506" s="191"/>
      <c r="L506" s="757"/>
      <c r="M506" s="237"/>
      <c r="N506" s="716"/>
      <c r="O506" s="191"/>
      <c r="P506" s="218">
        <f t="shared" si="69"/>
        <v>5013</v>
      </c>
      <c r="Q506" s="218">
        <f t="shared" si="70"/>
        <v>5013</v>
      </c>
      <c r="R506" s="699">
        <f t="shared" si="71"/>
        <v>100</v>
      </c>
    </row>
    <row r="507" spans="2:18" ht="15">
      <c r="B507" s="224">
        <f t="shared" si="72"/>
        <v>80</v>
      </c>
      <c r="C507" s="187"/>
      <c r="D507" s="34" t="s">
        <v>440</v>
      </c>
      <c r="E507" s="239" t="s">
        <v>358</v>
      </c>
      <c r="F507" s="194" t="s">
        <v>441</v>
      </c>
      <c r="G507" s="366"/>
      <c r="H507" s="232">
        <f>H508+H509+H510+H515+H516</f>
        <v>161235</v>
      </c>
      <c r="I507" s="232">
        <f>I508+I509+I510+I515+I516</f>
        <v>161453</v>
      </c>
      <c r="J507" s="697">
        <f t="shared" si="68"/>
        <v>100.13520637578691</v>
      </c>
      <c r="K507" s="191"/>
      <c r="L507" s="758"/>
      <c r="M507" s="759"/>
      <c r="N507" s="716"/>
      <c r="O507" s="191"/>
      <c r="P507" s="395">
        <f t="shared" si="69"/>
        <v>161235</v>
      </c>
      <c r="Q507" s="395">
        <f t="shared" si="70"/>
        <v>161453</v>
      </c>
      <c r="R507" s="699">
        <f t="shared" si="71"/>
        <v>100.13520637578691</v>
      </c>
    </row>
    <row r="508" spans="2:18" ht="12.75">
      <c r="B508" s="224">
        <f t="shared" si="72"/>
        <v>81</v>
      </c>
      <c r="C508" s="187"/>
      <c r="D508" s="188"/>
      <c r="E508" s="188"/>
      <c r="F508" s="188" t="s">
        <v>250</v>
      </c>
      <c r="G508" s="307" t="s">
        <v>291</v>
      </c>
      <c r="H508" s="207">
        <v>90963</v>
      </c>
      <c r="I508" s="207">
        <v>90415</v>
      </c>
      <c r="J508" s="697">
        <f t="shared" si="68"/>
        <v>99.3975572485516</v>
      </c>
      <c r="K508" s="191"/>
      <c r="L508" s="634"/>
      <c r="M508" s="238"/>
      <c r="N508" s="716"/>
      <c r="O508" s="191"/>
      <c r="P508" s="219">
        <f t="shared" si="69"/>
        <v>90963</v>
      </c>
      <c r="Q508" s="219">
        <f t="shared" si="70"/>
        <v>90415</v>
      </c>
      <c r="R508" s="699">
        <f t="shared" si="71"/>
        <v>99.3975572485516</v>
      </c>
    </row>
    <row r="509" spans="2:18" ht="12.75">
      <c r="B509" s="224">
        <f t="shared" si="72"/>
        <v>82</v>
      </c>
      <c r="C509" s="187"/>
      <c r="D509" s="188"/>
      <c r="E509" s="188"/>
      <c r="F509" s="188" t="s">
        <v>251</v>
      </c>
      <c r="G509" s="307" t="s">
        <v>292</v>
      </c>
      <c r="H509" s="207">
        <f>32643-1118</f>
        <v>31525</v>
      </c>
      <c r="I509" s="207">
        <v>31940</v>
      </c>
      <c r="J509" s="697">
        <f t="shared" si="68"/>
        <v>101.31641554321966</v>
      </c>
      <c r="K509" s="191"/>
      <c r="L509" s="634"/>
      <c r="M509" s="238"/>
      <c r="N509" s="716"/>
      <c r="O509" s="191"/>
      <c r="P509" s="219">
        <f t="shared" si="69"/>
        <v>31525</v>
      </c>
      <c r="Q509" s="219">
        <f t="shared" si="70"/>
        <v>31940</v>
      </c>
      <c r="R509" s="699">
        <f t="shared" si="71"/>
        <v>101.31641554321966</v>
      </c>
    </row>
    <row r="510" spans="2:18" ht="12.75">
      <c r="B510" s="224">
        <f t="shared" si="72"/>
        <v>83</v>
      </c>
      <c r="C510" s="187"/>
      <c r="D510" s="188"/>
      <c r="E510" s="188"/>
      <c r="F510" s="188" t="s">
        <v>257</v>
      </c>
      <c r="G510" s="307" t="s">
        <v>428</v>
      </c>
      <c r="H510" s="207">
        <f>H511+H512+H513+H514</f>
        <v>37609</v>
      </c>
      <c r="I510" s="207">
        <f>SUM(I511:I514)</f>
        <v>38324</v>
      </c>
      <c r="J510" s="697">
        <f t="shared" si="68"/>
        <v>101.90114068441065</v>
      </c>
      <c r="K510" s="191"/>
      <c r="L510" s="634"/>
      <c r="M510" s="238"/>
      <c r="N510" s="716"/>
      <c r="O510" s="191"/>
      <c r="P510" s="219">
        <f t="shared" si="69"/>
        <v>37609</v>
      </c>
      <c r="Q510" s="219">
        <f t="shared" si="70"/>
        <v>38324</v>
      </c>
      <c r="R510" s="699">
        <f t="shared" si="71"/>
        <v>101.90114068441065</v>
      </c>
    </row>
    <row r="511" spans="2:18" ht="12.75">
      <c r="B511" s="224">
        <f t="shared" si="72"/>
        <v>84</v>
      </c>
      <c r="C511" s="187"/>
      <c r="D511" s="166"/>
      <c r="E511" s="166"/>
      <c r="F511" s="166" t="s">
        <v>237</v>
      </c>
      <c r="G511" s="292" t="s">
        <v>398</v>
      </c>
      <c r="H511" s="206">
        <f>29809+3088</f>
        <v>32897</v>
      </c>
      <c r="I511" s="206">
        <v>33095</v>
      </c>
      <c r="J511" s="697">
        <f t="shared" si="68"/>
        <v>100.60187859075296</v>
      </c>
      <c r="K511" s="191"/>
      <c r="L511" s="634"/>
      <c r="M511" s="238"/>
      <c r="N511" s="716"/>
      <c r="O511" s="191"/>
      <c r="P511" s="219">
        <f t="shared" si="69"/>
        <v>32897</v>
      </c>
      <c r="Q511" s="219">
        <f t="shared" si="70"/>
        <v>33095</v>
      </c>
      <c r="R511" s="699">
        <f t="shared" si="71"/>
        <v>100.60187859075296</v>
      </c>
    </row>
    <row r="512" spans="2:18" ht="12.75">
      <c r="B512" s="224">
        <f t="shared" si="72"/>
        <v>85</v>
      </c>
      <c r="C512" s="187"/>
      <c r="D512" s="166"/>
      <c r="E512" s="166"/>
      <c r="F512" s="166" t="s">
        <v>238</v>
      </c>
      <c r="G512" s="292" t="s">
        <v>294</v>
      </c>
      <c r="H512" s="206">
        <f>2062-325</f>
        <v>1737</v>
      </c>
      <c r="I512" s="206">
        <v>2155</v>
      </c>
      <c r="J512" s="697">
        <f t="shared" si="68"/>
        <v>124.06447898675879</v>
      </c>
      <c r="K512" s="191"/>
      <c r="L512" s="634"/>
      <c r="M512" s="238"/>
      <c r="N512" s="716"/>
      <c r="O512" s="191"/>
      <c r="P512" s="219">
        <f t="shared" si="69"/>
        <v>1737</v>
      </c>
      <c r="Q512" s="219">
        <f t="shared" si="70"/>
        <v>2155</v>
      </c>
      <c r="R512" s="699">
        <f t="shared" si="71"/>
        <v>124.06447898675879</v>
      </c>
    </row>
    <row r="513" spans="2:18" ht="12.75">
      <c r="B513" s="224">
        <f t="shared" si="72"/>
        <v>86</v>
      </c>
      <c r="C513" s="187"/>
      <c r="D513" s="166"/>
      <c r="E513" s="193"/>
      <c r="F513" s="166" t="s">
        <v>253</v>
      </c>
      <c r="G513" s="292" t="s">
        <v>311</v>
      </c>
      <c r="H513" s="206">
        <v>209</v>
      </c>
      <c r="I513" s="206">
        <v>209</v>
      </c>
      <c r="J513" s="697">
        <f t="shared" si="68"/>
        <v>100</v>
      </c>
      <c r="K513" s="191"/>
      <c r="L513" s="634"/>
      <c r="M513" s="238"/>
      <c r="N513" s="716"/>
      <c r="O513" s="191"/>
      <c r="P513" s="219">
        <f t="shared" si="69"/>
        <v>209</v>
      </c>
      <c r="Q513" s="219">
        <f t="shared" si="70"/>
        <v>209</v>
      </c>
      <c r="R513" s="699">
        <f t="shared" si="71"/>
        <v>100</v>
      </c>
    </row>
    <row r="514" spans="2:18" ht="12.75">
      <c r="B514" s="458">
        <f t="shared" si="72"/>
        <v>87</v>
      </c>
      <c r="C514" s="459"/>
      <c r="D514" s="460"/>
      <c r="E514" s="389"/>
      <c r="F514" s="460" t="s">
        <v>255</v>
      </c>
      <c r="G514" s="344" t="s">
        <v>295</v>
      </c>
      <c r="H514" s="247">
        <f>2717+49</f>
        <v>2766</v>
      </c>
      <c r="I514" s="247">
        <v>2865</v>
      </c>
      <c r="J514" s="716">
        <f t="shared" si="68"/>
        <v>103.57917570498915</v>
      </c>
      <c r="K514" s="191"/>
      <c r="L514" s="634"/>
      <c r="M514" s="238"/>
      <c r="N514" s="716"/>
      <c r="O514" s="191"/>
      <c r="P514" s="219">
        <f t="shared" si="69"/>
        <v>2766</v>
      </c>
      <c r="Q514" s="219">
        <f t="shared" si="70"/>
        <v>2865</v>
      </c>
      <c r="R514" s="699">
        <f t="shared" si="71"/>
        <v>103.57917570498915</v>
      </c>
    </row>
    <row r="515" spans="2:18" ht="12.75">
      <c r="B515" s="647">
        <f t="shared" si="72"/>
        <v>88</v>
      </c>
      <c r="C515" s="320"/>
      <c r="D515" s="434"/>
      <c r="E515" s="426"/>
      <c r="F515" s="426" t="s">
        <v>256</v>
      </c>
      <c r="G515" s="425" t="s">
        <v>464</v>
      </c>
      <c r="H515" s="190">
        <f>524+114</f>
        <v>638</v>
      </c>
      <c r="I515" s="190">
        <v>774</v>
      </c>
      <c r="J515" s="697">
        <f t="shared" si="68"/>
        <v>121.31661442006269</v>
      </c>
      <c r="K515" s="375"/>
      <c r="L515" s="728"/>
      <c r="M515" s="190"/>
      <c r="N515" s="697"/>
      <c r="O515" s="375"/>
      <c r="P515" s="396">
        <f t="shared" si="69"/>
        <v>638</v>
      </c>
      <c r="Q515" s="396">
        <f t="shared" si="70"/>
        <v>774</v>
      </c>
      <c r="R515" s="704">
        <f t="shared" si="71"/>
        <v>121.31661442006269</v>
      </c>
    </row>
    <row r="516" spans="2:18" ht="12.75">
      <c r="B516" s="647">
        <f t="shared" si="72"/>
        <v>89</v>
      </c>
      <c r="C516" s="320"/>
      <c r="D516" s="434"/>
      <c r="E516" s="426"/>
      <c r="F516" s="426" t="s">
        <v>257</v>
      </c>
      <c r="G516" s="425" t="s">
        <v>525</v>
      </c>
      <c r="H516" s="190">
        <v>500</v>
      </c>
      <c r="I516" s="989"/>
      <c r="J516" s="697">
        <f t="shared" si="68"/>
        <v>0</v>
      </c>
      <c r="K516" s="375"/>
      <c r="L516" s="728"/>
      <c r="M516" s="190"/>
      <c r="N516" s="697"/>
      <c r="O516" s="375"/>
      <c r="P516" s="396">
        <f t="shared" si="69"/>
        <v>500</v>
      </c>
      <c r="Q516" s="396">
        <f t="shared" si="70"/>
        <v>0</v>
      </c>
      <c r="R516" s="704">
        <f t="shared" si="71"/>
        <v>0</v>
      </c>
    </row>
    <row r="517" spans="2:18" ht="15">
      <c r="B517" s="647">
        <f>B515+1</f>
        <v>89</v>
      </c>
      <c r="C517" s="320"/>
      <c r="D517" s="650" t="s">
        <v>442</v>
      </c>
      <c r="E517" s="651" t="s">
        <v>358</v>
      </c>
      <c r="F517" s="652" t="s">
        <v>443</v>
      </c>
      <c r="G517" s="652"/>
      <c r="H517" s="524">
        <f>H518+H519+H520+H525</f>
        <v>183102</v>
      </c>
      <c r="I517" s="524">
        <f>I518+I519+I520+I525</f>
        <v>182427</v>
      </c>
      <c r="J517" s="697">
        <f t="shared" si="68"/>
        <v>99.63135301635154</v>
      </c>
      <c r="K517" s="375"/>
      <c r="L517" s="762"/>
      <c r="M517" s="763"/>
      <c r="N517" s="697"/>
      <c r="O517" s="375"/>
      <c r="P517" s="397">
        <f t="shared" si="69"/>
        <v>183102</v>
      </c>
      <c r="Q517" s="397">
        <f t="shared" si="70"/>
        <v>182427</v>
      </c>
      <c r="R517" s="704">
        <f t="shared" si="71"/>
        <v>99.63135301635154</v>
      </c>
    </row>
    <row r="518" spans="2:18" ht="12.75">
      <c r="B518" s="224">
        <f aca="true" t="shared" si="73" ref="B518:B581">B517+1</f>
        <v>90</v>
      </c>
      <c r="C518" s="187"/>
      <c r="D518" s="188"/>
      <c r="E518" s="188"/>
      <c r="F518" s="188" t="s">
        <v>250</v>
      </c>
      <c r="G518" s="307" t="s">
        <v>291</v>
      </c>
      <c r="H518" s="411">
        <v>96952</v>
      </c>
      <c r="I518" s="411">
        <v>99297</v>
      </c>
      <c r="J518" s="720">
        <f t="shared" si="68"/>
        <v>102.4187226668867</v>
      </c>
      <c r="K518" s="191"/>
      <c r="L518" s="639"/>
      <c r="M518" s="641"/>
      <c r="N518" s="723"/>
      <c r="O518" s="191"/>
      <c r="P518" s="327">
        <f t="shared" si="69"/>
        <v>96952</v>
      </c>
      <c r="Q518" s="327">
        <f t="shared" si="70"/>
        <v>99297</v>
      </c>
      <c r="R518" s="729">
        <f t="shared" si="71"/>
        <v>102.4187226668867</v>
      </c>
    </row>
    <row r="519" spans="2:18" ht="12.75">
      <c r="B519" s="224">
        <f t="shared" si="73"/>
        <v>91</v>
      </c>
      <c r="C519" s="187"/>
      <c r="D519" s="188"/>
      <c r="E519" s="188"/>
      <c r="F519" s="188" t="s">
        <v>251</v>
      </c>
      <c r="G519" s="307" t="s">
        <v>292</v>
      </c>
      <c r="H519" s="207">
        <f>35043-1068</f>
        <v>33975</v>
      </c>
      <c r="I519" s="207">
        <v>35532</v>
      </c>
      <c r="J519" s="697">
        <f t="shared" si="68"/>
        <v>104.58278145695363</v>
      </c>
      <c r="K519" s="191"/>
      <c r="L519" s="634"/>
      <c r="M519" s="238"/>
      <c r="N519" s="716"/>
      <c r="O519" s="191"/>
      <c r="P519" s="219">
        <f t="shared" si="69"/>
        <v>33975</v>
      </c>
      <c r="Q519" s="219">
        <f t="shared" si="70"/>
        <v>35532</v>
      </c>
      <c r="R519" s="699">
        <f t="shared" si="71"/>
        <v>104.58278145695363</v>
      </c>
    </row>
    <row r="520" spans="2:18" ht="12.75">
      <c r="B520" s="224">
        <f t="shared" si="73"/>
        <v>92</v>
      </c>
      <c r="C520" s="187"/>
      <c r="D520" s="188"/>
      <c r="E520" s="188"/>
      <c r="F520" s="188" t="s">
        <v>257</v>
      </c>
      <c r="G520" s="307" t="s">
        <v>428</v>
      </c>
      <c r="H520" s="207">
        <f>H521+H522+H523+H524</f>
        <v>51877</v>
      </c>
      <c r="I520" s="207">
        <f>SUM(I521:I524)</f>
        <v>47300</v>
      </c>
      <c r="J520" s="697">
        <f t="shared" si="68"/>
        <v>91.17720762573009</v>
      </c>
      <c r="K520" s="191"/>
      <c r="L520" s="636"/>
      <c r="M520" s="172"/>
      <c r="N520" s="697"/>
      <c r="O520" s="191"/>
      <c r="P520" s="219">
        <f t="shared" si="69"/>
        <v>51877</v>
      </c>
      <c r="Q520" s="219">
        <f t="shared" si="70"/>
        <v>47300</v>
      </c>
      <c r="R520" s="699">
        <f t="shared" si="71"/>
        <v>91.17720762573009</v>
      </c>
    </row>
    <row r="521" spans="2:18" ht="12.75">
      <c r="B521" s="224">
        <f t="shared" si="73"/>
        <v>93</v>
      </c>
      <c r="C521" s="187"/>
      <c r="D521" s="166"/>
      <c r="E521" s="166"/>
      <c r="F521" s="166" t="s">
        <v>237</v>
      </c>
      <c r="G521" s="292" t="s">
        <v>398</v>
      </c>
      <c r="H521" s="206">
        <f>44751-558</f>
        <v>44193</v>
      </c>
      <c r="I521" s="206">
        <v>39223</v>
      </c>
      <c r="J521" s="697">
        <f t="shared" si="68"/>
        <v>88.75387504808454</v>
      </c>
      <c r="K521" s="191"/>
      <c r="L521" s="636"/>
      <c r="M521" s="172"/>
      <c r="N521" s="697"/>
      <c r="O521" s="191"/>
      <c r="P521" s="219">
        <f t="shared" si="69"/>
        <v>44193</v>
      </c>
      <c r="Q521" s="219">
        <f t="shared" si="70"/>
        <v>39223</v>
      </c>
      <c r="R521" s="699">
        <f t="shared" si="71"/>
        <v>88.75387504808454</v>
      </c>
    </row>
    <row r="522" spans="2:18" ht="12.75">
      <c r="B522" s="224">
        <f t="shared" si="73"/>
        <v>94</v>
      </c>
      <c r="C522" s="187"/>
      <c r="D522" s="166"/>
      <c r="E522" s="166"/>
      <c r="F522" s="166" t="s">
        <v>238</v>
      </c>
      <c r="G522" s="292" t="s">
        <v>294</v>
      </c>
      <c r="H522" s="206">
        <f>2544+236</f>
        <v>2780</v>
      </c>
      <c r="I522" s="206">
        <v>3080</v>
      </c>
      <c r="J522" s="697">
        <f t="shared" si="68"/>
        <v>110.79136690647482</v>
      </c>
      <c r="K522" s="191"/>
      <c r="L522" s="636"/>
      <c r="M522" s="172"/>
      <c r="N522" s="697"/>
      <c r="O522" s="191"/>
      <c r="P522" s="219">
        <f t="shared" si="69"/>
        <v>2780</v>
      </c>
      <c r="Q522" s="219">
        <f t="shared" si="70"/>
        <v>3080</v>
      </c>
      <c r="R522" s="699">
        <f t="shared" si="71"/>
        <v>110.79136690647482</v>
      </c>
    </row>
    <row r="523" spans="2:18" ht="12.75">
      <c r="B523" s="224">
        <f t="shared" si="73"/>
        <v>95</v>
      </c>
      <c r="C523" s="187"/>
      <c r="D523" s="166"/>
      <c r="E523" s="193"/>
      <c r="F523" s="166" t="s">
        <v>253</v>
      </c>
      <c r="G523" s="292" t="s">
        <v>311</v>
      </c>
      <c r="H523" s="206">
        <f>1145+260</f>
        <v>1405</v>
      </c>
      <c r="I523" s="206">
        <v>1405</v>
      </c>
      <c r="J523" s="697">
        <f t="shared" si="68"/>
        <v>100</v>
      </c>
      <c r="K523" s="191"/>
      <c r="L523" s="634"/>
      <c r="M523" s="238"/>
      <c r="N523" s="716"/>
      <c r="O523" s="191"/>
      <c r="P523" s="219">
        <f t="shared" si="69"/>
        <v>1405</v>
      </c>
      <c r="Q523" s="219">
        <f t="shared" si="70"/>
        <v>1405</v>
      </c>
      <c r="R523" s="699">
        <f t="shared" si="71"/>
        <v>100</v>
      </c>
    </row>
    <row r="524" spans="2:18" ht="12.75">
      <c r="B524" s="224">
        <f t="shared" si="73"/>
        <v>96</v>
      </c>
      <c r="C524" s="187"/>
      <c r="D524" s="166"/>
      <c r="E524" s="193"/>
      <c r="F524" s="166" t="s">
        <v>255</v>
      </c>
      <c r="G524" s="292" t="s">
        <v>295</v>
      </c>
      <c r="H524" s="206">
        <f>3080+419</f>
        <v>3499</v>
      </c>
      <c r="I524" s="206">
        <v>3592</v>
      </c>
      <c r="J524" s="697">
        <f aca="true" t="shared" si="74" ref="J524:J555">I524/H524*100</f>
        <v>102.65790225778795</v>
      </c>
      <c r="K524" s="191"/>
      <c r="L524" s="634"/>
      <c r="M524" s="238"/>
      <c r="N524" s="716"/>
      <c r="O524" s="191"/>
      <c r="P524" s="219">
        <f aca="true" t="shared" si="75" ref="P524:P555">H524+L524</f>
        <v>3499</v>
      </c>
      <c r="Q524" s="219">
        <f aca="true" t="shared" si="76" ref="Q524:Q555">M524+I524</f>
        <v>3592</v>
      </c>
      <c r="R524" s="699">
        <f aca="true" t="shared" si="77" ref="R524:R555">Q524/P524*100</f>
        <v>102.65790225778795</v>
      </c>
    </row>
    <row r="525" spans="2:18" ht="12.75">
      <c r="B525" s="224">
        <f t="shared" si="73"/>
        <v>97</v>
      </c>
      <c r="C525" s="187"/>
      <c r="D525" s="166"/>
      <c r="E525" s="193"/>
      <c r="F525" s="217" t="s">
        <v>256</v>
      </c>
      <c r="G525" s="425" t="s">
        <v>464</v>
      </c>
      <c r="H525" s="207">
        <f>192+106</f>
        <v>298</v>
      </c>
      <c r="I525" s="207">
        <v>298</v>
      </c>
      <c r="J525" s="697">
        <f t="shared" si="74"/>
        <v>100</v>
      </c>
      <c r="K525" s="191"/>
      <c r="L525" s="757"/>
      <c r="M525" s="237"/>
      <c r="N525" s="716"/>
      <c r="O525" s="191"/>
      <c r="P525" s="218">
        <f t="shared" si="75"/>
        <v>298</v>
      </c>
      <c r="Q525" s="218">
        <f t="shared" si="76"/>
        <v>298</v>
      </c>
      <c r="R525" s="699">
        <f t="shared" si="77"/>
        <v>100</v>
      </c>
    </row>
    <row r="526" spans="2:18" ht="15">
      <c r="B526" s="224">
        <f t="shared" si="73"/>
        <v>98</v>
      </c>
      <c r="C526" s="187"/>
      <c r="D526" s="34" t="s">
        <v>445</v>
      </c>
      <c r="E526" s="239" t="s">
        <v>358</v>
      </c>
      <c r="F526" s="194" t="s">
        <v>444</v>
      </c>
      <c r="G526" s="366"/>
      <c r="H526" s="232">
        <f>H527+H528+H529+H534</f>
        <v>123341</v>
      </c>
      <c r="I526" s="232">
        <f>I527+I528+I529+I534</f>
        <v>123251</v>
      </c>
      <c r="J526" s="697">
        <f t="shared" si="74"/>
        <v>99.92703156290284</v>
      </c>
      <c r="K526" s="191"/>
      <c r="L526" s="758"/>
      <c r="M526" s="759"/>
      <c r="N526" s="716"/>
      <c r="O526" s="191"/>
      <c r="P526" s="395">
        <f t="shared" si="75"/>
        <v>123341</v>
      </c>
      <c r="Q526" s="395">
        <f t="shared" si="76"/>
        <v>123251</v>
      </c>
      <c r="R526" s="699">
        <f t="shared" si="77"/>
        <v>99.92703156290284</v>
      </c>
    </row>
    <row r="527" spans="2:18" ht="12.75">
      <c r="B527" s="224">
        <f t="shared" si="73"/>
        <v>99</v>
      </c>
      <c r="C527" s="187"/>
      <c r="D527" s="188"/>
      <c r="E527" s="188"/>
      <c r="F527" s="188" t="s">
        <v>250</v>
      </c>
      <c r="G527" s="307" t="s">
        <v>291</v>
      </c>
      <c r="H527" s="207">
        <v>75704</v>
      </c>
      <c r="I527" s="207">
        <v>74373</v>
      </c>
      <c r="J527" s="697">
        <f t="shared" si="74"/>
        <v>98.24183662686252</v>
      </c>
      <c r="K527" s="191"/>
      <c r="L527" s="634"/>
      <c r="M527" s="238"/>
      <c r="N527" s="716"/>
      <c r="O527" s="191"/>
      <c r="P527" s="219">
        <f t="shared" si="75"/>
        <v>75704</v>
      </c>
      <c r="Q527" s="219">
        <f t="shared" si="76"/>
        <v>74373</v>
      </c>
      <c r="R527" s="699">
        <f t="shared" si="77"/>
        <v>98.24183662686252</v>
      </c>
    </row>
    <row r="528" spans="2:18" ht="12.75">
      <c r="B528" s="224">
        <f t="shared" si="73"/>
        <v>100</v>
      </c>
      <c r="C528" s="187"/>
      <c r="D528" s="188"/>
      <c r="E528" s="188"/>
      <c r="F528" s="188" t="s">
        <v>251</v>
      </c>
      <c r="G528" s="307" t="s">
        <v>292</v>
      </c>
      <c r="H528" s="207">
        <f>27407-879</f>
        <v>26528</v>
      </c>
      <c r="I528" s="207">
        <v>26272</v>
      </c>
      <c r="J528" s="697">
        <f t="shared" si="74"/>
        <v>99.03498190591074</v>
      </c>
      <c r="K528" s="191"/>
      <c r="L528" s="634"/>
      <c r="M528" s="238"/>
      <c r="N528" s="716"/>
      <c r="O528" s="191"/>
      <c r="P528" s="219">
        <f t="shared" si="75"/>
        <v>26528</v>
      </c>
      <c r="Q528" s="219">
        <f t="shared" si="76"/>
        <v>26272</v>
      </c>
      <c r="R528" s="699">
        <f t="shared" si="77"/>
        <v>99.03498190591074</v>
      </c>
    </row>
    <row r="529" spans="2:18" ht="12.75">
      <c r="B529" s="224">
        <f t="shared" si="73"/>
        <v>101</v>
      </c>
      <c r="C529" s="187"/>
      <c r="D529" s="188"/>
      <c r="E529" s="188"/>
      <c r="F529" s="188" t="s">
        <v>257</v>
      </c>
      <c r="G529" s="307" t="s">
        <v>428</v>
      </c>
      <c r="H529" s="207">
        <f>H531+H532+H533+H530</f>
        <v>20747</v>
      </c>
      <c r="I529" s="207">
        <f>SUM(I530:I533)</f>
        <v>22131</v>
      </c>
      <c r="J529" s="697">
        <f t="shared" si="74"/>
        <v>106.67084397744253</v>
      </c>
      <c r="K529" s="191"/>
      <c r="L529" s="634"/>
      <c r="M529" s="238"/>
      <c r="N529" s="716"/>
      <c r="O529" s="191"/>
      <c r="P529" s="219">
        <f t="shared" si="75"/>
        <v>20747</v>
      </c>
      <c r="Q529" s="219">
        <f t="shared" si="76"/>
        <v>22131</v>
      </c>
      <c r="R529" s="699">
        <f t="shared" si="77"/>
        <v>106.67084397744253</v>
      </c>
    </row>
    <row r="530" spans="2:18" ht="12.75">
      <c r="B530" s="224">
        <f t="shared" si="73"/>
        <v>102</v>
      </c>
      <c r="C530" s="187"/>
      <c r="D530" s="188"/>
      <c r="E530" s="188"/>
      <c r="F530" s="166" t="s">
        <v>252</v>
      </c>
      <c r="G530" s="292" t="s">
        <v>770</v>
      </c>
      <c r="H530" s="206">
        <v>8</v>
      </c>
      <c r="I530" s="206">
        <v>8</v>
      </c>
      <c r="J530" s="697">
        <f t="shared" si="74"/>
        <v>100</v>
      </c>
      <c r="K530" s="191"/>
      <c r="L530" s="634"/>
      <c r="M530" s="238"/>
      <c r="N530" s="716"/>
      <c r="O530" s="191"/>
      <c r="P530" s="219">
        <f t="shared" si="75"/>
        <v>8</v>
      </c>
      <c r="Q530" s="219">
        <f t="shared" si="76"/>
        <v>8</v>
      </c>
      <c r="R530" s="699">
        <f t="shared" si="77"/>
        <v>100</v>
      </c>
    </row>
    <row r="531" spans="2:18" ht="12.75">
      <c r="B531" s="224">
        <f t="shared" si="73"/>
        <v>103</v>
      </c>
      <c r="C531" s="187"/>
      <c r="D531" s="166"/>
      <c r="E531" s="166"/>
      <c r="F531" s="166" t="s">
        <v>237</v>
      </c>
      <c r="G531" s="292" t="s">
        <v>398</v>
      </c>
      <c r="H531" s="206">
        <f>16684+54</f>
        <v>16738</v>
      </c>
      <c r="I531" s="206">
        <v>17964</v>
      </c>
      <c r="J531" s="697">
        <f t="shared" si="74"/>
        <v>107.32465049587765</v>
      </c>
      <c r="K531" s="191"/>
      <c r="L531" s="634"/>
      <c r="M531" s="238"/>
      <c r="N531" s="716"/>
      <c r="O531" s="191"/>
      <c r="P531" s="219">
        <f t="shared" si="75"/>
        <v>16738</v>
      </c>
      <c r="Q531" s="219">
        <f t="shared" si="76"/>
        <v>17964</v>
      </c>
      <c r="R531" s="699">
        <f t="shared" si="77"/>
        <v>107.32465049587765</v>
      </c>
    </row>
    <row r="532" spans="2:18" ht="12.75">
      <c r="B532" s="458">
        <f t="shared" si="73"/>
        <v>104</v>
      </c>
      <c r="C532" s="459"/>
      <c r="D532" s="460"/>
      <c r="E532" s="460"/>
      <c r="F532" s="460" t="s">
        <v>238</v>
      </c>
      <c r="G532" s="344" t="s">
        <v>294</v>
      </c>
      <c r="H532" s="247">
        <f>1655+110</f>
        <v>1765</v>
      </c>
      <c r="I532" s="247">
        <v>1863</v>
      </c>
      <c r="J532" s="716">
        <f t="shared" si="74"/>
        <v>105.55240793201133</v>
      </c>
      <c r="K532" s="191"/>
      <c r="L532" s="634"/>
      <c r="M532" s="238"/>
      <c r="N532" s="716"/>
      <c r="O532" s="191"/>
      <c r="P532" s="219">
        <f t="shared" si="75"/>
        <v>1765</v>
      </c>
      <c r="Q532" s="219">
        <f t="shared" si="76"/>
        <v>1863</v>
      </c>
      <c r="R532" s="699">
        <f t="shared" si="77"/>
        <v>105.55240793201133</v>
      </c>
    </row>
    <row r="533" spans="2:18" ht="12.75">
      <c r="B533" s="647">
        <f t="shared" si="73"/>
        <v>105</v>
      </c>
      <c r="C533" s="433"/>
      <c r="D533" s="434"/>
      <c r="E533" s="648"/>
      <c r="F533" s="434" t="s">
        <v>255</v>
      </c>
      <c r="G533" s="310" t="s">
        <v>295</v>
      </c>
      <c r="H533" s="206">
        <f>2290-54</f>
        <v>2236</v>
      </c>
      <c r="I533" s="206">
        <v>2296</v>
      </c>
      <c r="J533" s="697">
        <f t="shared" si="74"/>
        <v>102.68336314847943</v>
      </c>
      <c r="K533" s="375"/>
      <c r="L533" s="636"/>
      <c r="M533" s="172"/>
      <c r="N533" s="697"/>
      <c r="O533" s="375"/>
      <c r="P533" s="221">
        <f t="shared" si="75"/>
        <v>2236</v>
      </c>
      <c r="Q533" s="221">
        <f t="shared" si="76"/>
        <v>2296</v>
      </c>
      <c r="R533" s="704">
        <f t="shared" si="77"/>
        <v>102.68336314847943</v>
      </c>
    </row>
    <row r="534" spans="2:18" ht="12.75">
      <c r="B534" s="647">
        <f t="shared" si="73"/>
        <v>106</v>
      </c>
      <c r="C534" s="433"/>
      <c r="D534" s="434"/>
      <c r="E534" s="648"/>
      <c r="F534" s="649" t="s">
        <v>256</v>
      </c>
      <c r="G534" s="425" t="s">
        <v>464</v>
      </c>
      <c r="H534" s="207">
        <f>279+83</f>
        <v>362</v>
      </c>
      <c r="I534" s="207">
        <v>475</v>
      </c>
      <c r="J534" s="697">
        <f t="shared" si="74"/>
        <v>131.21546961325967</v>
      </c>
      <c r="K534" s="375"/>
      <c r="L534" s="728"/>
      <c r="M534" s="190"/>
      <c r="N534" s="697"/>
      <c r="O534" s="375"/>
      <c r="P534" s="396">
        <f t="shared" si="75"/>
        <v>362</v>
      </c>
      <c r="Q534" s="396">
        <f t="shared" si="76"/>
        <v>475</v>
      </c>
      <c r="R534" s="704">
        <f t="shared" si="77"/>
        <v>131.21546961325967</v>
      </c>
    </row>
    <row r="535" spans="2:18" ht="15">
      <c r="B535" s="647">
        <f t="shared" si="73"/>
        <v>107</v>
      </c>
      <c r="C535" s="433"/>
      <c r="D535" s="650" t="s">
        <v>447</v>
      </c>
      <c r="E535" s="239" t="s">
        <v>358</v>
      </c>
      <c r="F535" s="194" t="s">
        <v>446</v>
      </c>
      <c r="G535" s="366"/>
      <c r="H535" s="232">
        <f>H536+H537+H538+H542</f>
        <v>60021</v>
      </c>
      <c r="I535" s="232">
        <f>I536+I537+I538+I542</f>
        <v>59491</v>
      </c>
      <c r="J535" s="697">
        <f t="shared" si="74"/>
        <v>99.11697572516286</v>
      </c>
      <c r="K535" s="375"/>
      <c r="L535" s="762"/>
      <c r="M535" s="763"/>
      <c r="N535" s="697"/>
      <c r="O535" s="375"/>
      <c r="P535" s="397">
        <f t="shared" si="75"/>
        <v>60021</v>
      </c>
      <c r="Q535" s="397">
        <f t="shared" si="76"/>
        <v>59491</v>
      </c>
      <c r="R535" s="704">
        <f t="shared" si="77"/>
        <v>99.11697572516286</v>
      </c>
    </row>
    <row r="536" spans="2:18" ht="12.75">
      <c r="B536" s="224">
        <f t="shared" si="73"/>
        <v>108</v>
      </c>
      <c r="C536" s="187"/>
      <c r="D536" s="188"/>
      <c r="E536" s="188"/>
      <c r="F536" s="188" t="s">
        <v>250</v>
      </c>
      <c r="G536" s="307" t="s">
        <v>291</v>
      </c>
      <c r="H536" s="411">
        <v>35462</v>
      </c>
      <c r="I536" s="411">
        <v>35076</v>
      </c>
      <c r="J536" s="720">
        <f t="shared" si="74"/>
        <v>98.91151091309007</v>
      </c>
      <c r="K536" s="191"/>
      <c r="L536" s="639"/>
      <c r="M536" s="641"/>
      <c r="N536" s="723"/>
      <c r="O536" s="191"/>
      <c r="P536" s="568">
        <f t="shared" si="75"/>
        <v>35462</v>
      </c>
      <c r="Q536" s="568">
        <f t="shared" si="76"/>
        <v>35076</v>
      </c>
      <c r="R536" s="724">
        <f t="shared" si="77"/>
        <v>98.91151091309007</v>
      </c>
    </row>
    <row r="537" spans="2:18" ht="12.75">
      <c r="B537" s="224">
        <f t="shared" si="73"/>
        <v>109</v>
      </c>
      <c r="C537" s="187"/>
      <c r="D537" s="188"/>
      <c r="E537" s="188"/>
      <c r="F537" s="188" t="s">
        <v>251</v>
      </c>
      <c r="G537" s="307" t="s">
        <v>292</v>
      </c>
      <c r="H537" s="207">
        <f>12987-586</f>
        <v>12401</v>
      </c>
      <c r="I537" s="207">
        <v>11878</v>
      </c>
      <c r="J537" s="697">
        <f t="shared" si="74"/>
        <v>95.78259817756633</v>
      </c>
      <c r="K537" s="191"/>
      <c r="L537" s="634"/>
      <c r="M537" s="238"/>
      <c r="N537" s="716"/>
      <c r="O537" s="191"/>
      <c r="P537" s="218">
        <f t="shared" si="75"/>
        <v>12401</v>
      </c>
      <c r="Q537" s="218">
        <f t="shared" si="76"/>
        <v>11878</v>
      </c>
      <c r="R537" s="699">
        <f t="shared" si="77"/>
        <v>95.78259817756633</v>
      </c>
    </row>
    <row r="538" spans="2:18" ht="12.75">
      <c r="B538" s="224">
        <f t="shared" si="73"/>
        <v>110</v>
      </c>
      <c r="C538" s="187"/>
      <c r="D538" s="188"/>
      <c r="E538" s="188"/>
      <c r="F538" s="188" t="s">
        <v>257</v>
      </c>
      <c r="G538" s="307" t="s">
        <v>428</v>
      </c>
      <c r="H538" s="207">
        <f>H539+H540+H541</f>
        <v>11928</v>
      </c>
      <c r="I538" s="207">
        <f>SUM(I539:I541)</f>
        <v>12307</v>
      </c>
      <c r="J538" s="697">
        <f t="shared" si="74"/>
        <v>103.17739771965124</v>
      </c>
      <c r="K538" s="191"/>
      <c r="L538" s="634"/>
      <c r="M538" s="238"/>
      <c r="N538" s="716"/>
      <c r="O538" s="191"/>
      <c r="P538" s="218">
        <f t="shared" si="75"/>
        <v>11928</v>
      </c>
      <c r="Q538" s="218">
        <f t="shared" si="76"/>
        <v>12307</v>
      </c>
      <c r="R538" s="699">
        <f t="shared" si="77"/>
        <v>103.17739771965124</v>
      </c>
    </row>
    <row r="539" spans="2:18" ht="12.75">
      <c r="B539" s="224">
        <f t="shared" si="73"/>
        <v>111</v>
      </c>
      <c r="C539" s="187"/>
      <c r="D539" s="166"/>
      <c r="E539" s="166"/>
      <c r="F539" s="166" t="s">
        <v>237</v>
      </c>
      <c r="G539" s="292" t="s">
        <v>398</v>
      </c>
      <c r="H539" s="206">
        <f>7020+798</f>
        <v>7818</v>
      </c>
      <c r="I539" s="206">
        <v>7945</v>
      </c>
      <c r="J539" s="697">
        <f t="shared" si="74"/>
        <v>101.62445638270658</v>
      </c>
      <c r="K539" s="191"/>
      <c r="L539" s="634"/>
      <c r="M539" s="238"/>
      <c r="N539" s="716"/>
      <c r="O539" s="191"/>
      <c r="P539" s="219">
        <f t="shared" si="75"/>
        <v>7818</v>
      </c>
      <c r="Q539" s="219">
        <f t="shared" si="76"/>
        <v>7945</v>
      </c>
      <c r="R539" s="699">
        <f t="shared" si="77"/>
        <v>101.62445638270658</v>
      </c>
    </row>
    <row r="540" spans="2:18" ht="12.75">
      <c r="B540" s="224">
        <f t="shared" si="73"/>
        <v>112</v>
      </c>
      <c r="C540" s="187"/>
      <c r="D540" s="166"/>
      <c r="E540" s="166"/>
      <c r="F540" s="166" t="s">
        <v>238</v>
      </c>
      <c r="G540" s="292" t="s">
        <v>294</v>
      </c>
      <c r="H540" s="206">
        <f>987-121</f>
        <v>866</v>
      </c>
      <c r="I540" s="206">
        <v>946</v>
      </c>
      <c r="J540" s="697">
        <f t="shared" si="74"/>
        <v>109.23787528868361</v>
      </c>
      <c r="K540" s="191"/>
      <c r="L540" s="634"/>
      <c r="M540" s="238"/>
      <c r="N540" s="716"/>
      <c r="O540" s="191"/>
      <c r="P540" s="219">
        <f t="shared" si="75"/>
        <v>866</v>
      </c>
      <c r="Q540" s="219">
        <f t="shared" si="76"/>
        <v>946</v>
      </c>
      <c r="R540" s="699">
        <f t="shared" si="77"/>
        <v>109.23787528868361</v>
      </c>
    </row>
    <row r="541" spans="2:18" ht="12.75">
      <c r="B541" s="224">
        <f t="shared" si="73"/>
        <v>113</v>
      </c>
      <c r="C541" s="187"/>
      <c r="D541" s="166"/>
      <c r="E541" s="193"/>
      <c r="F541" s="166" t="s">
        <v>255</v>
      </c>
      <c r="G541" s="292" t="s">
        <v>295</v>
      </c>
      <c r="H541" s="206">
        <f>3148+96</f>
        <v>3244</v>
      </c>
      <c r="I541" s="206">
        <v>3416</v>
      </c>
      <c r="J541" s="697">
        <f t="shared" si="74"/>
        <v>105.30209617755857</v>
      </c>
      <c r="K541" s="191"/>
      <c r="L541" s="634"/>
      <c r="M541" s="238"/>
      <c r="N541" s="716"/>
      <c r="O541" s="191"/>
      <c r="P541" s="219">
        <f t="shared" si="75"/>
        <v>3244</v>
      </c>
      <c r="Q541" s="219">
        <f t="shared" si="76"/>
        <v>3416</v>
      </c>
      <c r="R541" s="699">
        <f t="shared" si="77"/>
        <v>105.30209617755857</v>
      </c>
    </row>
    <row r="542" spans="2:18" ht="12.75">
      <c r="B542" s="224">
        <f t="shared" si="73"/>
        <v>114</v>
      </c>
      <c r="C542" s="187"/>
      <c r="D542" s="166"/>
      <c r="E542" s="193"/>
      <c r="F542" s="217" t="s">
        <v>256</v>
      </c>
      <c r="G542" s="425" t="s">
        <v>464</v>
      </c>
      <c r="H542" s="207">
        <v>230</v>
      </c>
      <c r="I542" s="207">
        <v>230</v>
      </c>
      <c r="J542" s="697">
        <f t="shared" si="74"/>
        <v>100</v>
      </c>
      <c r="K542" s="191"/>
      <c r="L542" s="757"/>
      <c r="M542" s="237"/>
      <c r="N542" s="716"/>
      <c r="O542" s="191"/>
      <c r="P542" s="218">
        <f t="shared" si="75"/>
        <v>230</v>
      </c>
      <c r="Q542" s="218">
        <f t="shared" si="76"/>
        <v>230</v>
      </c>
      <c r="R542" s="699">
        <f t="shared" si="77"/>
        <v>100</v>
      </c>
    </row>
    <row r="543" spans="2:18" ht="15">
      <c r="B543" s="224">
        <f t="shared" si="73"/>
        <v>115</v>
      </c>
      <c r="C543" s="187"/>
      <c r="D543" s="34" t="s">
        <v>449</v>
      </c>
      <c r="E543" s="239" t="s">
        <v>358</v>
      </c>
      <c r="F543" s="194" t="s">
        <v>448</v>
      </c>
      <c r="G543" s="366"/>
      <c r="H543" s="232">
        <f>H544+H545+H546+H550</f>
        <v>88401</v>
      </c>
      <c r="I543" s="232">
        <f>I544+I545+I546+I550</f>
        <v>85105</v>
      </c>
      <c r="J543" s="697">
        <f t="shared" si="74"/>
        <v>96.27153538987116</v>
      </c>
      <c r="K543" s="191"/>
      <c r="L543" s="758"/>
      <c r="M543" s="759"/>
      <c r="N543" s="716"/>
      <c r="O543" s="191"/>
      <c r="P543" s="395">
        <f t="shared" si="75"/>
        <v>88401</v>
      </c>
      <c r="Q543" s="395">
        <f t="shared" si="76"/>
        <v>85105</v>
      </c>
      <c r="R543" s="699">
        <f t="shared" si="77"/>
        <v>96.27153538987116</v>
      </c>
    </row>
    <row r="544" spans="2:18" ht="12.75">
      <c r="B544" s="224">
        <f t="shared" si="73"/>
        <v>116</v>
      </c>
      <c r="C544" s="187"/>
      <c r="D544" s="188"/>
      <c r="E544" s="188"/>
      <c r="F544" s="188" t="s">
        <v>250</v>
      </c>
      <c r="G544" s="307" t="s">
        <v>291</v>
      </c>
      <c r="H544" s="207">
        <v>53169</v>
      </c>
      <c r="I544" s="207">
        <v>49796</v>
      </c>
      <c r="J544" s="697">
        <f t="shared" si="74"/>
        <v>93.65607778968949</v>
      </c>
      <c r="K544" s="191"/>
      <c r="L544" s="634"/>
      <c r="M544" s="238"/>
      <c r="N544" s="716"/>
      <c r="O544" s="191"/>
      <c r="P544" s="218">
        <f t="shared" si="75"/>
        <v>53169</v>
      </c>
      <c r="Q544" s="218">
        <f t="shared" si="76"/>
        <v>49796</v>
      </c>
      <c r="R544" s="699">
        <f t="shared" si="77"/>
        <v>93.65607778968949</v>
      </c>
    </row>
    <row r="545" spans="2:18" ht="12.75">
      <c r="B545" s="224">
        <f t="shared" si="73"/>
        <v>117</v>
      </c>
      <c r="C545" s="187"/>
      <c r="D545" s="188"/>
      <c r="E545" s="188"/>
      <c r="F545" s="188" t="s">
        <v>251</v>
      </c>
      <c r="G545" s="307" t="s">
        <v>292</v>
      </c>
      <c r="H545" s="207">
        <f>19606-987</f>
        <v>18619</v>
      </c>
      <c r="I545" s="207">
        <v>17817</v>
      </c>
      <c r="J545" s="697">
        <f t="shared" si="74"/>
        <v>95.69257210376497</v>
      </c>
      <c r="K545" s="191"/>
      <c r="L545" s="634"/>
      <c r="M545" s="238"/>
      <c r="N545" s="716"/>
      <c r="O545" s="191"/>
      <c r="P545" s="218">
        <f t="shared" si="75"/>
        <v>18619</v>
      </c>
      <c r="Q545" s="218">
        <f t="shared" si="76"/>
        <v>17817</v>
      </c>
      <c r="R545" s="699">
        <f t="shared" si="77"/>
        <v>95.69257210376497</v>
      </c>
    </row>
    <row r="546" spans="2:18" ht="12.75">
      <c r="B546" s="224">
        <f t="shared" si="73"/>
        <v>118</v>
      </c>
      <c r="C546" s="187"/>
      <c r="D546" s="188"/>
      <c r="E546" s="188"/>
      <c r="F546" s="188" t="s">
        <v>257</v>
      </c>
      <c r="G546" s="307" t="s">
        <v>428</v>
      </c>
      <c r="H546" s="207">
        <f>H547+H548+H549</f>
        <v>16460</v>
      </c>
      <c r="I546" s="207">
        <f>SUM(I547:I549)</f>
        <v>17339</v>
      </c>
      <c r="J546" s="697">
        <f t="shared" si="74"/>
        <v>105.34021871202917</v>
      </c>
      <c r="K546" s="191"/>
      <c r="L546" s="634"/>
      <c r="M546" s="238"/>
      <c r="N546" s="716"/>
      <c r="O546" s="191"/>
      <c r="P546" s="218">
        <f t="shared" si="75"/>
        <v>16460</v>
      </c>
      <c r="Q546" s="218">
        <f t="shared" si="76"/>
        <v>17339</v>
      </c>
      <c r="R546" s="699">
        <f t="shared" si="77"/>
        <v>105.34021871202917</v>
      </c>
    </row>
    <row r="547" spans="2:18" ht="12.75">
      <c r="B547" s="224">
        <f t="shared" si="73"/>
        <v>119</v>
      </c>
      <c r="C547" s="187"/>
      <c r="D547" s="166"/>
      <c r="E547" s="166"/>
      <c r="F547" s="166" t="s">
        <v>237</v>
      </c>
      <c r="G547" s="292" t="s">
        <v>398</v>
      </c>
      <c r="H547" s="206">
        <f>13777-590</f>
        <v>13187</v>
      </c>
      <c r="I547" s="206">
        <v>13584</v>
      </c>
      <c r="J547" s="697">
        <f t="shared" si="74"/>
        <v>103.01054068400697</v>
      </c>
      <c r="K547" s="191"/>
      <c r="L547" s="634"/>
      <c r="M547" s="238"/>
      <c r="N547" s="716"/>
      <c r="O547" s="191"/>
      <c r="P547" s="219">
        <f t="shared" si="75"/>
        <v>13187</v>
      </c>
      <c r="Q547" s="219">
        <f t="shared" si="76"/>
        <v>13584</v>
      </c>
      <c r="R547" s="699">
        <f t="shared" si="77"/>
        <v>103.01054068400697</v>
      </c>
    </row>
    <row r="548" spans="2:18" ht="12.75">
      <c r="B548" s="224">
        <f t="shared" si="73"/>
        <v>120</v>
      </c>
      <c r="C548" s="187"/>
      <c r="D548" s="166"/>
      <c r="E548" s="166"/>
      <c r="F548" s="166" t="s">
        <v>238</v>
      </c>
      <c r="G548" s="292" t="s">
        <v>294</v>
      </c>
      <c r="H548" s="206">
        <f>1382-75</f>
        <v>1307</v>
      </c>
      <c r="I548" s="206">
        <v>1450</v>
      </c>
      <c r="J548" s="697">
        <f t="shared" si="74"/>
        <v>110.94108645753636</v>
      </c>
      <c r="K548" s="191"/>
      <c r="L548" s="634"/>
      <c r="M548" s="238"/>
      <c r="N548" s="716"/>
      <c r="O548" s="191"/>
      <c r="P548" s="219">
        <f t="shared" si="75"/>
        <v>1307</v>
      </c>
      <c r="Q548" s="219">
        <f t="shared" si="76"/>
        <v>1450</v>
      </c>
      <c r="R548" s="699">
        <f t="shared" si="77"/>
        <v>110.94108645753636</v>
      </c>
    </row>
    <row r="549" spans="2:18" ht="12.75">
      <c r="B549" s="224">
        <f t="shared" si="73"/>
        <v>121</v>
      </c>
      <c r="C549" s="187"/>
      <c r="D549" s="166"/>
      <c r="E549" s="193"/>
      <c r="F549" s="166" t="s">
        <v>255</v>
      </c>
      <c r="G549" s="292" t="s">
        <v>295</v>
      </c>
      <c r="H549" s="211">
        <f>1990-24</f>
        <v>1966</v>
      </c>
      <c r="I549" s="211">
        <v>2305</v>
      </c>
      <c r="J549" s="720">
        <f t="shared" si="74"/>
        <v>117.24313326551375</v>
      </c>
      <c r="K549" s="191"/>
      <c r="L549" s="636"/>
      <c r="M549" s="172"/>
      <c r="N549" s="697"/>
      <c r="O549" s="191"/>
      <c r="P549" s="221">
        <f t="shared" si="75"/>
        <v>1966</v>
      </c>
      <c r="Q549" s="221">
        <f t="shared" si="76"/>
        <v>2305</v>
      </c>
      <c r="R549" s="704">
        <f t="shared" si="77"/>
        <v>117.24313326551375</v>
      </c>
    </row>
    <row r="550" spans="2:18" ht="12.75">
      <c r="B550" s="224">
        <f t="shared" si="73"/>
        <v>122</v>
      </c>
      <c r="C550" s="187"/>
      <c r="D550" s="166"/>
      <c r="E550" s="193"/>
      <c r="F550" s="217" t="s">
        <v>256</v>
      </c>
      <c r="G550" s="425" t="s">
        <v>464</v>
      </c>
      <c r="H550" s="207">
        <v>153</v>
      </c>
      <c r="I550" s="207">
        <v>153</v>
      </c>
      <c r="J550" s="697">
        <f t="shared" si="74"/>
        <v>100</v>
      </c>
      <c r="K550" s="191"/>
      <c r="L550" s="757"/>
      <c r="M550" s="237"/>
      <c r="N550" s="716"/>
      <c r="O550" s="191"/>
      <c r="P550" s="218">
        <f t="shared" si="75"/>
        <v>153</v>
      </c>
      <c r="Q550" s="218">
        <f t="shared" si="76"/>
        <v>153</v>
      </c>
      <c r="R550" s="699">
        <f t="shared" si="77"/>
        <v>100</v>
      </c>
    </row>
    <row r="551" spans="2:18" ht="15">
      <c r="B551" s="224">
        <f t="shared" si="73"/>
        <v>123</v>
      </c>
      <c r="C551" s="187"/>
      <c r="D551" s="34" t="s">
        <v>451</v>
      </c>
      <c r="E551" s="239" t="s">
        <v>358</v>
      </c>
      <c r="F551" s="194" t="s">
        <v>450</v>
      </c>
      <c r="G551" s="366"/>
      <c r="H551" s="232">
        <f>H552+H553+H554+H559</f>
        <v>63634</v>
      </c>
      <c r="I551" s="232">
        <f>I552+I553+I554+I559</f>
        <v>66628</v>
      </c>
      <c r="J551" s="697">
        <f t="shared" si="74"/>
        <v>104.7050319011849</v>
      </c>
      <c r="K551" s="191"/>
      <c r="L551" s="758"/>
      <c r="M551" s="759"/>
      <c r="N551" s="716"/>
      <c r="O551" s="191"/>
      <c r="P551" s="395">
        <f t="shared" si="75"/>
        <v>63634</v>
      </c>
      <c r="Q551" s="395">
        <f t="shared" si="76"/>
        <v>66628</v>
      </c>
      <c r="R551" s="699">
        <f t="shared" si="77"/>
        <v>104.7050319011849</v>
      </c>
    </row>
    <row r="552" spans="2:18" ht="12.75">
      <c r="B552" s="224">
        <f t="shared" si="73"/>
        <v>124</v>
      </c>
      <c r="C552" s="187"/>
      <c r="D552" s="188"/>
      <c r="E552" s="188"/>
      <c r="F552" s="188" t="s">
        <v>250</v>
      </c>
      <c r="G552" s="307" t="s">
        <v>291</v>
      </c>
      <c r="H552" s="207">
        <v>36450</v>
      </c>
      <c r="I552" s="207">
        <v>38393</v>
      </c>
      <c r="J552" s="697">
        <f t="shared" si="74"/>
        <v>105.33058984910836</v>
      </c>
      <c r="K552" s="191"/>
      <c r="L552" s="634"/>
      <c r="M552" s="238"/>
      <c r="N552" s="716"/>
      <c r="O552" s="191"/>
      <c r="P552" s="218">
        <f t="shared" si="75"/>
        <v>36450</v>
      </c>
      <c r="Q552" s="218">
        <f t="shared" si="76"/>
        <v>38393</v>
      </c>
      <c r="R552" s="699">
        <f t="shared" si="77"/>
        <v>105.33058984910836</v>
      </c>
    </row>
    <row r="553" spans="2:18" ht="12.75">
      <c r="B553" s="224">
        <f t="shared" si="73"/>
        <v>125</v>
      </c>
      <c r="C553" s="187"/>
      <c r="D553" s="188"/>
      <c r="E553" s="188"/>
      <c r="F553" s="188" t="s">
        <v>251</v>
      </c>
      <c r="G553" s="307" t="s">
        <v>292</v>
      </c>
      <c r="H553" s="207">
        <f>13858-1070</f>
        <v>12788</v>
      </c>
      <c r="I553" s="207">
        <v>13453</v>
      </c>
      <c r="J553" s="697">
        <f t="shared" si="74"/>
        <v>105.20018767594618</v>
      </c>
      <c r="K553" s="191"/>
      <c r="L553" s="634"/>
      <c r="M553" s="238"/>
      <c r="N553" s="716"/>
      <c r="O553" s="191"/>
      <c r="P553" s="218">
        <f t="shared" si="75"/>
        <v>12788</v>
      </c>
      <c r="Q553" s="218">
        <f t="shared" si="76"/>
        <v>13453</v>
      </c>
      <c r="R553" s="699">
        <f t="shared" si="77"/>
        <v>105.20018767594618</v>
      </c>
    </row>
    <row r="554" spans="2:18" ht="12.75">
      <c r="B554" s="224">
        <f t="shared" si="73"/>
        <v>126</v>
      </c>
      <c r="C554" s="187"/>
      <c r="D554" s="188"/>
      <c r="E554" s="188"/>
      <c r="F554" s="188" t="s">
        <v>257</v>
      </c>
      <c r="G554" s="307" t="s">
        <v>428</v>
      </c>
      <c r="H554" s="207">
        <f>H555+H556+H558+H557</f>
        <v>14106</v>
      </c>
      <c r="I554" s="207">
        <f>SUM(I555:I558)</f>
        <v>14475</v>
      </c>
      <c r="J554" s="697">
        <f t="shared" si="74"/>
        <v>102.61590812420248</v>
      </c>
      <c r="K554" s="191"/>
      <c r="L554" s="634"/>
      <c r="M554" s="238"/>
      <c r="N554" s="716"/>
      <c r="O554" s="191"/>
      <c r="P554" s="218">
        <f t="shared" si="75"/>
        <v>14106</v>
      </c>
      <c r="Q554" s="218">
        <f t="shared" si="76"/>
        <v>14475</v>
      </c>
      <c r="R554" s="699">
        <f t="shared" si="77"/>
        <v>102.61590812420248</v>
      </c>
    </row>
    <row r="555" spans="2:18" ht="12.75">
      <c r="B555" s="224">
        <f t="shared" si="73"/>
        <v>127</v>
      </c>
      <c r="C555" s="187"/>
      <c r="D555" s="166"/>
      <c r="E555" s="166"/>
      <c r="F555" s="166" t="s">
        <v>237</v>
      </c>
      <c r="G555" s="292" t="s">
        <v>398</v>
      </c>
      <c r="H555" s="206">
        <v>305</v>
      </c>
      <c r="I555" s="206">
        <v>288</v>
      </c>
      <c r="J555" s="697">
        <f t="shared" si="74"/>
        <v>94.42622950819673</v>
      </c>
      <c r="K555" s="191"/>
      <c r="L555" s="634"/>
      <c r="M555" s="238"/>
      <c r="N555" s="716"/>
      <c r="O555" s="191"/>
      <c r="P555" s="219">
        <f t="shared" si="75"/>
        <v>305</v>
      </c>
      <c r="Q555" s="219">
        <f t="shared" si="76"/>
        <v>288</v>
      </c>
      <c r="R555" s="699">
        <f t="shared" si="77"/>
        <v>94.42622950819673</v>
      </c>
    </row>
    <row r="556" spans="2:18" ht="12.75">
      <c r="B556" s="224">
        <f t="shared" si="73"/>
        <v>128</v>
      </c>
      <c r="C556" s="187"/>
      <c r="D556" s="166"/>
      <c r="E556" s="166"/>
      <c r="F556" s="166" t="s">
        <v>238</v>
      </c>
      <c r="G556" s="292" t="s">
        <v>294</v>
      </c>
      <c r="H556" s="206">
        <f>395+73</f>
        <v>468</v>
      </c>
      <c r="I556" s="206">
        <v>708</v>
      </c>
      <c r="J556" s="697">
        <f aca="true" t="shared" si="78" ref="J556:J568">I556/H556*100</f>
        <v>151.28205128205127</v>
      </c>
      <c r="K556" s="191"/>
      <c r="L556" s="634"/>
      <c r="M556" s="238"/>
      <c r="N556" s="716"/>
      <c r="O556" s="191"/>
      <c r="P556" s="219">
        <f aca="true" t="shared" si="79" ref="P556:P568">H556+L556</f>
        <v>468</v>
      </c>
      <c r="Q556" s="219">
        <f aca="true" t="shared" si="80" ref="Q556:Q568">M556+I556</f>
        <v>708</v>
      </c>
      <c r="R556" s="699">
        <f aca="true" t="shared" si="81" ref="R556:R568">Q556/P556*100</f>
        <v>151.28205128205127</v>
      </c>
    </row>
    <row r="557" spans="2:18" ht="12.75">
      <c r="B557" s="224">
        <f t="shared" si="73"/>
        <v>129</v>
      </c>
      <c r="C557" s="187"/>
      <c r="D557" s="166"/>
      <c r="E557" s="193"/>
      <c r="F557" s="166" t="s">
        <v>254</v>
      </c>
      <c r="G557" s="292" t="s">
        <v>435</v>
      </c>
      <c r="H557" s="206">
        <f>12000-600</f>
        <v>11400</v>
      </c>
      <c r="I557" s="206">
        <v>11574</v>
      </c>
      <c r="J557" s="697">
        <f t="shared" si="78"/>
        <v>101.52631578947368</v>
      </c>
      <c r="K557" s="191"/>
      <c r="L557" s="634"/>
      <c r="M557" s="238"/>
      <c r="N557" s="716"/>
      <c r="O557" s="191"/>
      <c r="P557" s="219">
        <f t="shared" si="79"/>
        <v>11400</v>
      </c>
      <c r="Q557" s="219">
        <f t="shared" si="80"/>
        <v>11574</v>
      </c>
      <c r="R557" s="699">
        <f t="shared" si="81"/>
        <v>101.52631578947368</v>
      </c>
    </row>
    <row r="558" spans="2:18" ht="12.75">
      <c r="B558" s="224">
        <f t="shared" si="73"/>
        <v>130</v>
      </c>
      <c r="C558" s="187"/>
      <c r="D558" s="166"/>
      <c r="E558" s="193"/>
      <c r="F558" s="166" t="s">
        <v>255</v>
      </c>
      <c r="G558" s="292" t="s">
        <v>295</v>
      </c>
      <c r="H558" s="206">
        <f>2023-90</f>
        <v>1933</v>
      </c>
      <c r="I558" s="206">
        <v>1905</v>
      </c>
      <c r="J558" s="697">
        <f t="shared" si="78"/>
        <v>98.55147439213657</v>
      </c>
      <c r="K558" s="191"/>
      <c r="L558" s="634"/>
      <c r="M558" s="238"/>
      <c r="N558" s="716"/>
      <c r="O558" s="191"/>
      <c r="P558" s="219">
        <f t="shared" si="79"/>
        <v>1933</v>
      </c>
      <c r="Q558" s="219">
        <f t="shared" si="80"/>
        <v>1905</v>
      </c>
      <c r="R558" s="699">
        <f t="shared" si="81"/>
        <v>98.55147439213657</v>
      </c>
    </row>
    <row r="559" spans="2:18" ht="12.75">
      <c r="B559" s="224">
        <f t="shared" si="73"/>
        <v>131</v>
      </c>
      <c r="C559" s="187"/>
      <c r="D559" s="166"/>
      <c r="E559" s="193"/>
      <c r="F559" s="217" t="s">
        <v>256</v>
      </c>
      <c r="G559" s="425" t="s">
        <v>464</v>
      </c>
      <c r="H559" s="207">
        <f>229+61</f>
        <v>290</v>
      </c>
      <c r="I559" s="207">
        <v>307</v>
      </c>
      <c r="J559" s="697">
        <f t="shared" si="78"/>
        <v>105.86206896551724</v>
      </c>
      <c r="K559" s="191"/>
      <c r="L559" s="757"/>
      <c r="M559" s="237"/>
      <c r="N559" s="716"/>
      <c r="O559" s="191"/>
      <c r="P559" s="218">
        <f t="shared" si="79"/>
        <v>290</v>
      </c>
      <c r="Q559" s="218">
        <f t="shared" si="80"/>
        <v>307</v>
      </c>
      <c r="R559" s="699">
        <f t="shared" si="81"/>
        <v>105.86206896551724</v>
      </c>
    </row>
    <row r="560" spans="2:18" ht="15">
      <c r="B560" s="224">
        <f t="shared" si="73"/>
        <v>132</v>
      </c>
      <c r="C560" s="187"/>
      <c r="D560" s="34" t="s">
        <v>453</v>
      </c>
      <c r="E560" s="239" t="s">
        <v>358</v>
      </c>
      <c r="F560" s="194" t="s">
        <v>452</v>
      </c>
      <c r="G560" s="366"/>
      <c r="H560" s="232">
        <f>H561+H562+H563+H568</f>
        <v>131580</v>
      </c>
      <c r="I560" s="232">
        <f>I561+I562+I563+I568</f>
        <v>149702</v>
      </c>
      <c r="J560" s="697">
        <f t="shared" si="78"/>
        <v>113.77260981912146</v>
      </c>
      <c r="K560" s="191"/>
      <c r="L560" s="758"/>
      <c r="M560" s="759"/>
      <c r="N560" s="716"/>
      <c r="O560" s="191"/>
      <c r="P560" s="395">
        <f t="shared" si="79"/>
        <v>131580</v>
      </c>
      <c r="Q560" s="395">
        <f t="shared" si="80"/>
        <v>149702</v>
      </c>
      <c r="R560" s="699">
        <f t="shared" si="81"/>
        <v>113.77260981912146</v>
      </c>
    </row>
    <row r="561" spans="2:18" ht="12.75">
      <c r="B561" s="224">
        <f t="shared" si="73"/>
        <v>133</v>
      </c>
      <c r="C561" s="187"/>
      <c r="D561" s="188"/>
      <c r="E561" s="188"/>
      <c r="F561" s="188" t="s">
        <v>250</v>
      </c>
      <c r="G561" s="307" t="s">
        <v>291</v>
      </c>
      <c r="H561" s="207">
        <v>77832</v>
      </c>
      <c r="I561" s="207">
        <v>80450</v>
      </c>
      <c r="J561" s="697">
        <f t="shared" si="78"/>
        <v>103.36365505190668</v>
      </c>
      <c r="K561" s="191"/>
      <c r="L561" s="634"/>
      <c r="M561" s="238"/>
      <c r="N561" s="716"/>
      <c r="O561" s="191"/>
      <c r="P561" s="218">
        <f t="shared" si="79"/>
        <v>77832</v>
      </c>
      <c r="Q561" s="218">
        <f t="shared" si="80"/>
        <v>80450</v>
      </c>
      <c r="R561" s="699">
        <f t="shared" si="81"/>
        <v>103.36365505190668</v>
      </c>
    </row>
    <row r="562" spans="2:18" ht="12.75">
      <c r="B562" s="224">
        <f t="shared" si="73"/>
        <v>134</v>
      </c>
      <c r="C562" s="187"/>
      <c r="D562" s="188"/>
      <c r="E562" s="188"/>
      <c r="F562" s="188" t="s">
        <v>251</v>
      </c>
      <c r="G562" s="307" t="s">
        <v>292</v>
      </c>
      <c r="H562" s="207">
        <f>29183-1860</f>
        <v>27323</v>
      </c>
      <c r="I562" s="207">
        <v>29121</v>
      </c>
      <c r="J562" s="697">
        <f t="shared" si="78"/>
        <v>106.58053654430333</v>
      </c>
      <c r="K562" s="191"/>
      <c r="L562" s="634"/>
      <c r="M562" s="238"/>
      <c r="N562" s="716"/>
      <c r="O562" s="191"/>
      <c r="P562" s="218">
        <f t="shared" si="79"/>
        <v>27323</v>
      </c>
      <c r="Q562" s="218">
        <f t="shared" si="80"/>
        <v>29121</v>
      </c>
      <c r="R562" s="699">
        <f t="shared" si="81"/>
        <v>106.58053654430333</v>
      </c>
    </row>
    <row r="563" spans="2:18" ht="12.75">
      <c r="B563" s="224">
        <f t="shared" si="73"/>
        <v>135</v>
      </c>
      <c r="C563" s="187"/>
      <c r="D563" s="188"/>
      <c r="E563" s="188"/>
      <c r="F563" s="188" t="s">
        <v>257</v>
      </c>
      <c r="G563" s="307" t="s">
        <v>428</v>
      </c>
      <c r="H563" s="207">
        <f>H564+H565+H567+H566</f>
        <v>25963</v>
      </c>
      <c r="I563" s="207">
        <f>SUM(I564:I567)</f>
        <v>39670</v>
      </c>
      <c r="J563" s="697">
        <f t="shared" si="78"/>
        <v>152.7943612063321</v>
      </c>
      <c r="K563" s="191"/>
      <c r="L563" s="634"/>
      <c r="M563" s="238"/>
      <c r="N563" s="716"/>
      <c r="O563" s="191"/>
      <c r="P563" s="218">
        <f t="shared" si="79"/>
        <v>25963</v>
      </c>
      <c r="Q563" s="218">
        <f t="shared" si="80"/>
        <v>39670</v>
      </c>
      <c r="R563" s="699">
        <f t="shared" si="81"/>
        <v>152.7943612063321</v>
      </c>
    </row>
    <row r="564" spans="2:18" ht="12.75">
      <c r="B564" s="224">
        <f t="shared" si="73"/>
        <v>136</v>
      </c>
      <c r="C564" s="187"/>
      <c r="D564" s="166"/>
      <c r="E564" s="166"/>
      <c r="F564" s="166" t="s">
        <v>237</v>
      </c>
      <c r="G564" s="292" t="s">
        <v>398</v>
      </c>
      <c r="H564" s="206">
        <v>730</v>
      </c>
      <c r="I564" s="206">
        <v>736</v>
      </c>
      <c r="J564" s="697">
        <f t="shared" si="78"/>
        <v>100.82191780821918</v>
      </c>
      <c r="K564" s="191"/>
      <c r="L564" s="634"/>
      <c r="M564" s="238"/>
      <c r="N564" s="716"/>
      <c r="O564" s="191"/>
      <c r="P564" s="219">
        <f t="shared" si="79"/>
        <v>730</v>
      </c>
      <c r="Q564" s="219">
        <f t="shared" si="80"/>
        <v>736</v>
      </c>
      <c r="R564" s="699">
        <f t="shared" si="81"/>
        <v>100.82191780821918</v>
      </c>
    </row>
    <row r="565" spans="2:18" ht="12.75">
      <c r="B565" s="224">
        <f t="shared" si="73"/>
        <v>137</v>
      </c>
      <c r="C565" s="187"/>
      <c r="D565" s="166"/>
      <c r="E565" s="166"/>
      <c r="F565" s="166" t="s">
        <v>238</v>
      </c>
      <c r="G565" s="292" t="s">
        <v>294</v>
      </c>
      <c r="H565" s="206">
        <f>1594+79</f>
        <v>1673</v>
      </c>
      <c r="I565" s="206">
        <v>1749</v>
      </c>
      <c r="J565" s="697">
        <f t="shared" si="78"/>
        <v>104.54273759713091</v>
      </c>
      <c r="K565" s="191"/>
      <c r="L565" s="634"/>
      <c r="M565" s="238"/>
      <c r="N565" s="716"/>
      <c r="O565" s="191"/>
      <c r="P565" s="219">
        <f t="shared" si="79"/>
        <v>1673</v>
      </c>
      <c r="Q565" s="219">
        <f t="shared" si="80"/>
        <v>1749</v>
      </c>
      <c r="R565" s="699">
        <f t="shared" si="81"/>
        <v>104.54273759713091</v>
      </c>
    </row>
    <row r="566" spans="2:18" ht="12.75">
      <c r="B566" s="224">
        <f t="shared" si="73"/>
        <v>138</v>
      </c>
      <c r="C566" s="187"/>
      <c r="D566" s="166"/>
      <c r="E566" s="193"/>
      <c r="F566" s="166" t="s">
        <v>254</v>
      </c>
      <c r="G566" s="292" t="s">
        <v>435</v>
      </c>
      <c r="H566" s="206">
        <v>19309</v>
      </c>
      <c r="I566" s="206">
        <v>32633</v>
      </c>
      <c r="J566" s="697">
        <f t="shared" si="78"/>
        <v>169.00409135636232</v>
      </c>
      <c r="K566" s="191"/>
      <c r="L566" s="634"/>
      <c r="M566" s="238"/>
      <c r="N566" s="716"/>
      <c r="O566" s="191"/>
      <c r="P566" s="219">
        <f t="shared" si="79"/>
        <v>19309</v>
      </c>
      <c r="Q566" s="219">
        <f t="shared" si="80"/>
        <v>32633</v>
      </c>
      <c r="R566" s="699">
        <f t="shared" si="81"/>
        <v>169.00409135636232</v>
      </c>
    </row>
    <row r="567" spans="2:18" ht="12.75">
      <c r="B567" s="224">
        <f t="shared" si="73"/>
        <v>139</v>
      </c>
      <c r="C567" s="187"/>
      <c r="D567" s="166"/>
      <c r="E567" s="193"/>
      <c r="F567" s="166" t="s">
        <v>255</v>
      </c>
      <c r="G567" s="292" t="s">
        <v>295</v>
      </c>
      <c r="H567" s="206">
        <f>4158+93</f>
        <v>4251</v>
      </c>
      <c r="I567" s="206">
        <v>4552</v>
      </c>
      <c r="J567" s="697">
        <f t="shared" si="78"/>
        <v>107.08068689720065</v>
      </c>
      <c r="K567" s="191"/>
      <c r="L567" s="634"/>
      <c r="M567" s="238"/>
      <c r="N567" s="716"/>
      <c r="O567" s="191"/>
      <c r="P567" s="219">
        <f t="shared" si="79"/>
        <v>4251</v>
      </c>
      <c r="Q567" s="219">
        <f t="shared" si="80"/>
        <v>4552</v>
      </c>
      <c r="R567" s="699">
        <f t="shared" si="81"/>
        <v>107.08068689720065</v>
      </c>
    </row>
    <row r="568" spans="2:18" ht="12.75">
      <c r="B568" s="224">
        <f t="shared" si="73"/>
        <v>140</v>
      </c>
      <c r="C568" s="187"/>
      <c r="D568" s="166"/>
      <c r="E568" s="193"/>
      <c r="F568" s="217" t="s">
        <v>256</v>
      </c>
      <c r="G568" s="425" t="s">
        <v>464</v>
      </c>
      <c r="H568" s="207">
        <v>462</v>
      </c>
      <c r="I568" s="207">
        <v>461</v>
      </c>
      <c r="J568" s="697">
        <f t="shared" si="78"/>
        <v>99.78354978354979</v>
      </c>
      <c r="K568" s="191"/>
      <c r="L568" s="757"/>
      <c r="M568" s="237"/>
      <c r="N568" s="716"/>
      <c r="O568" s="191"/>
      <c r="P568" s="218">
        <f t="shared" si="79"/>
        <v>462</v>
      </c>
      <c r="Q568" s="218">
        <f t="shared" si="80"/>
        <v>461</v>
      </c>
      <c r="R568" s="699">
        <f t="shared" si="81"/>
        <v>99.78354978354979</v>
      </c>
    </row>
    <row r="569" spans="2:18" ht="12.75">
      <c r="B569" s="224">
        <f t="shared" si="73"/>
        <v>141</v>
      </c>
      <c r="C569" s="187"/>
      <c r="D569" s="166"/>
      <c r="E569" s="193"/>
      <c r="F569" s="217"/>
      <c r="G569" s="307"/>
      <c r="H569" s="207"/>
      <c r="I569" s="207"/>
      <c r="J569" s="697"/>
      <c r="K569" s="191"/>
      <c r="L569" s="757"/>
      <c r="M569" s="237"/>
      <c r="N569" s="716"/>
      <c r="O569" s="191"/>
      <c r="P569" s="218"/>
      <c r="Q569" s="218"/>
      <c r="R569" s="699"/>
    </row>
    <row r="570" spans="2:18" ht="12.75">
      <c r="B570" s="224">
        <f t="shared" si="73"/>
        <v>142</v>
      </c>
      <c r="C570" s="187"/>
      <c r="D570" s="166"/>
      <c r="E570" s="193"/>
      <c r="F570" s="217" t="s">
        <v>256</v>
      </c>
      <c r="G570" s="307" t="s">
        <v>794</v>
      </c>
      <c r="H570" s="207"/>
      <c r="I570" s="207">
        <v>4833</v>
      </c>
      <c r="J570" s="697"/>
      <c r="K570" s="191"/>
      <c r="L570" s="757"/>
      <c r="M570" s="237"/>
      <c r="N570" s="716"/>
      <c r="O570" s="191"/>
      <c r="P570" s="218"/>
      <c r="Q570" s="218"/>
      <c r="R570" s="699"/>
    </row>
    <row r="571" spans="2:18" ht="12.75">
      <c r="B571" s="224">
        <f t="shared" si="73"/>
        <v>143</v>
      </c>
      <c r="C571" s="187"/>
      <c r="D571" s="166"/>
      <c r="E571" s="193"/>
      <c r="F571" s="166"/>
      <c r="G571" s="307"/>
      <c r="H571" s="207"/>
      <c r="I571" s="207"/>
      <c r="J571" s="697"/>
      <c r="K571" s="191"/>
      <c r="L571" s="634"/>
      <c r="M571" s="238"/>
      <c r="N571" s="716"/>
      <c r="O571" s="191"/>
      <c r="P571" s="219">
        <f aca="true" t="shared" si="82" ref="P571:P577">H571+L571</f>
        <v>0</v>
      </c>
      <c r="Q571" s="219"/>
      <c r="R571" s="699"/>
    </row>
    <row r="572" spans="2:18" ht="12.75">
      <c r="B572" s="224">
        <f t="shared" si="73"/>
        <v>144</v>
      </c>
      <c r="C572" s="187"/>
      <c r="D572" s="166"/>
      <c r="E572" s="193"/>
      <c r="F572" s="166" t="s">
        <v>256</v>
      </c>
      <c r="G572" s="307" t="s">
        <v>454</v>
      </c>
      <c r="H572" s="207">
        <v>32905</v>
      </c>
      <c r="I572" s="207">
        <v>32905</v>
      </c>
      <c r="J572" s="697">
        <f>I572/H572*100</f>
        <v>100</v>
      </c>
      <c r="K572" s="191"/>
      <c r="L572" s="634"/>
      <c r="M572" s="238"/>
      <c r="N572" s="716"/>
      <c r="O572" s="191"/>
      <c r="P572" s="218">
        <f t="shared" si="82"/>
        <v>32905</v>
      </c>
      <c r="Q572" s="218">
        <f>M572+I572</f>
        <v>32905</v>
      </c>
      <c r="R572" s="699">
        <f>Q572/P572*100</f>
        <v>100</v>
      </c>
    </row>
    <row r="573" spans="2:18" ht="12.75">
      <c r="B573" s="224">
        <f t="shared" si="73"/>
        <v>145</v>
      </c>
      <c r="C573" s="187"/>
      <c r="D573" s="166"/>
      <c r="E573" s="193"/>
      <c r="F573" s="166" t="s">
        <v>256</v>
      </c>
      <c r="G573" s="307" t="s">
        <v>455</v>
      </c>
      <c r="H573" s="207">
        <v>42920</v>
      </c>
      <c r="I573" s="207">
        <v>42920</v>
      </c>
      <c r="J573" s="697">
        <f>I573/H573*100</f>
        <v>100</v>
      </c>
      <c r="K573" s="191"/>
      <c r="L573" s="634"/>
      <c r="M573" s="238"/>
      <c r="N573" s="716"/>
      <c r="O573" s="191"/>
      <c r="P573" s="218">
        <f t="shared" si="82"/>
        <v>42920</v>
      </c>
      <c r="Q573" s="218">
        <f>M573+I573</f>
        <v>42920</v>
      </c>
      <c r="R573" s="699">
        <f>Q573/P573*100</f>
        <v>100</v>
      </c>
    </row>
    <row r="574" spans="2:18" ht="12.75">
      <c r="B574" s="224">
        <f t="shared" si="73"/>
        <v>146</v>
      </c>
      <c r="C574" s="187"/>
      <c r="D574" s="166"/>
      <c r="E574" s="193"/>
      <c r="F574" s="166" t="s">
        <v>256</v>
      </c>
      <c r="G574" s="307" t="s">
        <v>456</v>
      </c>
      <c r="H574" s="207">
        <v>54365</v>
      </c>
      <c r="I574" s="207">
        <v>54365</v>
      </c>
      <c r="J574" s="697">
        <f>I574/H574*100</f>
        <v>100</v>
      </c>
      <c r="K574" s="191"/>
      <c r="L574" s="634"/>
      <c r="M574" s="238"/>
      <c r="N574" s="716"/>
      <c r="O574" s="191"/>
      <c r="P574" s="218">
        <f t="shared" si="82"/>
        <v>54365</v>
      </c>
      <c r="Q574" s="218">
        <f>M574+I574</f>
        <v>54365</v>
      </c>
      <c r="R574" s="699">
        <f>Q574/P574*100</f>
        <v>100</v>
      </c>
    </row>
    <row r="575" spans="2:18" ht="12.75">
      <c r="B575" s="224">
        <f t="shared" si="73"/>
        <v>147</v>
      </c>
      <c r="C575" s="459"/>
      <c r="D575" s="460"/>
      <c r="E575" s="389"/>
      <c r="F575" s="460"/>
      <c r="G575" s="462"/>
      <c r="H575" s="408"/>
      <c r="I575" s="408"/>
      <c r="J575" s="716"/>
      <c r="K575" s="191"/>
      <c r="L575" s="634"/>
      <c r="M575" s="238"/>
      <c r="N575" s="716"/>
      <c r="O575" s="191"/>
      <c r="P575" s="219">
        <f t="shared" si="82"/>
        <v>0</v>
      </c>
      <c r="Q575" s="219"/>
      <c r="R575" s="699"/>
    </row>
    <row r="576" spans="2:18" ht="12.75">
      <c r="B576" s="224">
        <f t="shared" si="73"/>
        <v>148</v>
      </c>
      <c r="C576" s="433"/>
      <c r="D576" s="434"/>
      <c r="E576" s="648" t="s">
        <v>358</v>
      </c>
      <c r="F576" s="434" t="s">
        <v>407</v>
      </c>
      <c r="G576" s="310" t="s">
        <v>539</v>
      </c>
      <c r="H576" s="207"/>
      <c r="I576" s="207"/>
      <c r="J576" s="697"/>
      <c r="K576" s="375"/>
      <c r="L576" s="636">
        <f>8783/12*15</f>
        <v>10978.75</v>
      </c>
      <c r="M576" s="172">
        <v>10979</v>
      </c>
      <c r="N576" s="697">
        <f>M576/L576*100</f>
        <v>100.00227712626666</v>
      </c>
      <c r="O576" s="375"/>
      <c r="P576" s="221">
        <f t="shared" si="82"/>
        <v>10978.75</v>
      </c>
      <c r="Q576" s="221">
        <f>M576+I576</f>
        <v>10979</v>
      </c>
      <c r="R576" s="704">
        <f>Q576/P576*100</f>
        <v>100.00227712626666</v>
      </c>
    </row>
    <row r="577" spans="2:18" ht="12.75">
      <c r="B577" s="224">
        <f t="shared" si="73"/>
        <v>149</v>
      </c>
      <c r="C577" s="433"/>
      <c r="D577" s="434"/>
      <c r="E577" s="648" t="s">
        <v>358</v>
      </c>
      <c r="F577" s="434" t="s">
        <v>407</v>
      </c>
      <c r="G577" s="310" t="s">
        <v>540</v>
      </c>
      <c r="H577" s="207"/>
      <c r="I577" s="207"/>
      <c r="J577" s="697"/>
      <c r="K577" s="375"/>
      <c r="L577" s="636">
        <f>27710</f>
        <v>27710</v>
      </c>
      <c r="M577" s="172">
        <v>27710</v>
      </c>
      <c r="N577" s="697">
        <f>M577/L577*100</f>
        <v>100</v>
      </c>
      <c r="O577" s="375"/>
      <c r="P577" s="221">
        <f t="shared" si="82"/>
        <v>27710</v>
      </c>
      <c r="Q577" s="221">
        <f>M577+I577</f>
        <v>27710</v>
      </c>
      <c r="R577" s="704">
        <f>Q577/P577*100</f>
        <v>100</v>
      </c>
    </row>
    <row r="578" spans="2:18" ht="12.75">
      <c r="B578" s="647">
        <f t="shared" si="73"/>
        <v>150</v>
      </c>
      <c r="C578" s="433"/>
      <c r="D578" s="434"/>
      <c r="E578" s="648"/>
      <c r="F578" s="434"/>
      <c r="G578" s="311"/>
      <c r="H578" s="207"/>
      <c r="I578" s="207"/>
      <c r="J578" s="697"/>
      <c r="K578" s="375"/>
      <c r="L578" s="636"/>
      <c r="M578" s="172"/>
      <c r="N578" s="697"/>
      <c r="O578" s="375"/>
      <c r="P578" s="221"/>
      <c r="Q578" s="221"/>
      <c r="R578" s="704"/>
    </row>
    <row r="579" spans="2:18" ht="15.75">
      <c r="B579" s="647">
        <f t="shared" si="73"/>
        <v>151</v>
      </c>
      <c r="C579" s="24">
        <v>2</v>
      </c>
      <c r="D579" s="159" t="s">
        <v>114</v>
      </c>
      <c r="E579" s="25"/>
      <c r="F579" s="25"/>
      <c r="G579" s="293"/>
      <c r="H579" s="233">
        <f>H580+H590+H605+H625+H639+H656+H679+H695+H710</f>
        <v>5459194</v>
      </c>
      <c r="I579" s="617">
        <f>I580+I590+I605+I625+I639+I656+I679+I695+I710+I724</f>
        <v>5662427</v>
      </c>
      <c r="J579" s="684">
        <f aca="true" t="shared" si="83" ref="J579:J588">I579/H579*100</f>
        <v>103.72276566833858</v>
      </c>
      <c r="K579" s="378"/>
      <c r="L579" s="764">
        <f>L726+L727+L679+L605</f>
        <v>94311</v>
      </c>
      <c r="M579" s="678">
        <f>M580+M590+M605+M625+M639+M656+M679+M695+M710+M726+M727</f>
        <v>94273</v>
      </c>
      <c r="N579" s="684">
        <f>M579/L579*100</f>
        <v>99.95970777533904</v>
      </c>
      <c r="O579" s="377"/>
      <c r="P579" s="300">
        <f aca="true" t="shared" si="84" ref="P579:P588">H579+L579</f>
        <v>5553505</v>
      </c>
      <c r="Q579" s="609">
        <f aca="true" t="shared" si="85" ref="Q579:Q588">M579+I579</f>
        <v>5756700</v>
      </c>
      <c r="R579" s="702">
        <f aca="true" t="shared" si="86" ref="R579:R588">Q579/P579*100</f>
        <v>103.65886048540516</v>
      </c>
    </row>
    <row r="580" spans="2:18" ht="15">
      <c r="B580" s="647">
        <f t="shared" si="73"/>
        <v>152</v>
      </c>
      <c r="C580" s="433"/>
      <c r="D580" s="653" t="s">
        <v>5</v>
      </c>
      <c r="E580" s="194" t="s">
        <v>532</v>
      </c>
      <c r="F580" s="194" t="s">
        <v>290</v>
      </c>
      <c r="G580" s="366"/>
      <c r="H580" s="232">
        <f>H581+H582+H583+H588</f>
        <v>68633</v>
      </c>
      <c r="I580" s="232">
        <f>I581+I582+I583+I588</f>
        <v>76517</v>
      </c>
      <c r="J580" s="697">
        <f t="shared" si="83"/>
        <v>111.48718546471814</v>
      </c>
      <c r="K580" s="654"/>
      <c r="L580" s="765"/>
      <c r="M580" s="766"/>
      <c r="N580" s="697"/>
      <c r="O580" s="654"/>
      <c r="P580" s="655">
        <f t="shared" si="84"/>
        <v>68633</v>
      </c>
      <c r="Q580" s="655">
        <f t="shared" si="85"/>
        <v>76517</v>
      </c>
      <c r="R580" s="704">
        <f t="shared" si="86"/>
        <v>111.48718546471814</v>
      </c>
    </row>
    <row r="581" spans="2:18" ht="12.75">
      <c r="B581" s="647">
        <f t="shared" si="73"/>
        <v>153</v>
      </c>
      <c r="C581" s="433"/>
      <c r="D581" s="426"/>
      <c r="E581" s="426"/>
      <c r="F581" s="426" t="s">
        <v>250</v>
      </c>
      <c r="G581" s="311" t="s">
        <v>291</v>
      </c>
      <c r="H581" s="207">
        <f>38300+2200</f>
        <v>40500</v>
      </c>
      <c r="I581" s="207">
        <v>44739</v>
      </c>
      <c r="J581" s="697">
        <f t="shared" si="83"/>
        <v>110.46666666666667</v>
      </c>
      <c r="K581" s="375"/>
      <c r="L581" s="728"/>
      <c r="M581" s="190"/>
      <c r="N581" s="697"/>
      <c r="O581" s="375"/>
      <c r="P581" s="396">
        <f t="shared" si="84"/>
        <v>40500</v>
      </c>
      <c r="Q581" s="396">
        <f t="shared" si="85"/>
        <v>44739</v>
      </c>
      <c r="R581" s="704">
        <f t="shared" si="86"/>
        <v>110.46666666666667</v>
      </c>
    </row>
    <row r="582" spans="2:18" ht="12.75">
      <c r="B582" s="224">
        <f aca="true" t="shared" si="87" ref="B582:B645">B581+1</f>
        <v>154</v>
      </c>
      <c r="C582" s="187"/>
      <c r="D582" s="188"/>
      <c r="E582" s="188"/>
      <c r="F582" s="188" t="s">
        <v>251</v>
      </c>
      <c r="G582" s="307" t="s">
        <v>292</v>
      </c>
      <c r="H582" s="411">
        <f>13460+800-800</f>
        <v>13460</v>
      </c>
      <c r="I582" s="411">
        <v>15920</v>
      </c>
      <c r="J582" s="720">
        <f t="shared" si="83"/>
        <v>118.27637444279347</v>
      </c>
      <c r="K582" s="191"/>
      <c r="L582" s="767"/>
      <c r="M582" s="768"/>
      <c r="N582" s="723"/>
      <c r="O582" s="191"/>
      <c r="P582" s="568">
        <f t="shared" si="84"/>
        <v>13460</v>
      </c>
      <c r="Q582" s="568">
        <f t="shared" si="85"/>
        <v>15920</v>
      </c>
      <c r="R582" s="724">
        <f t="shared" si="86"/>
        <v>118.27637444279347</v>
      </c>
    </row>
    <row r="583" spans="2:18" ht="12.75">
      <c r="B583" s="224">
        <f t="shared" si="87"/>
        <v>155</v>
      </c>
      <c r="C583" s="187"/>
      <c r="D583" s="188"/>
      <c r="E583" s="188"/>
      <c r="F583" s="188" t="s">
        <v>257</v>
      </c>
      <c r="G583" s="307" t="s">
        <v>297</v>
      </c>
      <c r="H583" s="207">
        <f>H584+H585+H586</f>
        <v>14626</v>
      </c>
      <c r="I583" s="207">
        <f>SUM(I584:I587)</f>
        <v>15811</v>
      </c>
      <c r="J583" s="697">
        <f t="shared" si="83"/>
        <v>108.10201011896623</v>
      </c>
      <c r="K583" s="191"/>
      <c r="L583" s="757"/>
      <c r="M583" s="237"/>
      <c r="N583" s="716"/>
      <c r="O583" s="191"/>
      <c r="P583" s="218">
        <f t="shared" si="84"/>
        <v>14626</v>
      </c>
      <c r="Q583" s="218">
        <f t="shared" si="85"/>
        <v>15811</v>
      </c>
      <c r="R583" s="699">
        <f t="shared" si="86"/>
        <v>108.10201011896623</v>
      </c>
    </row>
    <row r="584" spans="2:18" ht="12.75">
      <c r="B584" s="224">
        <f t="shared" si="87"/>
        <v>156</v>
      </c>
      <c r="C584" s="187"/>
      <c r="D584" s="188"/>
      <c r="E584" s="188"/>
      <c r="F584" s="166" t="s">
        <v>237</v>
      </c>
      <c r="G584" s="292" t="s">
        <v>293</v>
      </c>
      <c r="H584" s="206">
        <v>9200</v>
      </c>
      <c r="I584" s="206">
        <v>9966</v>
      </c>
      <c r="J584" s="697">
        <f t="shared" si="83"/>
        <v>108.32608695652175</v>
      </c>
      <c r="K584" s="191"/>
      <c r="L584" s="757"/>
      <c r="M584" s="237"/>
      <c r="N584" s="716"/>
      <c r="O584" s="191"/>
      <c r="P584" s="218">
        <f t="shared" si="84"/>
        <v>9200</v>
      </c>
      <c r="Q584" s="218">
        <f t="shared" si="85"/>
        <v>9966</v>
      </c>
      <c r="R584" s="699">
        <f t="shared" si="86"/>
        <v>108.32608695652175</v>
      </c>
    </row>
    <row r="585" spans="2:18" ht="12.75">
      <c r="B585" s="224">
        <f t="shared" si="87"/>
        <v>157</v>
      </c>
      <c r="C585" s="187"/>
      <c r="D585" s="188"/>
      <c r="E585" s="188"/>
      <c r="F585" s="166" t="s">
        <v>238</v>
      </c>
      <c r="G585" s="292" t="s">
        <v>294</v>
      </c>
      <c r="H585" s="206">
        <f>1975+1953</f>
        <v>3928</v>
      </c>
      <c r="I585" s="206">
        <v>2328</v>
      </c>
      <c r="J585" s="697">
        <f t="shared" si="83"/>
        <v>59.26680244399185</v>
      </c>
      <c r="K585" s="191"/>
      <c r="L585" s="757"/>
      <c r="M585" s="237"/>
      <c r="N585" s="716"/>
      <c r="O585" s="191"/>
      <c r="P585" s="218">
        <f t="shared" si="84"/>
        <v>3928</v>
      </c>
      <c r="Q585" s="218">
        <f t="shared" si="85"/>
        <v>2328</v>
      </c>
      <c r="R585" s="699">
        <f t="shared" si="86"/>
        <v>59.26680244399185</v>
      </c>
    </row>
    <row r="586" spans="2:18" ht="12.75">
      <c r="B586" s="224">
        <f t="shared" si="87"/>
        <v>158</v>
      </c>
      <c r="C586" s="187"/>
      <c r="D586" s="188"/>
      <c r="E586" s="188"/>
      <c r="F586" s="166" t="s">
        <v>255</v>
      </c>
      <c r="G586" s="292" t="s">
        <v>295</v>
      </c>
      <c r="H586" s="206">
        <f>2398-50-850</f>
        <v>1498</v>
      </c>
      <c r="I586" s="206">
        <v>1845</v>
      </c>
      <c r="J586" s="697">
        <f t="shared" si="83"/>
        <v>123.16421895861147</v>
      </c>
      <c r="K586" s="191"/>
      <c r="L586" s="757"/>
      <c r="M586" s="237"/>
      <c r="N586" s="716"/>
      <c r="O586" s="191"/>
      <c r="P586" s="218">
        <f t="shared" si="84"/>
        <v>1498</v>
      </c>
      <c r="Q586" s="218">
        <f t="shared" si="85"/>
        <v>1845</v>
      </c>
      <c r="R586" s="699">
        <f t="shared" si="86"/>
        <v>123.16421895861147</v>
      </c>
    </row>
    <row r="587" spans="2:18" ht="12.75">
      <c r="B587" s="224">
        <f t="shared" si="87"/>
        <v>159</v>
      </c>
      <c r="C587" s="187"/>
      <c r="D587" s="188"/>
      <c r="E587" s="188"/>
      <c r="F587" s="166" t="s">
        <v>257</v>
      </c>
      <c r="G587" s="292" t="s">
        <v>296</v>
      </c>
      <c r="H587" s="206">
        <v>750</v>
      </c>
      <c r="I587" s="206">
        <v>1672</v>
      </c>
      <c r="J587" s="697">
        <f t="shared" si="83"/>
        <v>222.93333333333334</v>
      </c>
      <c r="K587" s="191"/>
      <c r="L587" s="757"/>
      <c r="M587" s="237"/>
      <c r="N587" s="716"/>
      <c r="O587" s="191"/>
      <c r="P587" s="218">
        <f t="shared" si="84"/>
        <v>750</v>
      </c>
      <c r="Q587" s="218">
        <f t="shared" si="85"/>
        <v>1672</v>
      </c>
      <c r="R587" s="699">
        <f t="shared" si="86"/>
        <v>222.93333333333334</v>
      </c>
    </row>
    <row r="588" spans="2:18" ht="12.75">
      <c r="B588" s="224">
        <f t="shared" si="87"/>
        <v>160</v>
      </c>
      <c r="C588" s="187"/>
      <c r="D588" s="217"/>
      <c r="E588" s="217"/>
      <c r="F588" s="217" t="s">
        <v>256</v>
      </c>
      <c r="G588" s="425" t="s">
        <v>459</v>
      </c>
      <c r="H588" s="207">
        <f>1100+50-1103</f>
        <v>47</v>
      </c>
      <c r="I588" s="207">
        <v>47</v>
      </c>
      <c r="J588" s="697">
        <f t="shared" si="83"/>
        <v>100</v>
      </c>
      <c r="K588" s="424"/>
      <c r="L588" s="728"/>
      <c r="M588" s="190"/>
      <c r="N588" s="697"/>
      <c r="O588" s="424"/>
      <c r="P588" s="396">
        <f t="shared" si="84"/>
        <v>47</v>
      </c>
      <c r="Q588" s="396">
        <f t="shared" si="85"/>
        <v>47</v>
      </c>
      <c r="R588" s="704">
        <f t="shared" si="86"/>
        <v>100</v>
      </c>
    </row>
    <row r="589" spans="2:18" ht="12.75">
      <c r="B589" s="224">
        <f t="shared" si="87"/>
        <v>161</v>
      </c>
      <c r="C589" s="187"/>
      <c r="D589" s="217"/>
      <c r="E589" s="217"/>
      <c r="F589" s="217"/>
      <c r="G589" s="307"/>
      <c r="H589" s="411"/>
      <c r="I589" s="411"/>
      <c r="J589" s="720"/>
      <c r="K589" s="191"/>
      <c r="L589" s="728"/>
      <c r="M589" s="190"/>
      <c r="N589" s="697"/>
      <c r="O589" s="375"/>
      <c r="P589" s="396"/>
      <c r="Q589" s="396"/>
      <c r="R589" s="704"/>
    </row>
    <row r="590" spans="2:18" ht="15">
      <c r="B590" s="224">
        <f t="shared" si="87"/>
        <v>162</v>
      </c>
      <c r="C590" s="165"/>
      <c r="D590" s="402">
        <v>2</v>
      </c>
      <c r="E590" s="402" t="s">
        <v>532</v>
      </c>
      <c r="F590" s="402" t="s">
        <v>457</v>
      </c>
      <c r="G590" s="403"/>
      <c r="H590" s="404">
        <f>H591+H592+H593+H602+H603+H604</f>
        <v>878657</v>
      </c>
      <c r="I590" s="404">
        <f>I591+I592+I593+I602+I603+I604</f>
        <v>933940</v>
      </c>
      <c r="J590" s="720">
        <f aca="true" t="shared" si="88" ref="J590:J603">I590/H590*100</f>
        <v>106.29176117643175</v>
      </c>
      <c r="K590" s="23"/>
      <c r="L590" s="769"/>
      <c r="M590" s="770"/>
      <c r="N590" s="723"/>
      <c r="O590" s="23"/>
      <c r="P590" s="409">
        <f aca="true" t="shared" si="89" ref="P590:P603">H590+L590</f>
        <v>878657</v>
      </c>
      <c r="Q590" s="409">
        <f aca="true" t="shared" si="90" ref="Q590:Q621">M590+I590</f>
        <v>933940</v>
      </c>
      <c r="R590" s="724">
        <f aca="true" t="shared" si="91" ref="R590:R603">Q590/P590*100</f>
        <v>106.29176117643175</v>
      </c>
    </row>
    <row r="591" spans="2:18" ht="12.75">
      <c r="B591" s="224">
        <f t="shared" si="87"/>
        <v>163</v>
      </c>
      <c r="C591" s="187"/>
      <c r="D591" s="166"/>
      <c r="E591" s="188"/>
      <c r="F591" s="188" t="s">
        <v>250</v>
      </c>
      <c r="G591" s="307" t="s">
        <v>291</v>
      </c>
      <c r="H591" s="207">
        <f>447554+8800+296</f>
        <v>456650</v>
      </c>
      <c r="I591" s="207">
        <v>501766</v>
      </c>
      <c r="J591" s="697">
        <f t="shared" si="88"/>
        <v>109.87977663418374</v>
      </c>
      <c r="K591" s="191"/>
      <c r="L591" s="757"/>
      <c r="M591" s="237"/>
      <c r="N591" s="716"/>
      <c r="O591" s="191"/>
      <c r="P591" s="218">
        <f t="shared" si="89"/>
        <v>456650</v>
      </c>
      <c r="Q591" s="218">
        <f t="shared" si="90"/>
        <v>501766</v>
      </c>
      <c r="R591" s="699">
        <f t="shared" si="91"/>
        <v>109.87977663418374</v>
      </c>
    </row>
    <row r="592" spans="2:18" ht="12.75">
      <c r="B592" s="224">
        <f t="shared" si="87"/>
        <v>164</v>
      </c>
      <c r="C592" s="187"/>
      <c r="D592" s="166"/>
      <c r="E592" s="188"/>
      <c r="F592" s="188" t="s">
        <v>251</v>
      </c>
      <c r="G592" s="307" t="s">
        <v>292</v>
      </c>
      <c r="H592" s="207">
        <f>156644+3102+104</f>
        <v>159850</v>
      </c>
      <c r="I592" s="207">
        <v>175092</v>
      </c>
      <c r="J592" s="697">
        <f t="shared" si="88"/>
        <v>109.53518923991241</v>
      </c>
      <c r="K592" s="191"/>
      <c r="L592" s="757"/>
      <c r="M592" s="237"/>
      <c r="N592" s="716"/>
      <c r="O592" s="191"/>
      <c r="P592" s="218">
        <f t="shared" si="89"/>
        <v>159850</v>
      </c>
      <c r="Q592" s="218">
        <f t="shared" si="90"/>
        <v>175092</v>
      </c>
      <c r="R592" s="699">
        <f t="shared" si="91"/>
        <v>109.53518923991241</v>
      </c>
    </row>
    <row r="593" spans="2:18" ht="12.75">
      <c r="B593" s="224">
        <f t="shared" si="87"/>
        <v>165</v>
      </c>
      <c r="C593" s="187"/>
      <c r="D593" s="166"/>
      <c r="E593" s="188"/>
      <c r="F593" s="188" t="s">
        <v>257</v>
      </c>
      <c r="G593" s="307" t="s">
        <v>428</v>
      </c>
      <c r="H593" s="207">
        <f>SUM(H594:H601)</f>
        <v>219447</v>
      </c>
      <c r="I593" s="207">
        <f>SUM(I594:I601)</f>
        <v>202188</v>
      </c>
      <c r="J593" s="697">
        <f t="shared" si="88"/>
        <v>92.13523083022325</v>
      </c>
      <c r="K593" s="191"/>
      <c r="L593" s="757"/>
      <c r="M593" s="237"/>
      <c r="N593" s="716"/>
      <c r="O593" s="191"/>
      <c r="P593" s="218">
        <f t="shared" si="89"/>
        <v>219447</v>
      </c>
      <c r="Q593" s="218">
        <f t="shared" si="90"/>
        <v>202188</v>
      </c>
      <c r="R593" s="699">
        <f t="shared" si="91"/>
        <v>92.13523083022325</v>
      </c>
    </row>
    <row r="594" spans="2:18" ht="12.75">
      <c r="B594" s="224">
        <f t="shared" si="87"/>
        <v>166</v>
      </c>
      <c r="C594" s="165"/>
      <c r="D594" s="166"/>
      <c r="E594" s="166"/>
      <c r="F594" s="166" t="s">
        <v>252</v>
      </c>
      <c r="G594" s="292" t="s">
        <v>305</v>
      </c>
      <c r="H594" s="206">
        <v>77</v>
      </c>
      <c r="I594" s="206">
        <v>39</v>
      </c>
      <c r="J594" s="697">
        <f t="shared" si="88"/>
        <v>50.649350649350644</v>
      </c>
      <c r="K594" s="168"/>
      <c r="L594" s="634"/>
      <c r="M594" s="238"/>
      <c r="N594" s="716"/>
      <c r="O594" s="168"/>
      <c r="P594" s="219">
        <f t="shared" si="89"/>
        <v>77</v>
      </c>
      <c r="Q594" s="219">
        <f t="shared" si="90"/>
        <v>39</v>
      </c>
      <c r="R594" s="699">
        <f t="shared" si="91"/>
        <v>50.649350649350644</v>
      </c>
    </row>
    <row r="595" spans="2:18" ht="12.75">
      <c r="B595" s="224">
        <f t="shared" si="87"/>
        <v>167</v>
      </c>
      <c r="C595" s="165"/>
      <c r="D595" s="166"/>
      <c r="E595" s="166"/>
      <c r="F595" s="166" t="s">
        <v>237</v>
      </c>
      <c r="G595" s="292" t="s">
        <v>398</v>
      </c>
      <c r="H595" s="206">
        <f>105900+5218+20000</f>
        <v>131118</v>
      </c>
      <c r="I595" s="206">
        <v>112941</v>
      </c>
      <c r="J595" s="697">
        <f t="shared" si="88"/>
        <v>86.13691484006772</v>
      </c>
      <c r="K595" s="168"/>
      <c r="L595" s="634"/>
      <c r="M595" s="238"/>
      <c r="N595" s="716"/>
      <c r="O595" s="168"/>
      <c r="P595" s="219">
        <f t="shared" si="89"/>
        <v>131118</v>
      </c>
      <c r="Q595" s="219">
        <f t="shared" si="90"/>
        <v>112941</v>
      </c>
      <c r="R595" s="699">
        <f t="shared" si="91"/>
        <v>86.13691484006772</v>
      </c>
    </row>
    <row r="596" spans="2:18" ht="12.75">
      <c r="B596" s="224">
        <f t="shared" si="87"/>
        <v>168</v>
      </c>
      <c r="C596" s="165"/>
      <c r="D596" s="166"/>
      <c r="E596" s="166"/>
      <c r="F596" s="166" t="s">
        <v>238</v>
      </c>
      <c r="G596" s="292" t="s">
        <v>294</v>
      </c>
      <c r="H596" s="206">
        <f>16628+1267</f>
        <v>17895</v>
      </c>
      <c r="I596" s="206">
        <v>20714</v>
      </c>
      <c r="J596" s="697">
        <f t="shared" si="88"/>
        <v>115.75300363229952</v>
      </c>
      <c r="K596" s="168"/>
      <c r="L596" s="634"/>
      <c r="M596" s="238"/>
      <c r="N596" s="716"/>
      <c r="O596" s="168"/>
      <c r="P596" s="219">
        <f t="shared" si="89"/>
        <v>17895</v>
      </c>
      <c r="Q596" s="219">
        <f t="shared" si="90"/>
        <v>20714</v>
      </c>
      <c r="R596" s="699">
        <f t="shared" si="91"/>
        <v>115.75300363229952</v>
      </c>
    </row>
    <row r="597" spans="2:18" ht="12.75">
      <c r="B597" s="224">
        <f t="shared" si="87"/>
        <v>169</v>
      </c>
      <c r="C597" s="187"/>
      <c r="D597" s="166"/>
      <c r="E597" s="193"/>
      <c r="F597" s="166" t="s">
        <v>239</v>
      </c>
      <c r="G597" s="292" t="s">
        <v>458</v>
      </c>
      <c r="H597" s="206">
        <v>26</v>
      </c>
      <c r="I597" s="206">
        <v>26</v>
      </c>
      <c r="J597" s="697">
        <f t="shared" si="88"/>
        <v>100</v>
      </c>
      <c r="K597" s="191"/>
      <c r="L597" s="757"/>
      <c r="M597" s="237"/>
      <c r="N597" s="716"/>
      <c r="O597" s="191"/>
      <c r="P597" s="219">
        <f t="shared" si="89"/>
        <v>26</v>
      </c>
      <c r="Q597" s="219">
        <f t="shared" si="90"/>
        <v>26</v>
      </c>
      <c r="R597" s="699">
        <f t="shared" si="91"/>
        <v>100</v>
      </c>
    </row>
    <row r="598" spans="2:18" ht="12.75">
      <c r="B598" s="224">
        <f t="shared" si="87"/>
        <v>170</v>
      </c>
      <c r="C598" s="165"/>
      <c r="D598" s="166"/>
      <c r="E598" s="193"/>
      <c r="F598" s="166" t="s">
        <v>253</v>
      </c>
      <c r="G598" s="292" t="s">
        <v>311</v>
      </c>
      <c r="H598" s="206">
        <v>7660</v>
      </c>
      <c r="I598" s="206">
        <v>7340</v>
      </c>
      <c r="J598" s="697">
        <f t="shared" si="88"/>
        <v>95.822454308094</v>
      </c>
      <c r="K598" s="23"/>
      <c r="L598" s="634"/>
      <c r="M598" s="238"/>
      <c r="N598" s="716"/>
      <c r="O598" s="168"/>
      <c r="P598" s="219">
        <f t="shared" si="89"/>
        <v>7660</v>
      </c>
      <c r="Q598" s="219">
        <f t="shared" si="90"/>
        <v>7340</v>
      </c>
      <c r="R598" s="699">
        <f t="shared" si="91"/>
        <v>95.822454308094</v>
      </c>
    </row>
    <row r="599" spans="2:18" ht="12.75">
      <c r="B599" s="224">
        <f t="shared" si="87"/>
        <v>171</v>
      </c>
      <c r="C599" s="165"/>
      <c r="D599" s="166"/>
      <c r="E599" s="193"/>
      <c r="F599" s="166" t="s">
        <v>255</v>
      </c>
      <c r="G599" s="292" t="s">
        <v>295</v>
      </c>
      <c r="H599" s="206">
        <f>54780-5218</f>
        <v>49562</v>
      </c>
      <c r="I599" s="206">
        <v>47388</v>
      </c>
      <c r="J599" s="697">
        <f t="shared" si="88"/>
        <v>95.6135749162665</v>
      </c>
      <c r="K599" s="168"/>
      <c r="L599" s="634"/>
      <c r="M599" s="238"/>
      <c r="N599" s="716"/>
      <c r="O599" s="168"/>
      <c r="P599" s="219">
        <f t="shared" si="89"/>
        <v>49562</v>
      </c>
      <c r="Q599" s="219">
        <f t="shared" si="90"/>
        <v>47388</v>
      </c>
      <c r="R599" s="699">
        <f t="shared" si="91"/>
        <v>95.6135749162665</v>
      </c>
    </row>
    <row r="600" spans="2:18" ht="12.75">
      <c r="B600" s="224">
        <f t="shared" si="87"/>
        <v>172</v>
      </c>
      <c r="C600" s="459"/>
      <c r="D600" s="460"/>
      <c r="E600" s="461"/>
      <c r="F600" s="460" t="s">
        <v>257</v>
      </c>
      <c r="G600" s="344" t="s">
        <v>296</v>
      </c>
      <c r="H600" s="247">
        <v>11116</v>
      </c>
      <c r="I600" s="247">
        <v>11747</v>
      </c>
      <c r="J600" s="716">
        <f t="shared" si="88"/>
        <v>105.67650233897086</v>
      </c>
      <c r="K600" s="191"/>
      <c r="L600" s="757"/>
      <c r="M600" s="237"/>
      <c r="N600" s="716"/>
      <c r="O600" s="191"/>
      <c r="P600" s="219">
        <f t="shared" si="89"/>
        <v>11116</v>
      </c>
      <c r="Q600" s="219">
        <f t="shared" si="90"/>
        <v>11747</v>
      </c>
      <c r="R600" s="699">
        <f t="shared" si="91"/>
        <v>105.67650233897086</v>
      </c>
    </row>
    <row r="601" spans="2:18" ht="12.75">
      <c r="B601" s="224">
        <f t="shared" si="87"/>
        <v>173</v>
      </c>
      <c r="C601" s="433"/>
      <c r="D601" s="434"/>
      <c r="E601" s="648"/>
      <c r="F601" s="434" t="s">
        <v>237</v>
      </c>
      <c r="G601" s="310" t="s">
        <v>707</v>
      </c>
      <c r="H601" s="206">
        <v>1993</v>
      </c>
      <c r="I601" s="206">
        <v>1993</v>
      </c>
      <c r="J601" s="697">
        <f t="shared" si="88"/>
        <v>100</v>
      </c>
      <c r="K601" s="248"/>
      <c r="L601" s="636"/>
      <c r="M601" s="172"/>
      <c r="N601" s="697"/>
      <c r="O601" s="248"/>
      <c r="P601" s="221">
        <f t="shared" si="89"/>
        <v>1993</v>
      </c>
      <c r="Q601" s="221">
        <f t="shared" si="90"/>
        <v>1993</v>
      </c>
      <c r="R601" s="704">
        <f t="shared" si="91"/>
        <v>100</v>
      </c>
    </row>
    <row r="602" spans="2:18" ht="12.75">
      <c r="B602" s="224">
        <f t="shared" si="87"/>
        <v>174</v>
      </c>
      <c r="C602" s="171"/>
      <c r="D602" s="434"/>
      <c r="E602" s="648"/>
      <c r="F602" s="426" t="s">
        <v>256</v>
      </c>
      <c r="G602" s="311" t="s">
        <v>459</v>
      </c>
      <c r="H602" s="207">
        <v>2700</v>
      </c>
      <c r="I602" s="207">
        <v>2706</v>
      </c>
      <c r="J602" s="697">
        <f t="shared" si="88"/>
        <v>100.22222222222221</v>
      </c>
      <c r="K602" s="248"/>
      <c r="L602" s="636"/>
      <c r="M602" s="172"/>
      <c r="N602" s="697"/>
      <c r="O602" s="248"/>
      <c r="P602" s="221">
        <f t="shared" si="89"/>
        <v>2700</v>
      </c>
      <c r="Q602" s="221">
        <f t="shared" si="90"/>
        <v>2706</v>
      </c>
      <c r="R602" s="704">
        <f t="shared" si="91"/>
        <v>100.22222222222221</v>
      </c>
    </row>
    <row r="603" spans="2:18" ht="12.75">
      <c r="B603" s="224">
        <f t="shared" si="87"/>
        <v>175</v>
      </c>
      <c r="C603" s="171"/>
      <c r="D603" s="434"/>
      <c r="E603" s="434"/>
      <c r="F603" s="426" t="s">
        <v>257</v>
      </c>
      <c r="G603" s="311" t="s">
        <v>525</v>
      </c>
      <c r="H603" s="207">
        <v>40010</v>
      </c>
      <c r="I603" s="207">
        <v>49706</v>
      </c>
      <c r="J603" s="697">
        <f t="shared" si="88"/>
        <v>124.23394151462135</v>
      </c>
      <c r="K603" s="248"/>
      <c r="L603" s="636"/>
      <c r="M603" s="172"/>
      <c r="N603" s="697"/>
      <c r="O603" s="248"/>
      <c r="P603" s="221">
        <f t="shared" si="89"/>
        <v>40010</v>
      </c>
      <c r="Q603" s="221">
        <f t="shared" si="90"/>
        <v>49706</v>
      </c>
      <c r="R603" s="704">
        <f t="shared" si="91"/>
        <v>124.23394151462135</v>
      </c>
    </row>
    <row r="604" spans="2:18" ht="12.75">
      <c r="B604" s="224">
        <f t="shared" si="87"/>
        <v>176</v>
      </c>
      <c r="C604" s="171"/>
      <c r="D604" s="434"/>
      <c r="E604" s="579"/>
      <c r="F604" s="649" t="s">
        <v>256</v>
      </c>
      <c r="G604" s="311" t="s">
        <v>794</v>
      </c>
      <c r="H604" s="207"/>
      <c r="I604" s="207">
        <v>2482</v>
      </c>
      <c r="J604" s="697"/>
      <c r="K604" s="248"/>
      <c r="L604" s="636"/>
      <c r="M604" s="172"/>
      <c r="N604" s="697"/>
      <c r="O604" s="248"/>
      <c r="P604" s="221"/>
      <c r="Q604" s="221">
        <f t="shared" si="90"/>
        <v>2482</v>
      </c>
      <c r="R604" s="704"/>
    </row>
    <row r="605" spans="2:18" ht="15">
      <c r="B605" s="224">
        <f t="shared" si="87"/>
        <v>177</v>
      </c>
      <c r="C605" s="433"/>
      <c r="D605" s="656" t="s">
        <v>7</v>
      </c>
      <c r="E605" s="194" t="s">
        <v>532</v>
      </c>
      <c r="F605" s="194" t="s">
        <v>460</v>
      </c>
      <c r="G605" s="366"/>
      <c r="H605" s="232">
        <f>H606+H607+H608+H619+H620</f>
        <v>1215609</v>
      </c>
      <c r="I605" s="232">
        <f>I606+I607+I608+I619+I620+I621</f>
        <v>1180920</v>
      </c>
      <c r="J605" s="697">
        <f aca="true" t="shared" si="92" ref="J605:J620">I605/H605*100</f>
        <v>97.14636861030151</v>
      </c>
      <c r="K605" s="375"/>
      <c r="L605" s="771">
        <f>L623</f>
        <v>2929</v>
      </c>
      <c r="M605" s="772">
        <f>SUM(M623)</f>
        <v>2929</v>
      </c>
      <c r="N605" s="697">
        <f>M605/L605*100</f>
        <v>100</v>
      </c>
      <c r="O605" s="375"/>
      <c r="P605" s="397">
        <f aca="true" t="shared" si="93" ref="P605:P620">H605+L605</f>
        <v>1218538</v>
      </c>
      <c r="Q605" s="397">
        <f t="shared" si="90"/>
        <v>1183849</v>
      </c>
      <c r="R605" s="704">
        <f aca="true" t="shared" si="94" ref="R605:R620">Q605/P605*100</f>
        <v>97.15322788456331</v>
      </c>
    </row>
    <row r="606" spans="2:18" ht="12.75">
      <c r="B606" s="224">
        <f t="shared" si="87"/>
        <v>178</v>
      </c>
      <c r="C606" s="433"/>
      <c r="D606" s="426"/>
      <c r="E606" s="426"/>
      <c r="F606" s="426" t="s">
        <v>250</v>
      </c>
      <c r="G606" s="311" t="s">
        <v>291</v>
      </c>
      <c r="H606" s="207">
        <f>661526+8125+148</f>
        <v>669799</v>
      </c>
      <c r="I606" s="207">
        <v>688482</v>
      </c>
      <c r="J606" s="697">
        <f t="shared" si="92"/>
        <v>102.78934426596635</v>
      </c>
      <c r="K606" s="375"/>
      <c r="L606" s="728"/>
      <c r="M606" s="190"/>
      <c r="N606" s="697"/>
      <c r="O606" s="375"/>
      <c r="P606" s="396">
        <f t="shared" si="93"/>
        <v>669799</v>
      </c>
      <c r="Q606" s="396">
        <f t="shared" si="90"/>
        <v>688482</v>
      </c>
      <c r="R606" s="704">
        <f t="shared" si="94"/>
        <v>102.78934426596635</v>
      </c>
    </row>
    <row r="607" spans="2:18" ht="12.75">
      <c r="B607" s="224">
        <f t="shared" si="87"/>
        <v>179</v>
      </c>
      <c r="C607" s="433"/>
      <c r="D607" s="426"/>
      <c r="E607" s="426"/>
      <c r="F607" s="426" t="s">
        <v>251</v>
      </c>
      <c r="G607" s="311" t="s">
        <v>292</v>
      </c>
      <c r="H607" s="207">
        <f>232857+2865+52</f>
        <v>235774</v>
      </c>
      <c r="I607" s="207">
        <v>251176</v>
      </c>
      <c r="J607" s="697">
        <f t="shared" si="92"/>
        <v>106.53252691136427</v>
      </c>
      <c r="K607" s="375"/>
      <c r="L607" s="728"/>
      <c r="M607" s="190"/>
      <c r="N607" s="697"/>
      <c r="O607" s="375"/>
      <c r="P607" s="396">
        <f t="shared" si="93"/>
        <v>235774</v>
      </c>
      <c r="Q607" s="396">
        <f t="shared" si="90"/>
        <v>251176</v>
      </c>
      <c r="R607" s="704">
        <f t="shared" si="94"/>
        <v>106.53252691136427</v>
      </c>
    </row>
    <row r="608" spans="2:18" ht="12.75">
      <c r="B608" s="224">
        <f t="shared" si="87"/>
        <v>180</v>
      </c>
      <c r="C608" s="165"/>
      <c r="D608" s="166"/>
      <c r="E608" s="166"/>
      <c r="F608" s="188" t="s">
        <v>257</v>
      </c>
      <c r="G608" s="307" t="s">
        <v>428</v>
      </c>
      <c r="H608" s="411">
        <f>H609+H610+H611+H612+H613+H614+H615+H616+H617+H618</f>
        <v>288925</v>
      </c>
      <c r="I608" s="411">
        <f>I609+I610+I611+I612+I613+I614+I615+I616+I617+I618</f>
        <v>207825</v>
      </c>
      <c r="J608" s="720">
        <f t="shared" si="92"/>
        <v>71.93043177295145</v>
      </c>
      <c r="K608" s="168"/>
      <c r="L608" s="639"/>
      <c r="M608" s="641"/>
      <c r="N608" s="723"/>
      <c r="O608" s="168"/>
      <c r="P608" s="568">
        <f t="shared" si="93"/>
        <v>288925</v>
      </c>
      <c r="Q608" s="568">
        <f t="shared" si="90"/>
        <v>207825</v>
      </c>
      <c r="R608" s="724">
        <f t="shared" si="94"/>
        <v>71.93043177295145</v>
      </c>
    </row>
    <row r="609" spans="2:18" ht="12.75">
      <c r="B609" s="224">
        <f t="shared" si="87"/>
        <v>181</v>
      </c>
      <c r="C609" s="165"/>
      <c r="D609" s="166"/>
      <c r="E609" s="166"/>
      <c r="F609" s="166" t="s">
        <v>252</v>
      </c>
      <c r="G609" s="292" t="s">
        <v>305</v>
      </c>
      <c r="H609" s="206">
        <v>20</v>
      </c>
      <c r="I609" s="206">
        <v>0</v>
      </c>
      <c r="J609" s="697">
        <f t="shared" si="92"/>
        <v>0</v>
      </c>
      <c r="K609" s="168"/>
      <c r="L609" s="634"/>
      <c r="M609" s="238"/>
      <c r="N609" s="716"/>
      <c r="O609" s="168"/>
      <c r="P609" s="219">
        <f t="shared" si="93"/>
        <v>20</v>
      </c>
      <c r="Q609" s="219">
        <f t="shared" si="90"/>
        <v>0</v>
      </c>
      <c r="R609" s="699">
        <f t="shared" si="94"/>
        <v>0</v>
      </c>
    </row>
    <row r="610" spans="2:18" ht="12.75">
      <c r="B610" s="224">
        <f t="shared" si="87"/>
        <v>182</v>
      </c>
      <c r="C610" s="165"/>
      <c r="D610" s="166"/>
      <c r="E610" s="166"/>
      <c r="F610" s="166" t="s">
        <v>237</v>
      </c>
      <c r="G610" s="292" t="s">
        <v>398</v>
      </c>
      <c r="H610" s="206">
        <v>126549</v>
      </c>
      <c r="I610" s="206">
        <v>77599</v>
      </c>
      <c r="J610" s="697">
        <f t="shared" si="92"/>
        <v>61.31933085208101</v>
      </c>
      <c r="K610" s="168"/>
      <c r="L610" s="634"/>
      <c r="M610" s="238"/>
      <c r="N610" s="716"/>
      <c r="O610" s="168"/>
      <c r="P610" s="219">
        <f t="shared" si="93"/>
        <v>126549</v>
      </c>
      <c r="Q610" s="219">
        <f t="shared" si="90"/>
        <v>77599</v>
      </c>
      <c r="R610" s="699">
        <f t="shared" si="94"/>
        <v>61.31933085208101</v>
      </c>
    </row>
    <row r="611" spans="2:18" ht="12.75">
      <c r="B611" s="224">
        <f t="shared" si="87"/>
        <v>183</v>
      </c>
      <c r="C611" s="165"/>
      <c r="D611" s="166"/>
      <c r="E611" s="166"/>
      <c r="F611" s="166" t="s">
        <v>238</v>
      </c>
      <c r="G611" s="292" t="s">
        <v>294</v>
      </c>
      <c r="H611" s="206">
        <f>41200+833</f>
        <v>42033</v>
      </c>
      <c r="I611" s="206">
        <v>32784</v>
      </c>
      <c r="J611" s="697">
        <f t="shared" si="92"/>
        <v>77.99586039540361</v>
      </c>
      <c r="K611" s="168"/>
      <c r="L611" s="634"/>
      <c r="M611" s="238"/>
      <c r="N611" s="716"/>
      <c r="O611" s="168"/>
      <c r="P611" s="219">
        <f t="shared" si="93"/>
        <v>42033</v>
      </c>
      <c r="Q611" s="219">
        <f t="shared" si="90"/>
        <v>32784</v>
      </c>
      <c r="R611" s="699">
        <f t="shared" si="94"/>
        <v>77.99586039540361</v>
      </c>
    </row>
    <row r="612" spans="2:18" ht="12.75">
      <c r="B612" s="224">
        <f t="shared" si="87"/>
        <v>184</v>
      </c>
      <c r="C612" s="165"/>
      <c r="D612" s="166"/>
      <c r="E612" s="166"/>
      <c r="F612" s="166" t="s">
        <v>253</v>
      </c>
      <c r="G612" s="292" t="s">
        <v>311</v>
      </c>
      <c r="H612" s="206">
        <f>28400+2089</f>
        <v>30489</v>
      </c>
      <c r="I612" s="206">
        <v>13415</v>
      </c>
      <c r="J612" s="697">
        <f t="shared" si="92"/>
        <v>43.999475220571355</v>
      </c>
      <c r="K612" s="168"/>
      <c r="L612" s="634"/>
      <c r="M612" s="238"/>
      <c r="N612" s="716"/>
      <c r="O612" s="168"/>
      <c r="P612" s="219">
        <f t="shared" si="93"/>
        <v>30489</v>
      </c>
      <c r="Q612" s="219">
        <f t="shared" si="90"/>
        <v>13415</v>
      </c>
      <c r="R612" s="699">
        <f t="shared" si="94"/>
        <v>43.999475220571355</v>
      </c>
    </row>
    <row r="613" spans="2:18" ht="12.75">
      <c r="B613" s="224">
        <f t="shared" si="87"/>
        <v>185</v>
      </c>
      <c r="C613" s="165"/>
      <c r="D613" s="166"/>
      <c r="E613" s="166"/>
      <c r="F613" s="166" t="s">
        <v>255</v>
      </c>
      <c r="G613" s="292" t="s">
        <v>295</v>
      </c>
      <c r="H613" s="211">
        <f>35390-2089</f>
        <v>33301</v>
      </c>
      <c r="I613" s="211">
        <v>28151</v>
      </c>
      <c r="J613" s="720">
        <f t="shared" si="92"/>
        <v>84.53499894898052</v>
      </c>
      <c r="K613" s="168"/>
      <c r="L613" s="636"/>
      <c r="M613" s="172"/>
      <c r="N613" s="697"/>
      <c r="O613" s="168"/>
      <c r="P613" s="221">
        <f t="shared" si="93"/>
        <v>33301</v>
      </c>
      <c r="Q613" s="221">
        <f t="shared" si="90"/>
        <v>28151</v>
      </c>
      <c r="R613" s="704">
        <f t="shared" si="94"/>
        <v>84.53499894898052</v>
      </c>
    </row>
    <row r="614" spans="2:18" ht="12.75">
      <c r="B614" s="224">
        <f t="shared" si="87"/>
        <v>186</v>
      </c>
      <c r="C614" s="165"/>
      <c r="D614" s="166"/>
      <c r="E614" s="166"/>
      <c r="F614" s="166" t="s">
        <v>257</v>
      </c>
      <c r="G614" s="292" t="s">
        <v>296</v>
      </c>
      <c r="H614" s="206">
        <v>13000</v>
      </c>
      <c r="I614" s="206">
        <v>12343</v>
      </c>
      <c r="J614" s="697">
        <f t="shared" si="92"/>
        <v>94.94615384615385</v>
      </c>
      <c r="K614" s="168"/>
      <c r="L614" s="634"/>
      <c r="M614" s="238"/>
      <c r="N614" s="716"/>
      <c r="O614" s="168"/>
      <c r="P614" s="219">
        <f t="shared" si="93"/>
        <v>13000</v>
      </c>
      <c r="Q614" s="219">
        <f t="shared" si="90"/>
        <v>12343</v>
      </c>
      <c r="R614" s="699">
        <f t="shared" si="94"/>
        <v>94.94615384615385</v>
      </c>
    </row>
    <row r="615" spans="2:18" ht="12.75">
      <c r="B615" s="224">
        <f t="shared" si="87"/>
        <v>187</v>
      </c>
      <c r="C615" s="165"/>
      <c r="D615" s="166"/>
      <c r="E615" s="166"/>
      <c r="F615" s="166" t="s">
        <v>237</v>
      </c>
      <c r="G615" s="292" t="s">
        <v>707</v>
      </c>
      <c r="H615" s="206">
        <v>39982</v>
      </c>
      <c r="I615" s="206">
        <v>39982</v>
      </c>
      <c r="J615" s="697">
        <f t="shared" si="92"/>
        <v>100</v>
      </c>
      <c r="K615" s="168"/>
      <c r="L615" s="634"/>
      <c r="M615" s="238"/>
      <c r="N615" s="716"/>
      <c r="O615" s="168"/>
      <c r="P615" s="219">
        <f t="shared" si="93"/>
        <v>39982</v>
      </c>
      <c r="Q615" s="219">
        <f t="shared" si="90"/>
        <v>39982</v>
      </c>
      <c r="R615" s="699">
        <f t="shared" si="94"/>
        <v>100</v>
      </c>
    </row>
    <row r="616" spans="2:18" ht="12.75">
      <c r="B616" s="224">
        <f t="shared" si="87"/>
        <v>188</v>
      </c>
      <c r="C616" s="165"/>
      <c r="D616" s="166"/>
      <c r="E616" s="166"/>
      <c r="F616" s="166" t="s">
        <v>238</v>
      </c>
      <c r="G616" s="292" t="s">
        <v>707</v>
      </c>
      <c r="H616" s="206">
        <v>2244</v>
      </c>
      <c r="I616" s="206">
        <v>2244</v>
      </c>
      <c r="J616" s="697">
        <f t="shared" si="92"/>
        <v>100</v>
      </c>
      <c r="K616" s="168"/>
      <c r="L616" s="634"/>
      <c r="M616" s="238"/>
      <c r="N616" s="716"/>
      <c r="O616" s="168"/>
      <c r="P616" s="219">
        <f t="shared" si="93"/>
        <v>2244</v>
      </c>
      <c r="Q616" s="219">
        <f t="shared" si="90"/>
        <v>2244</v>
      </c>
      <c r="R616" s="699">
        <f t="shared" si="94"/>
        <v>100</v>
      </c>
    </row>
    <row r="617" spans="2:18" ht="12.75">
      <c r="B617" s="224">
        <f t="shared" si="87"/>
        <v>189</v>
      </c>
      <c r="C617" s="165"/>
      <c r="D617" s="166"/>
      <c r="E617" s="166"/>
      <c r="F617" s="166" t="s">
        <v>253</v>
      </c>
      <c r="G617" s="292" t="s">
        <v>707</v>
      </c>
      <c r="H617" s="206">
        <v>307</v>
      </c>
      <c r="I617" s="206">
        <v>307</v>
      </c>
      <c r="J617" s="697">
        <f t="shared" si="92"/>
        <v>100</v>
      </c>
      <c r="K617" s="168"/>
      <c r="L617" s="634"/>
      <c r="M617" s="238"/>
      <c r="N617" s="716"/>
      <c r="O617" s="168"/>
      <c r="P617" s="219">
        <f t="shared" si="93"/>
        <v>307</v>
      </c>
      <c r="Q617" s="219">
        <f t="shared" si="90"/>
        <v>307</v>
      </c>
      <c r="R617" s="699">
        <f t="shared" si="94"/>
        <v>100</v>
      </c>
    </row>
    <row r="618" spans="2:18" ht="12.75">
      <c r="B618" s="224">
        <f t="shared" si="87"/>
        <v>190</v>
      </c>
      <c r="C618" s="165"/>
      <c r="D618" s="166"/>
      <c r="E618" s="166"/>
      <c r="F618" s="166" t="s">
        <v>255</v>
      </c>
      <c r="G618" s="292" t="s">
        <v>707</v>
      </c>
      <c r="H618" s="206">
        <v>1000</v>
      </c>
      <c r="I618" s="206">
        <v>1000</v>
      </c>
      <c r="J618" s="697">
        <f t="shared" si="92"/>
        <v>100</v>
      </c>
      <c r="K618" s="168"/>
      <c r="L618" s="634"/>
      <c r="M618" s="238"/>
      <c r="N618" s="716"/>
      <c r="O618" s="168"/>
      <c r="P618" s="219">
        <f t="shared" si="93"/>
        <v>1000</v>
      </c>
      <c r="Q618" s="219">
        <f t="shared" si="90"/>
        <v>1000</v>
      </c>
      <c r="R618" s="699">
        <f t="shared" si="94"/>
        <v>100</v>
      </c>
    </row>
    <row r="619" spans="2:18" ht="12.75">
      <c r="B619" s="224">
        <f t="shared" si="87"/>
        <v>191</v>
      </c>
      <c r="C619" s="165"/>
      <c r="D619" s="166"/>
      <c r="E619" s="166"/>
      <c r="F619" s="188" t="s">
        <v>256</v>
      </c>
      <c r="G619" s="307" t="s">
        <v>459</v>
      </c>
      <c r="H619" s="207">
        <v>5500</v>
      </c>
      <c r="I619" s="207">
        <v>6125</v>
      </c>
      <c r="J619" s="697">
        <f t="shared" si="92"/>
        <v>111.36363636363636</v>
      </c>
      <c r="K619" s="168"/>
      <c r="L619" s="634"/>
      <c r="M619" s="238"/>
      <c r="N619" s="716"/>
      <c r="O619" s="168"/>
      <c r="P619" s="218">
        <f t="shared" si="93"/>
        <v>5500</v>
      </c>
      <c r="Q619" s="218">
        <f t="shared" si="90"/>
        <v>6125</v>
      </c>
      <c r="R619" s="699">
        <f t="shared" si="94"/>
        <v>111.36363636363636</v>
      </c>
    </row>
    <row r="620" spans="2:18" ht="12.75">
      <c r="B620" s="224">
        <f t="shared" si="87"/>
        <v>192</v>
      </c>
      <c r="C620" s="165"/>
      <c r="D620" s="166"/>
      <c r="E620" s="166"/>
      <c r="F620" s="188" t="s">
        <v>257</v>
      </c>
      <c r="G620" s="307" t="s">
        <v>525</v>
      </c>
      <c r="H620" s="207">
        <v>15611</v>
      </c>
      <c r="I620" s="207">
        <v>25303</v>
      </c>
      <c r="J620" s="697">
        <f t="shared" si="92"/>
        <v>162.08442764717185</v>
      </c>
      <c r="K620" s="168"/>
      <c r="L620" s="634"/>
      <c r="M620" s="238"/>
      <c r="N620" s="716"/>
      <c r="O620" s="168"/>
      <c r="P620" s="218">
        <f t="shared" si="93"/>
        <v>15611</v>
      </c>
      <c r="Q620" s="218">
        <f t="shared" si="90"/>
        <v>25303</v>
      </c>
      <c r="R620" s="699">
        <f t="shared" si="94"/>
        <v>162.08442764717185</v>
      </c>
    </row>
    <row r="621" spans="2:18" ht="12.75">
      <c r="B621" s="224">
        <f t="shared" si="87"/>
        <v>193</v>
      </c>
      <c r="C621" s="165"/>
      <c r="D621" s="166"/>
      <c r="E621" s="166"/>
      <c r="F621" s="188" t="s">
        <v>686</v>
      </c>
      <c r="G621" s="307" t="s">
        <v>794</v>
      </c>
      <c r="H621" s="207"/>
      <c r="I621" s="207">
        <v>2009</v>
      </c>
      <c r="J621" s="697"/>
      <c r="K621" s="168"/>
      <c r="L621" s="634"/>
      <c r="M621" s="238"/>
      <c r="N621" s="716"/>
      <c r="O621" s="168"/>
      <c r="P621" s="218"/>
      <c r="Q621" s="218">
        <f t="shared" si="90"/>
        <v>2009</v>
      </c>
      <c r="R621" s="699"/>
    </row>
    <row r="622" spans="2:18" ht="12.75">
      <c r="B622" s="224">
        <f t="shared" si="87"/>
        <v>194</v>
      </c>
      <c r="C622" s="165"/>
      <c r="D622" s="166"/>
      <c r="E622" s="166"/>
      <c r="F622" s="188"/>
      <c r="G622" s="307"/>
      <c r="H622" s="207"/>
      <c r="I622" s="207"/>
      <c r="J622" s="697"/>
      <c r="K622" s="168"/>
      <c r="L622" s="634"/>
      <c r="M622" s="238"/>
      <c r="N622" s="716"/>
      <c r="O622" s="168"/>
      <c r="P622" s="218"/>
      <c r="Q622" s="218"/>
      <c r="R622" s="699"/>
    </row>
    <row r="623" spans="2:18" ht="12.75">
      <c r="B623" s="224">
        <f t="shared" si="87"/>
        <v>195</v>
      </c>
      <c r="C623" s="165"/>
      <c r="D623" s="166"/>
      <c r="E623" s="166"/>
      <c r="F623" s="188" t="s">
        <v>681</v>
      </c>
      <c r="G623" s="307" t="s">
        <v>710</v>
      </c>
      <c r="H623" s="207"/>
      <c r="I623" s="207"/>
      <c r="J623" s="697"/>
      <c r="K623" s="168"/>
      <c r="L623" s="757">
        <v>2929</v>
      </c>
      <c r="M623" s="237">
        <v>2929</v>
      </c>
      <c r="N623" s="716">
        <f>M623/L623*100</f>
        <v>100</v>
      </c>
      <c r="O623" s="168"/>
      <c r="P623" s="218">
        <f>L623</f>
        <v>2929</v>
      </c>
      <c r="Q623" s="218">
        <f>M623+I623</f>
        <v>2929</v>
      </c>
      <c r="R623" s="699">
        <f>Q623/P623*100</f>
        <v>100</v>
      </c>
    </row>
    <row r="624" spans="2:18" ht="12.75">
      <c r="B624" s="224">
        <f t="shared" si="87"/>
        <v>196</v>
      </c>
      <c r="C624" s="165"/>
      <c r="D624" s="166"/>
      <c r="E624" s="166"/>
      <c r="F624" s="166"/>
      <c r="G624" s="307"/>
      <c r="H624" s="206"/>
      <c r="I624" s="206"/>
      <c r="J624" s="697"/>
      <c r="K624" s="168"/>
      <c r="L624" s="634"/>
      <c r="M624" s="238"/>
      <c r="N624" s="716"/>
      <c r="O624" s="168"/>
      <c r="P624" s="219"/>
      <c r="Q624" s="219"/>
      <c r="R624" s="699"/>
    </row>
    <row r="625" spans="2:18" ht="15">
      <c r="B625" s="224">
        <f t="shared" si="87"/>
        <v>197</v>
      </c>
      <c r="C625" s="165"/>
      <c r="D625" s="398" t="s">
        <v>8</v>
      </c>
      <c r="E625" s="194" t="s">
        <v>532</v>
      </c>
      <c r="F625" s="194" t="s">
        <v>461</v>
      </c>
      <c r="G625" s="366"/>
      <c r="H625" s="232">
        <f>H626+H627+H628+H636+H637</f>
        <v>747509</v>
      </c>
      <c r="I625" s="232">
        <f>I626+I627+I628+I636+I637+I638</f>
        <v>811624</v>
      </c>
      <c r="J625" s="697">
        <f aca="true" t="shared" si="95" ref="J625:J637">I625/H625*100</f>
        <v>108.57715425499894</v>
      </c>
      <c r="K625" s="168"/>
      <c r="L625" s="758"/>
      <c r="M625" s="759"/>
      <c r="N625" s="716"/>
      <c r="O625" s="168"/>
      <c r="P625" s="395">
        <f aca="true" t="shared" si="96" ref="P625:P637">H625+L625</f>
        <v>747509</v>
      </c>
      <c r="Q625" s="395">
        <f aca="true" t="shared" si="97" ref="Q625:Q654">M625+I625</f>
        <v>811624</v>
      </c>
      <c r="R625" s="699">
        <f aca="true" t="shared" si="98" ref="R625:R637">Q625/P625*100</f>
        <v>108.57715425499894</v>
      </c>
    </row>
    <row r="626" spans="2:18" ht="12.75">
      <c r="B626" s="224">
        <f t="shared" si="87"/>
        <v>198</v>
      </c>
      <c r="C626" s="165"/>
      <c r="D626" s="166"/>
      <c r="E626" s="166"/>
      <c r="F626" s="188" t="s">
        <v>250</v>
      </c>
      <c r="G626" s="307" t="s">
        <v>291</v>
      </c>
      <c r="H626" s="207">
        <f>421127+4800+148</f>
        <v>426075</v>
      </c>
      <c r="I626" s="207">
        <v>475128</v>
      </c>
      <c r="J626" s="697">
        <f t="shared" si="95"/>
        <v>111.51276183770462</v>
      </c>
      <c r="K626" s="168"/>
      <c r="L626" s="634"/>
      <c r="M626" s="238"/>
      <c r="N626" s="716"/>
      <c r="O626" s="168"/>
      <c r="P626" s="374">
        <f t="shared" si="96"/>
        <v>426075</v>
      </c>
      <c r="Q626" s="374">
        <f t="shared" si="97"/>
        <v>475128</v>
      </c>
      <c r="R626" s="699">
        <f t="shared" si="98"/>
        <v>111.51276183770462</v>
      </c>
    </row>
    <row r="627" spans="2:18" ht="12.75">
      <c r="B627" s="224">
        <f t="shared" si="87"/>
        <v>199</v>
      </c>
      <c r="C627" s="165"/>
      <c r="D627" s="166"/>
      <c r="E627" s="166"/>
      <c r="F627" s="188" t="s">
        <v>251</v>
      </c>
      <c r="G627" s="307" t="s">
        <v>292</v>
      </c>
      <c r="H627" s="207">
        <f>148237+1692+52</f>
        <v>149981</v>
      </c>
      <c r="I627" s="207">
        <v>169656</v>
      </c>
      <c r="J627" s="697">
        <f t="shared" si="95"/>
        <v>113.1183283215874</v>
      </c>
      <c r="K627" s="168"/>
      <c r="L627" s="634"/>
      <c r="M627" s="238"/>
      <c r="N627" s="716"/>
      <c r="O627" s="168"/>
      <c r="P627" s="374">
        <f t="shared" si="96"/>
        <v>149981</v>
      </c>
      <c r="Q627" s="374">
        <f t="shared" si="97"/>
        <v>169656</v>
      </c>
      <c r="R627" s="699">
        <f t="shared" si="98"/>
        <v>113.1183283215874</v>
      </c>
    </row>
    <row r="628" spans="2:18" ht="12.75">
      <c r="B628" s="224">
        <f t="shared" si="87"/>
        <v>200</v>
      </c>
      <c r="C628" s="165"/>
      <c r="D628" s="166"/>
      <c r="E628" s="166"/>
      <c r="F628" s="188" t="s">
        <v>257</v>
      </c>
      <c r="G628" s="307" t="s">
        <v>428</v>
      </c>
      <c r="H628" s="207">
        <f>H629+H630+H631+H632+H633+H634+H635</f>
        <v>166653</v>
      </c>
      <c r="I628" s="207">
        <f>I629+I630+I631+I632+I633+I634+I635</f>
        <v>149173</v>
      </c>
      <c r="J628" s="697">
        <f t="shared" si="95"/>
        <v>89.5111399134729</v>
      </c>
      <c r="K628" s="168"/>
      <c r="L628" s="634"/>
      <c r="M628" s="238"/>
      <c r="N628" s="716"/>
      <c r="O628" s="168"/>
      <c r="P628" s="374">
        <f t="shared" si="96"/>
        <v>166653</v>
      </c>
      <c r="Q628" s="374">
        <f t="shared" si="97"/>
        <v>149173</v>
      </c>
      <c r="R628" s="699">
        <f t="shared" si="98"/>
        <v>89.5111399134729</v>
      </c>
    </row>
    <row r="629" spans="2:18" ht="12.75">
      <c r="B629" s="224">
        <f t="shared" si="87"/>
        <v>201</v>
      </c>
      <c r="C629" s="165"/>
      <c r="D629" s="166"/>
      <c r="E629" s="166"/>
      <c r="F629" s="166" t="s">
        <v>252</v>
      </c>
      <c r="G629" s="292" t="s">
        <v>305</v>
      </c>
      <c r="H629" s="206">
        <v>300</v>
      </c>
      <c r="I629" s="206">
        <v>254</v>
      </c>
      <c r="J629" s="697">
        <f t="shared" si="95"/>
        <v>84.66666666666667</v>
      </c>
      <c r="K629" s="168"/>
      <c r="L629" s="634"/>
      <c r="M629" s="238"/>
      <c r="N629" s="716"/>
      <c r="O629" s="168"/>
      <c r="P629" s="219">
        <f t="shared" si="96"/>
        <v>300</v>
      </c>
      <c r="Q629" s="219">
        <f t="shared" si="97"/>
        <v>254</v>
      </c>
      <c r="R629" s="699">
        <f t="shared" si="98"/>
        <v>84.66666666666667</v>
      </c>
    </row>
    <row r="630" spans="2:18" ht="12.75">
      <c r="B630" s="224">
        <f t="shared" si="87"/>
        <v>202</v>
      </c>
      <c r="C630" s="165"/>
      <c r="D630" s="166"/>
      <c r="E630" s="166"/>
      <c r="F630" s="166" t="s">
        <v>237</v>
      </c>
      <c r="G630" s="292" t="s">
        <v>398</v>
      </c>
      <c r="H630" s="206">
        <v>66185</v>
      </c>
      <c r="I630" s="206">
        <v>66185</v>
      </c>
      <c r="J630" s="697">
        <f t="shared" si="95"/>
        <v>100</v>
      </c>
      <c r="K630" s="168"/>
      <c r="L630" s="634"/>
      <c r="M630" s="238"/>
      <c r="N630" s="716"/>
      <c r="O630" s="168"/>
      <c r="P630" s="219">
        <f t="shared" si="96"/>
        <v>66185</v>
      </c>
      <c r="Q630" s="219">
        <f t="shared" si="97"/>
        <v>66185</v>
      </c>
      <c r="R630" s="699">
        <f t="shared" si="98"/>
        <v>100</v>
      </c>
    </row>
    <row r="631" spans="2:18" ht="12.75">
      <c r="B631" s="224">
        <f t="shared" si="87"/>
        <v>203</v>
      </c>
      <c r="C631" s="165"/>
      <c r="D631" s="166"/>
      <c r="E631" s="166"/>
      <c r="F631" s="166" t="s">
        <v>238</v>
      </c>
      <c r="G631" s="292" t="s">
        <v>294</v>
      </c>
      <c r="H631" s="206">
        <f>35316+1685+500</f>
        <v>37501</v>
      </c>
      <c r="I631" s="206">
        <v>20624</v>
      </c>
      <c r="J631" s="697">
        <f t="shared" si="95"/>
        <v>54.99586677688595</v>
      </c>
      <c r="K631" s="168"/>
      <c r="L631" s="634"/>
      <c r="M631" s="238"/>
      <c r="N631" s="716"/>
      <c r="O631" s="168"/>
      <c r="P631" s="219">
        <f t="shared" si="96"/>
        <v>37501</v>
      </c>
      <c r="Q631" s="219">
        <f t="shared" si="97"/>
        <v>20624</v>
      </c>
      <c r="R631" s="699">
        <f t="shared" si="98"/>
        <v>54.99586677688595</v>
      </c>
    </row>
    <row r="632" spans="2:18" ht="12.75">
      <c r="B632" s="224">
        <f t="shared" si="87"/>
        <v>204</v>
      </c>
      <c r="C632" s="165"/>
      <c r="D632" s="166"/>
      <c r="E632" s="166"/>
      <c r="F632" s="166" t="s">
        <v>253</v>
      </c>
      <c r="G632" s="292" t="s">
        <v>311</v>
      </c>
      <c r="H632" s="206">
        <v>19500</v>
      </c>
      <c r="I632" s="206">
        <v>19500</v>
      </c>
      <c r="J632" s="697">
        <f t="shared" si="95"/>
        <v>100</v>
      </c>
      <c r="K632" s="168"/>
      <c r="L632" s="634"/>
      <c r="M632" s="238"/>
      <c r="N632" s="716"/>
      <c r="O632" s="168"/>
      <c r="P632" s="219">
        <f t="shared" si="96"/>
        <v>19500</v>
      </c>
      <c r="Q632" s="219">
        <f t="shared" si="97"/>
        <v>19500</v>
      </c>
      <c r="R632" s="699">
        <f t="shared" si="98"/>
        <v>100</v>
      </c>
    </row>
    <row r="633" spans="2:18" ht="12.75">
      <c r="B633" s="224">
        <f t="shared" si="87"/>
        <v>205</v>
      </c>
      <c r="C633" s="245"/>
      <c r="D633" s="460"/>
      <c r="E633" s="460"/>
      <c r="F633" s="460" t="s">
        <v>255</v>
      </c>
      <c r="G633" s="344" t="s">
        <v>295</v>
      </c>
      <c r="H633" s="247">
        <f>28670-1685</f>
        <v>26985</v>
      </c>
      <c r="I633" s="247">
        <v>25762</v>
      </c>
      <c r="J633" s="716">
        <f t="shared" si="95"/>
        <v>95.46785251065407</v>
      </c>
      <c r="K633" s="168"/>
      <c r="L633" s="634"/>
      <c r="M633" s="238"/>
      <c r="N633" s="716"/>
      <c r="O633" s="168"/>
      <c r="P633" s="219">
        <f t="shared" si="96"/>
        <v>26985</v>
      </c>
      <c r="Q633" s="219">
        <f t="shared" si="97"/>
        <v>25762</v>
      </c>
      <c r="R633" s="699">
        <f t="shared" si="98"/>
        <v>95.46785251065407</v>
      </c>
    </row>
    <row r="634" spans="2:18" ht="12.75">
      <c r="B634" s="224">
        <f t="shared" si="87"/>
        <v>206</v>
      </c>
      <c r="C634" s="171"/>
      <c r="D634" s="434"/>
      <c r="E634" s="434"/>
      <c r="F634" s="434" t="s">
        <v>257</v>
      </c>
      <c r="G634" s="310" t="s">
        <v>296</v>
      </c>
      <c r="H634" s="206">
        <v>15000</v>
      </c>
      <c r="I634" s="206">
        <v>15666</v>
      </c>
      <c r="J634" s="697">
        <f t="shared" si="95"/>
        <v>104.44</v>
      </c>
      <c r="K634" s="248"/>
      <c r="L634" s="636"/>
      <c r="M634" s="172"/>
      <c r="N634" s="697"/>
      <c r="O634" s="248"/>
      <c r="P634" s="221">
        <f t="shared" si="96"/>
        <v>15000</v>
      </c>
      <c r="Q634" s="221">
        <f t="shared" si="97"/>
        <v>15666</v>
      </c>
      <c r="R634" s="704">
        <f t="shared" si="98"/>
        <v>104.44</v>
      </c>
    </row>
    <row r="635" spans="2:18" ht="12.75">
      <c r="B635" s="224">
        <f t="shared" si="87"/>
        <v>207</v>
      </c>
      <c r="C635" s="171"/>
      <c r="D635" s="434"/>
      <c r="E635" s="434"/>
      <c r="F635" s="434" t="s">
        <v>237</v>
      </c>
      <c r="G635" s="310" t="s">
        <v>707</v>
      </c>
      <c r="H635" s="206">
        <v>1182</v>
      </c>
      <c r="I635" s="206">
        <v>1182</v>
      </c>
      <c r="J635" s="697">
        <f t="shared" si="95"/>
        <v>100</v>
      </c>
      <c r="K635" s="248"/>
      <c r="L635" s="636"/>
      <c r="M635" s="172"/>
      <c r="N635" s="697"/>
      <c r="O635" s="248"/>
      <c r="P635" s="221">
        <f t="shared" si="96"/>
        <v>1182</v>
      </c>
      <c r="Q635" s="221">
        <f t="shared" si="97"/>
        <v>1182</v>
      </c>
      <c r="R635" s="704">
        <f t="shared" si="98"/>
        <v>100</v>
      </c>
    </row>
    <row r="636" spans="2:18" ht="12.75">
      <c r="B636" s="224">
        <f t="shared" si="87"/>
        <v>208</v>
      </c>
      <c r="C636" s="171"/>
      <c r="D636" s="434"/>
      <c r="E636" s="434"/>
      <c r="F636" s="426" t="s">
        <v>256</v>
      </c>
      <c r="G636" s="311" t="s">
        <v>459</v>
      </c>
      <c r="H636" s="207">
        <v>2300</v>
      </c>
      <c r="I636" s="207">
        <v>2226</v>
      </c>
      <c r="J636" s="697">
        <f t="shared" si="95"/>
        <v>96.78260869565217</v>
      </c>
      <c r="K636" s="248"/>
      <c r="L636" s="636"/>
      <c r="M636" s="172"/>
      <c r="N636" s="697"/>
      <c r="O636" s="248"/>
      <c r="P636" s="221">
        <f t="shared" si="96"/>
        <v>2300</v>
      </c>
      <c r="Q636" s="221">
        <f t="shared" si="97"/>
        <v>2226</v>
      </c>
      <c r="R636" s="704">
        <f t="shared" si="98"/>
        <v>96.78260869565217</v>
      </c>
    </row>
    <row r="637" spans="2:18" ht="12.75">
      <c r="B637" s="224">
        <f t="shared" si="87"/>
        <v>209</v>
      </c>
      <c r="C637" s="171"/>
      <c r="D637" s="434"/>
      <c r="E637" s="434"/>
      <c r="F637" s="426" t="s">
        <v>257</v>
      </c>
      <c r="G637" s="311" t="s">
        <v>525</v>
      </c>
      <c r="H637" s="207">
        <v>2500</v>
      </c>
      <c r="I637" s="207">
        <v>14246</v>
      </c>
      <c r="J637" s="697">
        <f t="shared" si="95"/>
        <v>569.84</v>
      </c>
      <c r="K637" s="248"/>
      <c r="L637" s="636"/>
      <c r="M637" s="172"/>
      <c r="N637" s="697"/>
      <c r="O637" s="248"/>
      <c r="P637" s="221">
        <f t="shared" si="96"/>
        <v>2500</v>
      </c>
      <c r="Q637" s="221">
        <f t="shared" si="97"/>
        <v>14246</v>
      </c>
      <c r="R637" s="704">
        <f t="shared" si="98"/>
        <v>569.84</v>
      </c>
    </row>
    <row r="638" spans="2:18" ht="12.75">
      <c r="B638" s="224">
        <f t="shared" si="87"/>
        <v>210</v>
      </c>
      <c r="C638" s="171"/>
      <c r="D638" s="434"/>
      <c r="E638" s="579"/>
      <c r="F638" s="426" t="s">
        <v>686</v>
      </c>
      <c r="G638" s="311" t="s">
        <v>794</v>
      </c>
      <c r="H638" s="207"/>
      <c r="I638" s="207">
        <v>1195</v>
      </c>
      <c r="J638" s="697"/>
      <c r="K638" s="248"/>
      <c r="L638" s="636"/>
      <c r="M638" s="172"/>
      <c r="N638" s="697"/>
      <c r="O638" s="248"/>
      <c r="P638" s="221"/>
      <c r="Q638" s="221">
        <f t="shared" si="97"/>
        <v>1195</v>
      </c>
      <c r="R638" s="704"/>
    </row>
    <row r="639" spans="2:18" ht="15">
      <c r="B639" s="224">
        <f t="shared" si="87"/>
        <v>211</v>
      </c>
      <c r="C639" s="171"/>
      <c r="D639" s="569" t="s">
        <v>9</v>
      </c>
      <c r="E639" s="194" t="s">
        <v>532</v>
      </c>
      <c r="F639" s="194" t="s">
        <v>462</v>
      </c>
      <c r="G639" s="366"/>
      <c r="H639" s="232">
        <f>H640+H641+H642+H653+H652</f>
        <v>713624</v>
      </c>
      <c r="I639" s="232">
        <f>I640+I641+I642+I653+I652+I654</f>
        <v>769737</v>
      </c>
      <c r="J639" s="697">
        <f aca="true" t="shared" si="99" ref="J639:J653">I639/H639*100</f>
        <v>107.86310437989755</v>
      </c>
      <c r="K639" s="248"/>
      <c r="L639" s="762"/>
      <c r="M639" s="763"/>
      <c r="N639" s="697"/>
      <c r="O639" s="248"/>
      <c r="P639" s="397">
        <f aca="true" t="shared" si="100" ref="P639:P653">H639+L639</f>
        <v>713624</v>
      </c>
      <c r="Q639" s="397">
        <f t="shared" si="97"/>
        <v>769737</v>
      </c>
      <c r="R639" s="704">
        <f aca="true" t="shared" si="101" ref="R639:R653">Q639/P639*100</f>
        <v>107.86310437989755</v>
      </c>
    </row>
    <row r="640" spans="2:18" ht="12.75">
      <c r="B640" s="224">
        <f t="shared" si="87"/>
        <v>212</v>
      </c>
      <c r="C640" s="171"/>
      <c r="D640" s="434"/>
      <c r="E640" s="434"/>
      <c r="F640" s="426" t="s">
        <v>250</v>
      </c>
      <c r="G640" s="311" t="s">
        <v>291</v>
      </c>
      <c r="H640" s="207">
        <f>395648</f>
        <v>395648</v>
      </c>
      <c r="I640" s="207">
        <v>453272</v>
      </c>
      <c r="J640" s="697">
        <f t="shared" si="99"/>
        <v>114.56446133937237</v>
      </c>
      <c r="K640" s="248"/>
      <c r="L640" s="636"/>
      <c r="M640" s="172"/>
      <c r="N640" s="697"/>
      <c r="O640" s="248"/>
      <c r="P640" s="396">
        <f t="shared" si="100"/>
        <v>395648</v>
      </c>
      <c r="Q640" s="396">
        <f t="shared" si="97"/>
        <v>453272</v>
      </c>
      <c r="R640" s="704">
        <f t="shared" si="101"/>
        <v>114.56446133937237</v>
      </c>
    </row>
    <row r="641" spans="2:18" ht="12.75">
      <c r="B641" s="224">
        <f t="shared" si="87"/>
        <v>213</v>
      </c>
      <c r="C641" s="165"/>
      <c r="D641" s="166"/>
      <c r="E641" s="166"/>
      <c r="F641" s="188" t="s">
        <v>251</v>
      </c>
      <c r="G641" s="307" t="s">
        <v>292</v>
      </c>
      <c r="H641" s="411">
        <v>138476</v>
      </c>
      <c r="I641" s="411">
        <v>158552</v>
      </c>
      <c r="J641" s="720">
        <f t="shared" si="99"/>
        <v>114.49781911667003</v>
      </c>
      <c r="K641" s="168"/>
      <c r="L641" s="639"/>
      <c r="M641" s="641"/>
      <c r="N641" s="723"/>
      <c r="O641" s="168"/>
      <c r="P641" s="568">
        <f t="shared" si="100"/>
        <v>138476</v>
      </c>
      <c r="Q641" s="568">
        <f t="shared" si="97"/>
        <v>158552</v>
      </c>
      <c r="R641" s="724">
        <f t="shared" si="101"/>
        <v>114.49781911667003</v>
      </c>
    </row>
    <row r="642" spans="2:18" ht="12.75">
      <c r="B642" s="224">
        <f t="shared" si="87"/>
        <v>214</v>
      </c>
      <c r="C642" s="165"/>
      <c r="D642" s="166"/>
      <c r="E642" s="166"/>
      <c r="F642" s="188" t="s">
        <v>257</v>
      </c>
      <c r="G642" s="307" t="s">
        <v>428</v>
      </c>
      <c r="H642" s="207">
        <f>H643+H644+H645+H647+H649+H650+H648+H651+H646</f>
        <v>161965</v>
      </c>
      <c r="I642" s="207">
        <f>I643+I644+I645+I647+I649+I650+I648+I651+I646</f>
        <v>130260</v>
      </c>
      <c r="J642" s="697">
        <f t="shared" si="99"/>
        <v>80.42478313215818</v>
      </c>
      <c r="K642" s="168"/>
      <c r="L642" s="634"/>
      <c r="M642" s="238"/>
      <c r="N642" s="716"/>
      <c r="O642" s="168"/>
      <c r="P642" s="218">
        <f t="shared" si="100"/>
        <v>161965</v>
      </c>
      <c r="Q642" s="218">
        <f t="shared" si="97"/>
        <v>130260</v>
      </c>
      <c r="R642" s="699">
        <f t="shared" si="101"/>
        <v>80.42478313215818</v>
      </c>
    </row>
    <row r="643" spans="2:18" ht="12.75">
      <c r="B643" s="224">
        <f t="shared" si="87"/>
        <v>215</v>
      </c>
      <c r="C643" s="165"/>
      <c r="D643" s="166"/>
      <c r="E643" s="166"/>
      <c r="F643" s="166" t="s">
        <v>252</v>
      </c>
      <c r="G643" s="292" t="s">
        <v>305</v>
      </c>
      <c r="H643" s="206">
        <v>300</v>
      </c>
      <c r="I643" s="206">
        <v>411</v>
      </c>
      <c r="J643" s="697">
        <f t="shared" si="99"/>
        <v>137</v>
      </c>
      <c r="K643" s="168"/>
      <c r="L643" s="634"/>
      <c r="M643" s="238"/>
      <c r="N643" s="716"/>
      <c r="O643" s="168"/>
      <c r="P643" s="219">
        <f t="shared" si="100"/>
        <v>300</v>
      </c>
      <c r="Q643" s="219">
        <f t="shared" si="97"/>
        <v>411</v>
      </c>
      <c r="R643" s="699">
        <f t="shared" si="101"/>
        <v>137</v>
      </c>
    </row>
    <row r="644" spans="2:18" ht="12.75">
      <c r="B644" s="224">
        <f t="shared" si="87"/>
        <v>216</v>
      </c>
      <c r="C644" s="165"/>
      <c r="D644" s="166"/>
      <c r="E644" s="166"/>
      <c r="F644" s="166" t="s">
        <v>237</v>
      </c>
      <c r="G644" s="292" t="s">
        <v>398</v>
      </c>
      <c r="H644" s="206">
        <v>70410</v>
      </c>
      <c r="I644" s="206">
        <v>53345</v>
      </c>
      <c r="J644" s="697">
        <f t="shared" si="99"/>
        <v>75.76338588268712</v>
      </c>
      <c r="K644" s="168"/>
      <c r="L644" s="634"/>
      <c r="M644" s="238"/>
      <c r="N644" s="716"/>
      <c r="O644" s="168"/>
      <c r="P644" s="219">
        <f t="shared" si="100"/>
        <v>70410</v>
      </c>
      <c r="Q644" s="219">
        <f t="shared" si="97"/>
        <v>53345</v>
      </c>
      <c r="R644" s="699">
        <f t="shared" si="101"/>
        <v>75.76338588268712</v>
      </c>
    </row>
    <row r="645" spans="2:18" ht="12.75">
      <c r="B645" s="224">
        <f t="shared" si="87"/>
        <v>217</v>
      </c>
      <c r="C645" s="165"/>
      <c r="D645" s="166"/>
      <c r="E645" s="166"/>
      <c r="F645" s="166" t="s">
        <v>238</v>
      </c>
      <c r="G645" s="292" t="s">
        <v>294</v>
      </c>
      <c r="H645" s="206">
        <f>23180+1167+2009</f>
        <v>26356</v>
      </c>
      <c r="I645" s="206">
        <v>15596</v>
      </c>
      <c r="J645" s="697">
        <f t="shared" si="99"/>
        <v>59.17438154499924</v>
      </c>
      <c r="K645" s="168"/>
      <c r="L645" s="634"/>
      <c r="M645" s="238"/>
      <c r="N645" s="716"/>
      <c r="O645" s="168"/>
      <c r="P645" s="219">
        <f t="shared" si="100"/>
        <v>26356</v>
      </c>
      <c r="Q645" s="219">
        <f t="shared" si="97"/>
        <v>15596</v>
      </c>
      <c r="R645" s="699">
        <f t="shared" si="101"/>
        <v>59.17438154499924</v>
      </c>
    </row>
    <row r="646" spans="2:18" ht="12.75">
      <c r="B646" s="224">
        <f aca="true" t="shared" si="102" ref="B646:B709">B645+1</f>
        <v>218</v>
      </c>
      <c r="C646" s="165"/>
      <c r="D646" s="166"/>
      <c r="E646" s="166"/>
      <c r="F646" s="166" t="s">
        <v>239</v>
      </c>
      <c r="G646" s="292" t="s">
        <v>310</v>
      </c>
      <c r="H646" s="206">
        <v>200</v>
      </c>
      <c r="I646" s="206">
        <v>148</v>
      </c>
      <c r="J646" s="697">
        <f t="shared" si="99"/>
        <v>74</v>
      </c>
      <c r="K646" s="168"/>
      <c r="L646" s="634"/>
      <c r="M646" s="238"/>
      <c r="N646" s="716"/>
      <c r="O646" s="168"/>
      <c r="P646" s="219">
        <f t="shared" si="100"/>
        <v>200</v>
      </c>
      <c r="Q646" s="219">
        <f t="shared" si="97"/>
        <v>148</v>
      </c>
      <c r="R646" s="699">
        <f t="shared" si="101"/>
        <v>74</v>
      </c>
    </row>
    <row r="647" spans="2:18" ht="12.75">
      <c r="B647" s="224">
        <f t="shared" si="102"/>
        <v>219</v>
      </c>
      <c r="C647" s="165"/>
      <c r="D647" s="166"/>
      <c r="E647" s="166"/>
      <c r="F647" s="166" t="s">
        <v>253</v>
      </c>
      <c r="G647" s="292" t="s">
        <v>311</v>
      </c>
      <c r="H647" s="206">
        <v>22819</v>
      </c>
      <c r="I647" s="206">
        <v>21213</v>
      </c>
      <c r="J647" s="697">
        <f t="shared" si="99"/>
        <v>92.96200534642183</v>
      </c>
      <c r="K647" s="168"/>
      <c r="L647" s="634"/>
      <c r="M647" s="238"/>
      <c r="N647" s="716"/>
      <c r="O647" s="168"/>
      <c r="P647" s="219">
        <f t="shared" si="100"/>
        <v>22819</v>
      </c>
      <c r="Q647" s="219">
        <f t="shared" si="97"/>
        <v>21213</v>
      </c>
      <c r="R647" s="699">
        <f t="shared" si="101"/>
        <v>92.96200534642183</v>
      </c>
    </row>
    <row r="648" spans="2:18" ht="12.75">
      <c r="B648" s="224">
        <f t="shared" si="102"/>
        <v>220</v>
      </c>
      <c r="C648" s="165"/>
      <c r="D648" s="166"/>
      <c r="E648" s="166"/>
      <c r="F648" s="166" t="s">
        <v>254</v>
      </c>
      <c r="G648" s="292" t="s">
        <v>463</v>
      </c>
      <c r="H648" s="211">
        <v>2200</v>
      </c>
      <c r="I648" s="211">
        <v>1595</v>
      </c>
      <c r="J648" s="720">
        <f t="shared" si="99"/>
        <v>72.5</v>
      </c>
      <c r="K648" s="168"/>
      <c r="L648" s="636"/>
      <c r="M648" s="172"/>
      <c r="N648" s="697"/>
      <c r="O648" s="168"/>
      <c r="P648" s="221">
        <f t="shared" si="100"/>
        <v>2200</v>
      </c>
      <c r="Q648" s="221">
        <f t="shared" si="97"/>
        <v>1595</v>
      </c>
      <c r="R648" s="704">
        <f t="shared" si="101"/>
        <v>72.5</v>
      </c>
    </row>
    <row r="649" spans="2:18" ht="12.75">
      <c r="B649" s="224">
        <f t="shared" si="102"/>
        <v>221</v>
      </c>
      <c r="C649" s="165"/>
      <c r="D649" s="166"/>
      <c r="E649" s="166"/>
      <c r="F649" s="166" t="s">
        <v>255</v>
      </c>
      <c r="G649" s="292" t="s">
        <v>295</v>
      </c>
      <c r="H649" s="206">
        <f>23850-2009</f>
        <v>21841</v>
      </c>
      <c r="I649" s="206">
        <v>23108</v>
      </c>
      <c r="J649" s="697">
        <f t="shared" si="99"/>
        <v>105.80101643697633</v>
      </c>
      <c r="K649" s="168"/>
      <c r="L649" s="634"/>
      <c r="M649" s="238"/>
      <c r="N649" s="716"/>
      <c r="O649" s="168"/>
      <c r="P649" s="219">
        <f t="shared" si="100"/>
        <v>21841</v>
      </c>
      <c r="Q649" s="219">
        <f t="shared" si="97"/>
        <v>23108</v>
      </c>
      <c r="R649" s="699">
        <f t="shared" si="101"/>
        <v>105.80101643697633</v>
      </c>
    </row>
    <row r="650" spans="2:18" ht="12.75">
      <c r="B650" s="224">
        <f t="shared" si="102"/>
        <v>222</v>
      </c>
      <c r="C650" s="165"/>
      <c r="D650" s="166"/>
      <c r="E650" s="166"/>
      <c r="F650" s="166" t="s">
        <v>257</v>
      </c>
      <c r="G650" s="292" t="s">
        <v>296</v>
      </c>
      <c r="H650" s="206">
        <v>15428</v>
      </c>
      <c r="I650" s="206">
        <v>12433</v>
      </c>
      <c r="J650" s="697">
        <f t="shared" si="99"/>
        <v>80.58724397199897</v>
      </c>
      <c r="K650" s="168"/>
      <c r="L650" s="634"/>
      <c r="M650" s="238"/>
      <c r="N650" s="716"/>
      <c r="O650" s="168"/>
      <c r="P650" s="219">
        <f t="shared" si="100"/>
        <v>15428</v>
      </c>
      <c r="Q650" s="219">
        <f t="shared" si="97"/>
        <v>12433</v>
      </c>
      <c r="R650" s="699">
        <f t="shared" si="101"/>
        <v>80.58724397199897</v>
      </c>
    </row>
    <row r="651" spans="2:18" ht="12.75">
      <c r="B651" s="224">
        <f t="shared" si="102"/>
        <v>223</v>
      </c>
      <c r="C651" s="165"/>
      <c r="D651" s="166"/>
      <c r="E651" s="222"/>
      <c r="F651" s="166" t="s">
        <v>237</v>
      </c>
      <c r="G651" s="292" t="s">
        <v>707</v>
      </c>
      <c r="H651" s="206">
        <v>2411</v>
      </c>
      <c r="I651" s="206">
        <v>2411</v>
      </c>
      <c r="J651" s="697">
        <f t="shared" si="99"/>
        <v>100</v>
      </c>
      <c r="K651" s="168"/>
      <c r="L651" s="634"/>
      <c r="M651" s="238"/>
      <c r="N651" s="716"/>
      <c r="O651" s="168"/>
      <c r="P651" s="219">
        <f t="shared" si="100"/>
        <v>2411</v>
      </c>
      <c r="Q651" s="219">
        <f t="shared" si="97"/>
        <v>2411</v>
      </c>
      <c r="R651" s="699">
        <f t="shared" si="101"/>
        <v>100</v>
      </c>
    </row>
    <row r="652" spans="2:18" ht="12.75">
      <c r="B652" s="224">
        <f t="shared" si="102"/>
        <v>224</v>
      </c>
      <c r="C652" s="165"/>
      <c r="D652" s="166"/>
      <c r="E652" s="222"/>
      <c r="F652" s="188" t="s">
        <v>257</v>
      </c>
      <c r="G652" s="307" t="s">
        <v>525</v>
      </c>
      <c r="H652" s="207">
        <v>3010</v>
      </c>
      <c r="I652" s="207">
        <f>2118+2693+330</f>
        <v>5141</v>
      </c>
      <c r="J652" s="697">
        <f t="shared" si="99"/>
        <v>170.79734219269102</v>
      </c>
      <c r="K652" s="168"/>
      <c r="L652" s="634"/>
      <c r="M652" s="238"/>
      <c r="N652" s="716"/>
      <c r="O652" s="168"/>
      <c r="P652" s="218">
        <f t="shared" si="100"/>
        <v>3010</v>
      </c>
      <c r="Q652" s="218">
        <f t="shared" si="97"/>
        <v>5141</v>
      </c>
      <c r="R652" s="699">
        <f t="shared" si="101"/>
        <v>170.79734219269102</v>
      </c>
    </row>
    <row r="653" spans="2:18" ht="12.75">
      <c r="B653" s="224">
        <f t="shared" si="102"/>
        <v>225</v>
      </c>
      <c r="C653" s="165"/>
      <c r="D653" s="166"/>
      <c r="E653" s="166"/>
      <c r="F653" s="188" t="s">
        <v>256</v>
      </c>
      <c r="G653" s="307" t="s">
        <v>464</v>
      </c>
      <c r="H653" s="207">
        <v>14525</v>
      </c>
      <c r="I653" s="207">
        <v>20164</v>
      </c>
      <c r="J653" s="697">
        <f t="shared" si="99"/>
        <v>138.82271944922547</v>
      </c>
      <c r="K653" s="168"/>
      <c r="L653" s="634"/>
      <c r="M653" s="238"/>
      <c r="N653" s="716"/>
      <c r="O653" s="168"/>
      <c r="P653" s="218">
        <f t="shared" si="100"/>
        <v>14525</v>
      </c>
      <c r="Q653" s="218">
        <f t="shared" si="97"/>
        <v>20164</v>
      </c>
      <c r="R653" s="699">
        <f t="shared" si="101"/>
        <v>138.82271944922547</v>
      </c>
    </row>
    <row r="654" spans="2:18" ht="12.75">
      <c r="B654" s="224">
        <f t="shared" si="102"/>
        <v>226</v>
      </c>
      <c r="C654" s="165"/>
      <c r="D654" s="166"/>
      <c r="E654" s="222"/>
      <c r="F654" s="426" t="s">
        <v>686</v>
      </c>
      <c r="G654" s="307" t="s">
        <v>794</v>
      </c>
      <c r="H654" s="207"/>
      <c r="I654" s="207">
        <v>2348</v>
      </c>
      <c r="J654" s="697"/>
      <c r="K654" s="168"/>
      <c r="L654" s="634"/>
      <c r="M654" s="238"/>
      <c r="N654" s="716"/>
      <c r="O654" s="168"/>
      <c r="P654" s="218"/>
      <c r="Q654" s="218">
        <f t="shared" si="97"/>
        <v>2348</v>
      </c>
      <c r="R654" s="699"/>
    </row>
    <row r="655" spans="2:18" ht="12.75">
      <c r="B655" s="224">
        <f t="shared" si="102"/>
        <v>227</v>
      </c>
      <c r="C655" s="165"/>
      <c r="D655" s="166"/>
      <c r="E655" s="222"/>
      <c r="F655" s="188"/>
      <c r="G655" s="307"/>
      <c r="H655" s="207"/>
      <c r="I655" s="207"/>
      <c r="J655" s="697"/>
      <c r="K655" s="168"/>
      <c r="L655" s="634"/>
      <c r="M655" s="238"/>
      <c r="N655" s="716"/>
      <c r="O655" s="168"/>
      <c r="P655" s="219"/>
      <c r="Q655" s="219"/>
      <c r="R655" s="699"/>
    </row>
    <row r="656" spans="2:18" ht="15">
      <c r="B656" s="224">
        <f t="shared" si="102"/>
        <v>228</v>
      </c>
      <c r="C656" s="165"/>
      <c r="D656" s="398" t="s">
        <v>192</v>
      </c>
      <c r="E656" s="194" t="s">
        <v>532</v>
      </c>
      <c r="F656" s="652" t="s">
        <v>465</v>
      </c>
      <c r="G656" s="366"/>
      <c r="H656" s="232">
        <f>H657+H658+H659+H660+H661+H662+H663+H675+H676</f>
        <v>548059</v>
      </c>
      <c r="I656" s="232">
        <f>I657+I658+I659+I660+I661+I662+I663+I675+I676+I677</f>
        <v>524408</v>
      </c>
      <c r="J656" s="697">
        <f aca="true" t="shared" si="103" ref="J656:J676">I656/H656*100</f>
        <v>95.6845887030411</v>
      </c>
      <c r="K656" s="168"/>
      <c r="L656" s="758"/>
      <c r="M656" s="759"/>
      <c r="N656" s="716"/>
      <c r="O656" s="168"/>
      <c r="P656" s="395">
        <f aca="true" t="shared" si="104" ref="P656:P676">H656+L656</f>
        <v>548059</v>
      </c>
      <c r="Q656" s="395">
        <f aca="true" t="shared" si="105" ref="Q656:Q677">M656+I656</f>
        <v>524408</v>
      </c>
      <c r="R656" s="699">
        <f aca="true" t="shared" si="106" ref="R656:R676">Q656/P656*100</f>
        <v>95.6845887030411</v>
      </c>
    </row>
    <row r="657" spans="2:18" ht="12.75">
      <c r="B657" s="224">
        <f t="shared" si="102"/>
        <v>229</v>
      </c>
      <c r="C657" s="165"/>
      <c r="D657" s="166"/>
      <c r="E657" s="166"/>
      <c r="F657" s="188" t="s">
        <v>250</v>
      </c>
      <c r="G657" s="307" t="s">
        <v>291</v>
      </c>
      <c r="H657" s="207">
        <f>252236+6269+7780</f>
        <v>266285</v>
      </c>
      <c r="I657" s="207">
        <v>269718</v>
      </c>
      <c r="J657" s="697">
        <f t="shared" si="103"/>
        <v>101.28922019640612</v>
      </c>
      <c r="K657" s="168"/>
      <c r="L657" s="634"/>
      <c r="M657" s="238"/>
      <c r="N657" s="716"/>
      <c r="O657" s="168"/>
      <c r="P657" s="218">
        <f t="shared" si="104"/>
        <v>266285</v>
      </c>
      <c r="Q657" s="218">
        <f t="shared" si="105"/>
        <v>269718</v>
      </c>
      <c r="R657" s="699">
        <f t="shared" si="106"/>
        <v>101.28922019640612</v>
      </c>
    </row>
    <row r="658" spans="2:18" ht="12.75">
      <c r="B658" s="224">
        <f t="shared" si="102"/>
        <v>230</v>
      </c>
      <c r="C658" s="165"/>
      <c r="D658" s="166"/>
      <c r="E658" s="166" t="s">
        <v>689</v>
      </c>
      <c r="F658" s="188" t="s">
        <v>250</v>
      </c>
      <c r="G658" s="307" t="s">
        <v>687</v>
      </c>
      <c r="H658" s="207">
        <v>1925</v>
      </c>
      <c r="I658" s="207">
        <v>531</v>
      </c>
      <c r="J658" s="697">
        <f t="shared" si="103"/>
        <v>27.584415584415584</v>
      </c>
      <c r="K658" s="168"/>
      <c r="L658" s="634"/>
      <c r="M658" s="238"/>
      <c r="N658" s="716"/>
      <c r="O658" s="168"/>
      <c r="P658" s="218">
        <f t="shared" si="104"/>
        <v>1925</v>
      </c>
      <c r="Q658" s="218">
        <f t="shared" si="105"/>
        <v>531</v>
      </c>
      <c r="R658" s="699">
        <f t="shared" si="106"/>
        <v>27.584415584415584</v>
      </c>
    </row>
    <row r="659" spans="2:18" ht="12.75">
      <c r="B659" s="224">
        <f t="shared" si="102"/>
        <v>231</v>
      </c>
      <c r="C659" s="165"/>
      <c r="D659" s="166"/>
      <c r="E659" s="166" t="s">
        <v>689</v>
      </c>
      <c r="F659" s="188" t="s">
        <v>250</v>
      </c>
      <c r="G659" s="307" t="s">
        <v>760</v>
      </c>
      <c r="H659" s="207">
        <v>34417</v>
      </c>
      <c r="I659" s="207">
        <v>29197</v>
      </c>
      <c r="J659" s="697">
        <f t="shared" si="103"/>
        <v>84.83307667722346</v>
      </c>
      <c r="K659" s="168"/>
      <c r="L659" s="634"/>
      <c r="M659" s="238"/>
      <c r="N659" s="716"/>
      <c r="O659" s="168"/>
      <c r="P659" s="218">
        <f t="shared" si="104"/>
        <v>34417</v>
      </c>
      <c r="Q659" s="218">
        <f t="shared" si="105"/>
        <v>29197</v>
      </c>
      <c r="R659" s="699">
        <f t="shared" si="106"/>
        <v>84.83307667722346</v>
      </c>
    </row>
    <row r="660" spans="2:18" ht="12.75">
      <c r="B660" s="224">
        <f t="shared" si="102"/>
        <v>232</v>
      </c>
      <c r="C660" s="165"/>
      <c r="D660" s="166"/>
      <c r="E660" s="166"/>
      <c r="F660" s="188" t="s">
        <v>251</v>
      </c>
      <c r="G660" s="307" t="s">
        <v>292</v>
      </c>
      <c r="H660" s="207">
        <f>88787+2191+2720</f>
        <v>93698</v>
      </c>
      <c r="I660" s="207">
        <v>87287</v>
      </c>
      <c r="J660" s="697">
        <f t="shared" si="103"/>
        <v>93.15780486243035</v>
      </c>
      <c r="K660" s="168"/>
      <c r="L660" s="634"/>
      <c r="M660" s="238"/>
      <c r="N660" s="716"/>
      <c r="O660" s="168"/>
      <c r="P660" s="218">
        <f t="shared" si="104"/>
        <v>93698</v>
      </c>
      <c r="Q660" s="218">
        <f t="shared" si="105"/>
        <v>87287</v>
      </c>
      <c r="R660" s="699">
        <f t="shared" si="106"/>
        <v>93.15780486243035</v>
      </c>
    </row>
    <row r="661" spans="2:18" ht="12.75">
      <c r="B661" s="224">
        <f t="shared" si="102"/>
        <v>233</v>
      </c>
      <c r="C661" s="165"/>
      <c r="D661" s="166"/>
      <c r="E661" s="166" t="s">
        <v>689</v>
      </c>
      <c r="F661" s="188" t="s">
        <v>251</v>
      </c>
      <c r="G661" s="307" t="s">
        <v>688</v>
      </c>
      <c r="H661" s="207">
        <v>673</v>
      </c>
      <c r="I661" s="207">
        <v>165</v>
      </c>
      <c r="J661" s="697">
        <f t="shared" si="103"/>
        <v>24.51708766716196</v>
      </c>
      <c r="K661" s="168"/>
      <c r="L661" s="634"/>
      <c r="M661" s="238"/>
      <c r="N661" s="716"/>
      <c r="O661" s="168"/>
      <c r="P661" s="218">
        <f t="shared" si="104"/>
        <v>673</v>
      </c>
      <c r="Q661" s="218">
        <f t="shared" si="105"/>
        <v>165</v>
      </c>
      <c r="R661" s="699">
        <f t="shared" si="106"/>
        <v>24.51708766716196</v>
      </c>
    </row>
    <row r="662" spans="2:18" ht="12.75">
      <c r="B662" s="224">
        <f t="shared" si="102"/>
        <v>234</v>
      </c>
      <c r="C662" s="165"/>
      <c r="D662" s="166"/>
      <c r="E662" s="166" t="s">
        <v>689</v>
      </c>
      <c r="F662" s="188" t="s">
        <v>251</v>
      </c>
      <c r="G662" s="307" t="s">
        <v>761</v>
      </c>
      <c r="H662" s="207">
        <v>12028</v>
      </c>
      <c r="I662" s="207">
        <v>9836</v>
      </c>
      <c r="J662" s="697">
        <f t="shared" si="103"/>
        <v>81.77585633521782</v>
      </c>
      <c r="K662" s="168"/>
      <c r="L662" s="634"/>
      <c r="M662" s="238"/>
      <c r="N662" s="716"/>
      <c r="O662" s="168"/>
      <c r="P662" s="218">
        <f t="shared" si="104"/>
        <v>12028</v>
      </c>
      <c r="Q662" s="218">
        <f t="shared" si="105"/>
        <v>9836</v>
      </c>
      <c r="R662" s="699">
        <f t="shared" si="106"/>
        <v>81.77585633521782</v>
      </c>
    </row>
    <row r="663" spans="2:18" ht="12.75">
      <c r="B663" s="224">
        <f t="shared" si="102"/>
        <v>235</v>
      </c>
      <c r="C663" s="165"/>
      <c r="D663" s="166"/>
      <c r="E663" s="166"/>
      <c r="F663" s="188" t="s">
        <v>257</v>
      </c>
      <c r="G663" s="307" t="s">
        <v>428</v>
      </c>
      <c r="H663" s="207">
        <f>H664+H665+H666+H667+H668+H669+H672+H673+H670+H671+H674</f>
        <v>134533</v>
      </c>
      <c r="I663" s="207">
        <f>I664+I665+I666+I667+I668+I669+I672+I673+I670+I671+I674</f>
        <v>121076</v>
      </c>
      <c r="J663" s="697">
        <f t="shared" si="103"/>
        <v>89.99724974541562</v>
      </c>
      <c r="K663" s="168"/>
      <c r="L663" s="634"/>
      <c r="M663" s="238"/>
      <c r="N663" s="716"/>
      <c r="O663" s="168"/>
      <c r="P663" s="218">
        <f t="shared" si="104"/>
        <v>134533</v>
      </c>
      <c r="Q663" s="218">
        <f t="shared" si="105"/>
        <v>121076</v>
      </c>
      <c r="R663" s="699">
        <f t="shared" si="106"/>
        <v>89.99724974541562</v>
      </c>
    </row>
    <row r="664" spans="2:18" ht="12.75">
      <c r="B664" s="224">
        <f t="shared" si="102"/>
        <v>236</v>
      </c>
      <c r="C664" s="165"/>
      <c r="D664" s="166"/>
      <c r="E664" s="166"/>
      <c r="F664" s="166" t="s">
        <v>252</v>
      </c>
      <c r="G664" s="292" t="s">
        <v>305</v>
      </c>
      <c r="H664" s="206">
        <v>200</v>
      </c>
      <c r="I664" s="206">
        <v>58</v>
      </c>
      <c r="J664" s="697">
        <f t="shared" si="103"/>
        <v>28.999999999999996</v>
      </c>
      <c r="K664" s="168"/>
      <c r="L664" s="634"/>
      <c r="M664" s="238"/>
      <c r="N664" s="716"/>
      <c r="O664" s="168"/>
      <c r="P664" s="219">
        <f t="shared" si="104"/>
        <v>200</v>
      </c>
      <c r="Q664" s="219">
        <f t="shared" si="105"/>
        <v>58</v>
      </c>
      <c r="R664" s="699">
        <f t="shared" si="106"/>
        <v>28.999999999999996</v>
      </c>
    </row>
    <row r="665" spans="2:18" ht="12.75">
      <c r="B665" s="224">
        <f t="shared" si="102"/>
        <v>237</v>
      </c>
      <c r="C665" s="165"/>
      <c r="D665" s="166"/>
      <c r="E665" s="166"/>
      <c r="F665" s="166" t="s">
        <v>237</v>
      </c>
      <c r="G665" s="292" t="s">
        <v>398</v>
      </c>
      <c r="H665" s="206">
        <f>63000-10500</f>
        <v>52500</v>
      </c>
      <c r="I665" s="206">
        <v>48396</v>
      </c>
      <c r="J665" s="697">
        <f t="shared" si="103"/>
        <v>92.18285714285715</v>
      </c>
      <c r="K665" s="168"/>
      <c r="L665" s="634"/>
      <c r="M665" s="238"/>
      <c r="N665" s="716"/>
      <c r="O665" s="168"/>
      <c r="P665" s="219">
        <f t="shared" si="104"/>
        <v>52500</v>
      </c>
      <c r="Q665" s="219">
        <f t="shared" si="105"/>
        <v>48396</v>
      </c>
      <c r="R665" s="699">
        <f t="shared" si="106"/>
        <v>92.18285714285715</v>
      </c>
    </row>
    <row r="666" spans="2:18" ht="12.75">
      <c r="B666" s="224">
        <f t="shared" si="102"/>
        <v>238</v>
      </c>
      <c r="C666" s="165"/>
      <c r="D666" s="166"/>
      <c r="E666" s="166"/>
      <c r="F666" s="166" t="s">
        <v>238</v>
      </c>
      <c r="G666" s="292" t="s">
        <v>294</v>
      </c>
      <c r="H666" s="206">
        <f>7592+700</f>
        <v>8292</v>
      </c>
      <c r="I666" s="206">
        <v>4469</v>
      </c>
      <c r="J666" s="697">
        <f t="shared" si="103"/>
        <v>53.89532079112398</v>
      </c>
      <c r="K666" s="168"/>
      <c r="L666" s="634"/>
      <c r="M666" s="238"/>
      <c r="N666" s="716"/>
      <c r="O666" s="168"/>
      <c r="P666" s="219">
        <f t="shared" si="104"/>
        <v>8292</v>
      </c>
      <c r="Q666" s="219">
        <f t="shared" si="105"/>
        <v>4469</v>
      </c>
      <c r="R666" s="699">
        <f t="shared" si="106"/>
        <v>53.89532079112398</v>
      </c>
    </row>
    <row r="667" spans="2:18" ht="12.75">
      <c r="B667" s="224">
        <f t="shared" si="102"/>
        <v>239</v>
      </c>
      <c r="C667" s="165"/>
      <c r="D667" s="166"/>
      <c r="E667" s="166"/>
      <c r="F667" s="166" t="s">
        <v>253</v>
      </c>
      <c r="G667" s="292" t="s">
        <v>311</v>
      </c>
      <c r="H667" s="206">
        <f>1200+542</f>
        <v>1742</v>
      </c>
      <c r="I667" s="206">
        <v>1676</v>
      </c>
      <c r="J667" s="697">
        <f t="shared" si="103"/>
        <v>96.21125143513203</v>
      </c>
      <c r="K667" s="168"/>
      <c r="L667" s="634"/>
      <c r="M667" s="238"/>
      <c r="N667" s="716"/>
      <c r="O667" s="168"/>
      <c r="P667" s="219">
        <f t="shared" si="104"/>
        <v>1742</v>
      </c>
      <c r="Q667" s="219">
        <f t="shared" si="105"/>
        <v>1676</v>
      </c>
      <c r="R667" s="699">
        <f t="shared" si="106"/>
        <v>96.21125143513203</v>
      </c>
    </row>
    <row r="668" spans="2:18" ht="12.75">
      <c r="B668" s="224">
        <f t="shared" si="102"/>
        <v>240</v>
      </c>
      <c r="C668" s="165"/>
      <c r="D668" s="166"/>
      <c r="E668" s="166"/>
      <c r="F668" s="166" t="s">
        <v>255</v>
      </c>
      <c r="G668" s="292" t="s">
        <v>295</v>
      </c>
      <c r="H668" s="206">
        <f>17157-542</f>
        <v>16615</v>
      </c>
      <c r="I668" s="206">
        <v>14774</v>
      </c>
      <c r="J668" s="697">
        <f t="shared" si="103"/>
        <v>88.91965091784532</v>
      </c>
      <c r="K668" s="168"/>
      <c r="L668" s="634"/>
      <c r="M668" s="238"/>
      <c r="N668" s="716"/>
      <c r="O668" s="168"/>
      <c r="P668" s="219">
        <f t="shared" si="104"/>
        <v>16615</v>
      </c>
      <c r="Q668" s="219">
        <f t="shared" si="105"/>
        <v>14774</v>
      </c>
      <c r="R668" s="699">
        <f t="shared" si="106"/>
        <v>88.91965091784532</v>
      </c>
    </row>
    <row r="669" spans="2:18" ht="12.75">
      <c r="B669" s="224">
        <f t="shared" si="102"/>
        <v>241</v>
      </c>
      <c r="C669" s="165"/>
      <c r="D669" s="166"/>
      <c r="E669" s="166"/>
      <c r="F669" s="166" t="s">
        <v>257</v>
      </c>
      <c r="G669" s="292" t="s">
        <v>296</v>
      </c>
      <c r="H669" s="206">
        <v>8200</v>
      </c>
      <c r="I669" s="206">
        <v>8324</v>
      </c>
      <c r="J669" s="697">
        <f t="shared" si="103"/>
        <v>101.51219512195122</v>
      </c>
      <c r="K669" s="168"/>
      <c r="L669" s="634"/>
      <c r="M669" s="238"/>
      <c r="N669" s="716"/>
      <c r="O669" s="168"/>
      <c r="P669" s="219">
        <f t="shared" si="104"/>
        <v>8200</v>
      </c>
      <c r="Q669" s="219">
        <f t="shared" si="105"/>
        <v>8324</v>
      </c>
      <c r="R669" s="699">
        <f t="shared" si="106"/>
        <v>101.51219512195122</v>
      </c>
    </row>
    <row r="670" spans="2:18" ht="12.75">
      <c r="B670" s="224">
        <f t="shared" si="102"/>
        <v>242</v>
      </c>
      <c r="C670" s="165"/>
      <c r="D670" s="166"/>
      <c r="E670" s="166"/>
      <c r="F670" s="166" t="s">
        <v>237</v>
      </c>
      <c r="G670" s="292" t="s">
        <v>707</v>
      </c>
      <c r="H670" s="206">
        <v>3363</v>
      </c>
      <c r="I670" s="206">
        <v>3363</v>
      </c>
      <c r="J670" s="697">
        <f t="shared" si="103"/>
        <v>100</v>
      </c>
      <c r="K670" s="168"/>
      <c r="L670" s="634"/>
      <c r="M670" s="238"/>
      <c r="N670" s="716"/>
      <c r="O670" s="168"/>
      <c r="P670" s="219">
        <f t="shared" si="104"/>
        <v>3363</v>
      </c>
      <c r="Q670" s="219">
        <f t="shared" si="105"/>
        <v>3363</v>
      </c>
      <c r="R670" s="699">
        <f t="shared" si="106"/>
        <v>100</v>
      </c>
    </row>
    <row r="671" spans="2:18" ht="12.75">
      <c r="B671" s="224">
        <f t="shared" si="102"/>
        <v>243</v>
      </c>
      <c r="C671" s="165"/>
      <c r="D671" s="166"/>
      <c r="E671" s="166"/>
      <c r="F671" s="166" t="s">
        <v>257</v>
      </c>
      <c r="G671" s="292" t="s">
        <v>707</v>
      </c>
      <c r="H671" s="206">
        <v>13079</v>
      </c>
      <c r="I671" s="206">
        <v>13079</v>
      </c>
      <c r="J671" s="697">
        <f t="shared" si="103"/>
        <v>100</v>
      </c>
      <c r="K671" s="168"/>
      <c r="L671" s="634"/>
      <c r="M671" s="238"/>
      <c r="N671" s="716"/>
      <c r="O671" s="168"/>
      <c r="P671" s="219">
        <f t="shared" si="104"/>
        <v>13079</v>
      </c>
      <c r="Q671" s="219">
        <f t="shared" si="105"/>
        <v>13079</v>
      </c>
      <c r="R671" s="699">
        <f t="shared" si="106"/>
        <v>100</v>
      </c>
    </row>
    <row r="672" spans="2:18" ht="12.75">
      <c r="B672" s="224">
        <f t="shared" si="102"/>
        <v>244</v>
      </c>
      <c r="C672" s="165"/>
      <c r="D672" s="166"/>
      <c r="E672" s="166" t="s">
        <v>689</v>
      </c>
      <c r="F672" s="166" t="s">
        <v>238</v>
      </c>
      <c r="G672" s="292" t="s">
        <v>690</v>
      </c>
      <c r="H672" s="206">
        <v>584</v>
      </c>
      <c r="I672" s="206">
        <v>584</v>
      </c>
      <c r="J672" s="697">
        <f t="shared" si="103"/>
        <v>100</v>
      </c>
      <c r="K672" s="168"/>
      <c r="L672" s="634"/>
      <c r="M672" s="238"/>
      <c r="N672" s="716"/>
      <c r="O672" s="168"/>
      <c r="P672" s="219">
        <f t="shared" si="104"/>
        <v>584</v>
      </c>
      <c r="Q672" s="219">
        <f t="shared" si="105"/>
        <v>584</v>
      </c>
      <c r="R672" s="699">
        <f t="shared" si="106"/>
        <v>100</v>
      </c>
    </row>
    <row r="673" spans="2:18" ht="12.75">
      <c r="B673" s="224">
        <f t="shared" si="102"/>
        <v>245</v>
      </c>
      <c r="C673" s="165"/>
      <c r="D673" s="166"/>
      <c r="E673" s="166" t="s">
        <v>689</v>
      </c>
      <c r="F673" s="166" t="s">
        <v>255</v>
      </c>
      <c r="G673" s="292" t="s">
        <v>691</v>
      </c>
      <c r="H673" s="206">
        <v>1403</v>
      </c>
      <c r="I673" s="206">
        <v>1403</v>
      </c>
      <c r="J673" s="697">
        <f t="shared" si="103"/>
        <v>100</v>
      </c>
      <c r="K673" s="168"/>
      <c r="L673" s="634"/>
      <c r="M673" s="238"/>
      <c r="N673" s="716"/>
      <c r="O673" s="168"/>
      <c r="P673" s="219">
        <f t="shared" si="104"/>
        <v>1403</v>
      </c>
      <c r="Q673" s="219">
        <f t="shared" si="105"/>
        <v>1403</v>
      </c>
      <c r="R673" s="699">
        <f t="shared" si="106"/>
        <v>100</v>
      </c>
    </row>
    <row r="674" spans="2:18" ht="12.75">
      <c r="B674" s="224">
        <f t="shared" si="102"/>
        <v>246</v>
      </c>
      <c r="C674" s="165"/>
      <c r="D674" s="166"/>
      <c r="E674" s="166" t="s">
        <v>689</v>
      </c>
      <c r="F674" s="166" t="s">
        <v>257</v>
      </c>
      <c r="G674" s="292" t="s">
        <v>762</v>
      </c>
      <c r="H674" s="206">
        <v>28555</v>
      </c>
      <c r="I674" s="206">
        <v>24950</v>
      </c>
      <c r="J674" s="697">
        <f t="shared" si="103"/>
        <v>87.37524076343898</v>
      </c>
      <c r="K674" s="168"/>
      <c r="L674" s="634"/>
      <c r="M674" s="238"/>
      <c r="N674" s="716"/>
      <c r="O674" s="168"/>
      <c r="P674" s="219">
        <f t="shared" si="104"/>
        <v>28555</v>
      </c>
      <c r="Q674" s="219">
        <f t="shared" si="105"/>
        <v>24950</v>
      </c>
      <c r="R674" s="699">
        <f t="shared" si="106"/>
        <v>87.37524076343898</v>
      </c>
    </row>
    <row r="675" spans="2:18" ht="12.75">
      <c r="B675" s="224">
        <f t="shared" si="102"/>
        <v>247</v>
      </c>
      <c r="C675" s="165"/>
      <c r="D675" s="166"/>
      <c r="E675" s="166"/>
      <c r="F675" s="188" t="s">
        <v>256</v>
      </c>
      <c r="G675" s="307" t="s">
        <v>464</v>
      </c>
      <c r="H675" s="207">
        <v>1000</v>
      </c>
      <c r="I675" s="207">
        <v>1663</v>
      </c>
      <c r="J675" s="697">
        <f t="shared" si="103"/>
        <v>166.3</v>
      </c>
      <c r="K675" s="168"/>
      <c r="L675" s="634"/>
      <c r="M675" s="238"/>
      <c r="N675" s="716"/>
      <c r="O675" s="168"/>
      <c r="P675" s="218">
        <f t="shared" si="104"/>
        <v>1000</v>
      </c>
      <c r="Q675" s="218">
        <f t="shared" si="105"/>
        <v>1663</v>
      </c>
      <c r="R675" s="699">
        <f t="shared" si="106"/>
        <v>166.3</v>
      </c>
    </row>
    <row r="676" spans="2:18" ht="12.75">
      <c r="B676" s="224">
        <f t="shared" si="102"/>
        <v>248</v>
      </c>
      <c r="C676" s="165"/>
      <c r="D676" s="166"/>
      <c r="E676" s="166"/>
      <c r="F676" s="188" t="s">
        <v>257</v>
      </c>
      <c r="G676" s="307" t="s">
        <v>525</v>
      </c>
      <c r="H676" s="207">
        <v>3500</v>
      </c>
      <c r="I676" s="207">
        <v>3500</v>
      </c>
      <c r="J676" s="697">
        <f t="shared" si="103"/>
        <v>100</v>
      </c>
      <c r="K676" s="168"/>
      <c r="L676" s="634"/>
      <c r="M676" s="238"/>
      <c r="N676" s="716"/>
      <c r="O676" s="168"/>
      <c r="P676" s="218">
        <f t="shared" si="104"/>
        <v>3500</v>
      </c>
      <c r="Q676" s="218">
        <f t="shared" si="105"/>
        <v>3500</v>
      </c>
      <c r="R676" s="699">
        <f t="shared" si="106"/>
        <v>100</v>
      </c>
    </row>
    <row r="677" spans="2:18" ht="12.75">
      <c r="B677" s="224">
        <f t="shared" si="102"/>
        <v>249</v>
      </c>
      <c r="C677" s="165"/>
      <c r="D677" s="166"/>
      <c r="E677" s="222"/>
      <c r="F677" s="166" t="s">
        <v>686</v>
      </c>
      <c r="G677" s="307" t="s">
        <v>794</v>
      </c>
      <c r="H677" s="207"/>
      <c r="I677" s="207">
        <v>1435</v>
      </c>
      <c r="J677" s="697"/>
      <c r="K677" s="168"/>
      <c r="L677" s="634"/>
      <c r="M677" s="238"/>
      <c r="N677" s="716"/>
      <c r="O677" s="168"/>
      <c r="P677" s="219"/>
      <c r="Q677" s="219">
        <f t="shared" si="105"/>
        <v>1435</v>
      </c>
      <c r="R677" s="699"/>
    </row>
    <row r="678" spans="2:18" ht="12.75">
      <c r="B678" s="224">
        <f t="shared" si="102"/>
        <v>250</v>
      </c>
      <c r="C678" s="165"/>
      <c r="D678" s="166"/>
      <c r="E678" s="222"/>
      <c r="F678" s="434"/>
      <c r="G678" s="307"/>
      <c r="H678" s="207"/>
      <c r="I678" s="207"/>
      <c r="J678" s="697"/>
      <c r="K678" s="168"/>
      <c r="L678" s="634"/>
      <c r="M678" s="238"/>
      <c r="N678" s="716"/>
      <c r="O678" s="168"/>
      <c r="P678" s="219"/>
      <c r="Q678" s="219"/>
      <c r="R678" s="699"/>
    </row>
    <row r="679" spans="2:18" ht="15">
      <c r="B679" s="224">
        <f t="shared" si="102"/>
        <v>251</v>
      </c>
      <c r="C679" s="165"/>
      <c r="D679" s="398" t="s">
        <v>196</v>
      </c>
      <c r="E679" s="194" t="s">
        <v>532</v>
      </c>
      <c r="F679" s="194" t="s">
        <v>466</v>
      </c>
      <c r="G679" s="366"/>
      <c r="H679" s="232">
        <f>H680+H681+H682+H691</f>
        <v>397557</v>
      </c>
      <c r="I679" s="232">
        <f>I680+I681+I682+I691+I692</f>
        <v>413090</v>
      </c>
      <c r="J679" s="697">
        <f aca="true" t="shared" si="107" ref="J679:J691">I679/H679*100</f>
        <v>103.90711269075881</v>
      </c>
      <c r="K679" s="168"/>
      <c r="L679" s="773">
        <f>SUM(L680:L694)</f>
        <v>1000</v>
      </c>
      <c r="M679" s="774">
        <f>SUM(M680:M694)</f>
        <v>990</v>
      </c>
      <c r="N679" s="716">
        <f>M679/L679*100</f>
        <v>99</v>
      </c>
      <c r="O679" s="168"/>
      <c r="P679" s="395">
        <f aca="true" t="shared" si="108" ref="P679:P691">H679+L679</f>
        <v>398557</v>
      </c>
      <c r="Q679" s="395">
        <f aca="true" t="shared" si="109" ref="Q679:Q691">M679+I679</f>
        <v>414080</v>
      </c>
      <c r="R679" s="699">
        <f aca="true" t="shared" si="110" ref="R679:R691">Q679/P679*100</f>
        <v>103.8948004927777</v>
      </c>
    </row>
    <row r="680" spans="2:18" ht="12.75">
      <c r="B680" s="224">
        <f t="shared" si="102"/>
        <v>252</v>
      </c>
      <c r="C680" s="165"/>
      <c r="D680" s="166"/>
      <c r="E680" s="166"/>
      <c r="F680" s="188" t="s">
        <v>250</v>
      </c>
      <c r="G680" s="307" t="s">
        <v>291</v>
      </c>
      <c r="H680" s="207">
        <f>173746+6800</f>
        <v>180546</v>
      </c>
      <c r="I680" s="207">
        <v>197008</v>
      </c>
      <c r="J680" s="697">
        <f t="shared" si="107"/>
        <v>109.117897931829</v>
      </c>
      <c r="K680" s="168"/>
      <c r="L680" s="634"/>
      <c r="M680" s="238"/>
      <c r="N680" s="716"/>
      <c r="O680" s="168"/>
      <c r="P680" s="218">
        <f t="shared" si="108"/>
        <v>180546</v>
      </c>
      <c r="Q680" s="218">
        <f t="shared" si="109"/>
        <v>197008</v>
      </c>
      <c r="R680" s="699">
        <f t="shared" si="110"/>
        <v>109.117897931829</v>
      </c>
    </row>
    <row r="681" spans="2:18" ht="12.75">
      <c r="B681" s="224">
        <f t="shared" si="102"/>
        <v>253</v>
      </c>
      <c r="C681" s="165"/>
      <c r="D681" s="166"/>
      <c r="E681" s="166"/>
      <c r="F681" s="188" t="s">
        <v>251</v>
      </c>
      <c r="G681" s="307" t="s">
        <v>292</v>
      </c>
      <c r="H681" s="207">
        <f>67207+2394</f>
        <v>69601</v>
      </c>
      <c r="I681" s="207">
        <v>68881</v>
      </c>
      <c r="J681" s="697">
        <f t="shared" si="107"/>
        <v>98.96553210442379</v>
      </c>
      <c r="K681" s="168"/>
      <c r="L681" s="634"/>
      <c r="M681" s="238"/>
      <c r="N681" s="716"/>
      <c r="O681" s="168"/>
      <c r="P681" s="218">
        <f t="shared" si="108"/>
        <v>69601</v>
      </c>
      <c r="Q681" s="218">
        <f t="shared" si="109"/>
        <v>68881</v>
      </c>
      <c r="R681" s="699">
        <f t="shared" si="110"/>
        <v>98.96553210442379</v>
      </c>
    </row>
    <row r="682" spans="2:18" ht="12.75">
      <c r="B682" s="224">
        <f t="shared" si="102"/>
        <v>254</v>
      </c>
      <c r="C682" s="165"/>
      <c r="D682" s="166"/>
      <c r="E682" s="166"/>
      <c r="F682" s="188" t="s">
        <v>257</v>
      </c>
      <c r="G682" s="307" t="s">
        <v>428</v>
      </c>
      <c r="H682" s="207">
        <f>SUM(H683:H690)</f>
        <v>140400</v>
      </c>
      <c r="I682" s="207">
        <f>SUM(I683:I690)</f>
        <v>124034</v>
      </c>
      <c r="J682" s="697">
        <f t="shared" si="107"/>
        <v>88.34330484330485</v>
      </c>
      <c r="K682" s="168"/>
      <c r="L682" s="634"/>
      <c r="M682" s="238"/>
      <c r="N682" s="716"/>
      <c r="O682" s="168"/>
      <c r="P682" s="218">
        <f t="shared" si="108"/>
        <v>140400</v>
      </c>
      <c r="Q682" s="218">
        <f t="shared" si="109"/>
        <v>124034</v>
      </c>
      <c r="R682" s="699">
        <f t="shared" si="110"/>
        <v>88.34330484330485</v>
      </c>
    </row>
    <row r="683" spans="2:18" ht="12.75">
      <c r="B683" s="224">
        <f t="shared" si="102"/>
        <v>255</v>
      </c>
      <c r="C683" s="165"/>
      <c r="D683" s="166"/>
      <c r="E683" s="166"/>
      <c r="F683" s="166" t="s">
        <v>252</v>
      </c>
      <c r="G683" s="292" t="s">
        <v>305</v>
      </c>
      <c r="H683" s="206">
        <v>100</v>
      </c>
      <c r="I683" s="206">
        <v>47</v>
      </c>
      <c r="J683" s="697">
        <f t="shared" si="107"/>
        <v>47</v>
      </c>
      <c r="K683" s="168"/>
      <c r="L683" s="634"/>
      <c r="M683" s="238"/>
      <c r="N683" s="716"/>
      <c r="O683" s="168"/>
      <c r="P683" s="219">
        <f t="shared" si="108"/>
        <v>100</v>
      </c>
      <c r="Q683" s="219">
        <f t="shared" si="109"/>
        <v>47</v>
      </c>
      <c r="R683" s="699">
        <f t="shared" si="110"/>
        <v>47</v>
      </c>
    </row>
    <row r="684" spans="2:18" ht="12.75">
      <c r="B684" s="224">
        <f t="shared" si="102"/>
        <v>256</v>
      </c>
      <c r="C684" s="165"/>
      <c r="D684" s="166"/>
      <c r="E684" s="166"/>
      <c r="F684" s="166" t="s">
        <v>237</v>
      </c>
      <c r="G684" s="292" t="s">
        <v>398</v>
      </c>
      <c r="H684" s="206">
        <f>102864+7381</f>
        <v>110245</v>
      </c>
      <c r="I684" s="206">
        <v>99179</v>
      </c>
      <c r="J684" s="697">
        <f t="shared" si="107"/>
        <v>89.96235656945893</v>
      </c>
      <c r="K684" s="168"/>
      <c r="L684" s="634"/>
      <c r="M684" s="238"/>
      <c r="N684" s="716"/>
      <c r="O684" s="168"/>
      <c r="P684" s="219">
        <f t="shared" si="108"/>
        <v>110245</v>
      </c>
      <c r="Q684" s="219">
        <f t="shared" si="109"/>
        <v>99179</v>
      </c>
      <c r="R684" s="699">
        <f t="shared" si="110"/>
        <v>89.96235656945893</v>
      </c>
    </row>
    <row r="685" spans="2:18" ht="12.75">
      <c r="B685" s="224">
        <f t="shared" si="102"/>
        <v>257</v>
      </c>
      <c r="C685" s="165"/>
      <c r="D685" s="166"/>
      <c r="E685" s="166"/>
      <c r="F685" s="166" t="s">
        <v>238</v>
      </c>
      <c r="G685" s="292" t="s">
        <v>294</v>
      </c>
      <c r="H685" s="206">
        <f>3499+467</f>
        <v>3966</v>
      </c>
      <c r="I685" s="206">
        <v>2198</v>
      </c>
      <c r="J685" s="697">
        <f t="shared" si="107"/>
        <v>55.421079172970245</v>
      </c>
      <c r="K685" s="168"/>
      <c r="L685" s="636"/>
      <c r="M685" s="172"/>
      <c r="N685" s="697"/>
      <c r="O685" s="195"/>
      <c r="P685" s="221">
        <f t="shared" si="108"/>
        <v>3966</v>
      </c>
      <c r="Q685" s="221">
        <f t="shared" si="109"/>
        <v>2198</v>
      </c>
      <c r="R685" s="704">
        <f t="shared" si="110"/>
        <v>55.421079172970245</v>
      </c>
    </row>
    <row r="686" spans="2:18" ht="12.75">
      <c r="B686" s="224">
        <f t="shared" si="102"/>
        <v>258</v>
      </c>
      <c r="C686" s="165"/>
      <c r="D686" s="166"/>
      <c r="E686" s="166"/>
      <c r="F686" s="166" t="s">
        <v>253</v>
      </c>
      <c r="G686" s="292" t="s">
        <v>311</v>
      </c>
      <c r="H686" s="211">
        <v>1020</v>
      </c>
      <c r="I686" s="211">
        <v>1004</v>
      </c>
      <c r="J686" s="720">
        <f t="shared" si="107"/>
        <v>98.4313725490196</v>
      </c>
      <c r="K686" s="168"/>
      <c r="L686" s="639"/>
      <c r="M686" s="641"/>
      <c r="N686" s="723"/>
      <c r="O686" s="168"/>
      <c r="P686" s="407">
        <f t="shared" si="108"/>
        <v>1020</v>
      </c>
      <c r="Q686" s="407">
        <f t="shared" si="109"/>
        <v>1004</v>
      </c>
      <c r="R686" s="724">
        <f t="shared" si="110"/>
        <v>98.4313725490196</v>
      </c>
    </row>
    <row r="687" spans="2:18" ht="12.75">
      <c r="B687" s="224">
        <f t="shared" si="102"/>
        <v>259</v>
      </c>
      <c r="C687" s="165"/>
      <c r="D687" s="166"/>
      <c r="E687" s="166"/>
      <c r="F687" s="166" t="s">
        <v>254</v>
      </c>
      <c r="G687" s="292" t="s">
        <v>463</v>
      </c>
      <c r="H687" s="206">
        <v>3517</v>
      </c>
      <c r="I687" s="206">
        <v>3165</v>
      </c>
      <c r="J687" s="697">
        <f t="shared" si="107"/>
        <v>89.99147000284333</v>
      </c>
      <c r="K687" s="168"/>
      <c r="L687" s="634"/>
      <c r="M687" s="238"/>
      <c r="N687" s="716"/>
      <c r="O687" s="168"/>
      <c r="P687" s="219">
        <f t="shared" si="108"/>
        <v>3517</v>
      </c>
      <c r="Q687" s="219">
        <f t="shared" si="109"/>
        <v>3165</v>
      </c>
      <c r="R687" s="699">
        <f t="shared" si="110"/>
        <v>89.99147000284333</v>
      </c>
    </row>
    <row r="688" spans="2:18" ht="12.75">
      <c r="B688" s="224">
        <f t="shared" si="102"/>
        <v>260</v>
      </c>
      <c r="C688" s="245"/>
      <c r="D688" s="460"/>
      <c r="E688" s="460"/>
      <c r="F688" s="460" t="s">
        <v>255</v>
      </c>
      <c r="G688" s="344" t="s">
        <v>295</v>
      </c>
      <c r="H688" s="247">
        <v>12968</v>
      </c>
      <c r="I688" s="247">
        <v>10025</v>
      </c>
      <c r="J688" s="716">
        <f t="shared" si="107"/>
        <v>77.30567550894509</v>
      </c>
      <c r="K688" s="168"/>
      <c r="L688" s="634"/>
      <c r="M688" s="238"/>
      <c r="N688" s="716"/>
      <c r="O688" s="168"/>
      <c r="P688" s="219">
        <f t="shared" si="108"/>
        <v>12968</v>
      </c>
      <c r="Q688" s="219">
        <f t="shared" si="109"/>
        <v>10025</v>
      </c>
      <c r="R688" s="699">
        <f t="shared" si="110"/>
        <v>77.30567550894509</v>
      </c>
    </row>
    <row r="689" spans="2:18" ht="12.75">
      <c r="B689" s="224">
        <f t="shared" si="102"/>
        <v>261</v>
      </c>
      <c r="C689" s="171"/>
      <c r="D689" s="434"/>
      <c r="E689" s="434"/>
      <c r="F689" s="434" t="s">
        <v>257</v>
      </c>
      <c r="G689" s="310" t="s">
        <v>296</v>
      </c>
      <c r="H689" s="206">
        <v>8120</v>
      </c>
      <c r="I689" s="206">
        <v>7952</v>
      </c>
      <c r="J689" s="697">
        <f t="shared" si="107"/>
        <v>97.93103448275862</v>
      </c>
      <c r="K689" s="248"/>
      <c r="L689" s="636"/>
      <c r="M689" s="172"/>
      <c r="N689" s="697"/>
      <c r="O689" s="248"/>
      <c r="P689" s="221">
        <f t="shared" si="108"/>
        <v>8120</v>
      </c>
      <c r="Q689" s="221">
        <f t="shared" si="109"/>
        <v>7952</v>
      </c>
      <c r="R689" s="704">
        <f t="shared" si="110"/>
        <v>97.93103448275862</v>
      </c>
    </row>
    <row r="690" spans="2:18" ht="12.75">
      <c r="B690" s="224">
        <f t="shared" si="102"/>
        <v>262</v>
      </c>
      <c r="C690" s="171"/>
      <c r="D690" s="434"/>
      <c r="E690" s="434"/>
      <c r="F690" s="434" t="s">
        <v>237</v>
      </c>
      <c r="G690" s="310" t="s">
        <v>707</v>
      </c>
      <c r="H690" s="206">
        <v>464</v>
      </c>
      <c r="I690" s="206">
        <v>464</v>
      </c>
      <c r="J690" s="697">
        <f t="shared" si="107"/>
        <v>100</v>
      </c>
      <c r="K690" s="248"/>
      <c r="L690" s="636"/>
      <c r="M690" s="172"/>
      <c r="N690" s="697"/>
      <c r="O690" s="248"/>
      <c r="P690" s="221">
        <f t="shared" si="108"/>
        <v>464</v>
      </c>
      <c r="Q690" s="221">
        <f t="shared" si="109"/>
        <v>464</v>
      </c>
      <c r="R690" s="704">
        <f t="shared" si="110"/>
        <v>100</v>
      </c>
    </row>
    <row r="691" spans="2:18" ht="12.75">
      <c r="B691" s="224">
        <f t="shared" si="102"/>
        <v>263</v>
      </c>
      <c r="C691" s="171"/>
      <c r="D691" s="434"/>
      <c r="E691" s="434"/>
      <c r="F691" s="426" t="s">
        <v>257</v>
      </c>
      <c r="G691" s="311" t="s">
        <v>525</v>
      </c>
      <c r="H691" s="207">
        <v>7010</v>
      </c>
      <c r="I691" s="207">
        <f>7010+13272</f>
        <v>20282</v>
      </c>
      <c r="J691" s="697">
        <f t="shared" si="107"/>
        <v>289.32952924393726</v>
      </c>
      <c r="K691" s="248"/>
      <c r="L691" s="636"/>
      <c r="M691" s="172"/>
      <c r="N691" s="697"/>
      <c r="O691" s="248"/>
      <c r="P691" s="396">
        <f t="shared" si="108"/>
        <v>7010</v>
      </c>
      <c r="Q691" s="396">
        <f t="shared" si="109"/>
        <v>20282</v>
      </c>
      <c r="R691" s="704">
        <f t="shared" si="110"/>
        <v>289.32952924393726</v>
      </c>
    </row>
    <row r="692" spans="2:18" ht="12.75">
      <c r="B692" s="224">
        <f t="shared" si="102"/>
        <v>264</v>
      </c>
      <c r="C692" s="171"/>
      <c r="D692" s="434"/>
      <c r="E692" s="579"/>
      <c r="F692" s="426" t="s">
        <v>686</v>
      </c>
      <c r="G692" s="311" t="s">
        <v>794</v>
      </c>
      <c r="H692" s="207"/>
      <c r="I692" s="207">
        <v>2885</v>
      </c>
      <c r="J692" s="697"/>
      <c r="K692" s="248"/>
      <c r="L692" s="636"/>
      <c r="M692" s="172"/>
      <c r="N692" s="697"/>
      <c r="O692" s="248"/>
      <c r="P692" s="396"/>
      <c r="Q692" s="396"/>
      <c r="R692" s="704"/>
    </row>
    <row r="693" spans="2:18" ht="12.75">
      <c r="B693" s="224">
        <f t="shared" si="102"/>
        <v>265</v>
      </c>
      <c r="C693" s="171"/>
      <c r="D693" s="434"/>
      <c r="E693" s="579"/>
      <c r="F693" s="426"/>
      <c r="G693" s="311"/>
      <c r="H693" s="207"/>
      <c r="I693" s="207"/>
      <c r="J693" s="697"/>
      <c r="K693" s="248"/>
      <c r="L693" s="636"/>
      <c r="M693" s="172"/>
      <c r="N693" s="697"/>
      <c r="O693" s="248"/>
      <c r="P693" s="396"/>
      <c r="Q693" s="396"/>
      <c r="R693" s="704"/>
    </row>
    <row r="694" spans="2:18" ht="12.75">
      <c r="B694" s="224">
        <f t="shared" si="102"/>
        <v>266</v>
      </c>
      <c r="C694" s="171"/>
      <c r="D694" s="434"/>
      <c r="E694" s="579"/>
      <c r="F694" s="426" t="s">
        <v>407</v>
      </c>
      <c r="G694" s="311" t="s">
        <v>671</v>
      </c>
      <c r="H694" s="207"/>
      <c r="I694" s="207"/>
      <c r="J694" s="697"/>
      <c r="K694" s="248"/>
      <c r="L694" s="636">
        <v>1000</v>
      </c>
      <c r="M694" s="172">
        <v>990</v>
      </c>
      <c r="N694" s="697">
        <f>M694/L694*100</f>
        <v>99</v>
      </c>
      <c r="O694" s="248"/>
      <c r="P694" s="221">
        <f aca="true" t="shared" si="111" ref="P694:P707">H694+L694</f>
        <v>1000</v>
      </c>
      <c r="Q694" s="221">
        <f aca="true" t="shared" si="112" ref="Q694:Q722">M694+I694</f>
        <v>990</v>
      </c>
      <c r="R694" s="704">
        <f aca="true" t="shared" si="113" ref="R694:R707">Q694/P694*100</f>
        <v>99</v>
      </c>
    </row>
    <row r="695" spans="2:18" ht="15">
      <c r="B695" s="224">
        <f t="shared" si="102"/>
        <v>267</v>
      </c>
      <c r="C695" s="171"/>
      <c r="D695" s="569" t="s">
        <v>436</v>
      </c>
      <c r="E695" s="194" t="s">
        <v>532</v>
      </c>
      <c r="F695" s="194" t="s">
        <v>520</v>
      </c>
      <c r="G695" s="366"/>
      <c r="H695" s="232">
        <f>H696+H697+H698+H707+H706</f>
        <v>574603</v>
      </c>
      <c r="I695" s="232">
        <f>I696+I697+I698+I707+I706+I708</f>
        <v>598236</v>
      </c>
      <c r="J695" s="697">
        <f aca="true" t="shared" si="114" ref="J695:J707">I695/H695*100</f>
        <v>104.112926664149</v>
      </c>
      <c r="K695" s="248"/>
      <c r="L695" s="762"/>
      <c r="M695" s="763"/>
      <c r="N695" s="697"/>
      <c r="O695" s="248"/>
      <c r="P695" s="397">
        <f t="shared" si="111"/>
        <v>574603</v>
      </c>
      <c r="Q695" s="397">
        <f t="shared" si="112"/>
        <v>598236</v>
      </c>
      <c r="R695" s="704">
        <f t="shared" si="113"/>
        <v>104.112926664149</v>
      </c>
    </row>
    <row r="696" spans="2:18" ht="12.75">
      <c r="B696" s="224">
        <f t="shared" si="102"/>
        <v>268</v>
      </c>
      <c r="C696" s="171"/>
      <c r="D696" s="434"/>
      <c r="E696" s="434"/>
      <c r="F696" s="426" t="s">
        <v>250</v>
      </c>
      <c r="G696" s="311" t="s">
        <v>291</v>
      </c>
      <c r="H696" s="207">
        <f>308766+3520+741</f>
        <v>313027</v>
      </c>
      <c r="I696" s="207">
        <v>344997</v>
      </c>
      <c r="J696" s="697">
        <f t="shared" si="114"/>
        <v>110.21317649915183</v>
      </c>
      <c r="K696" s="248"/>
      <c r="L696" s="636"/>
      <c r="M696" s="172"/>
      <c r="N696" s="697"/>
      <c r="O696" s="248"/>
      <c r="P696" s="396">
        <f t="shared" si="111"/>
        <v>313027</v>
      </c>
      <c r="Q696" s="396">
        <f t="shared" si="112"/>
        <v>344997</v>
      </c>
      <c r="R696" s="704">
        <f t="shared" si="113"/>
        <v>110.21317649915183</v>
      </c>
    </row>
    <row r="697" spans="2:18" ht="12.75">
      <c r="B697" s="224">
        <f t="shared" si="102"/>
        <v>269</v>
      </c>
      <c r="C697" s="165"/>
      <c r="D697" s="166"/>
      <c r="E697" s="166"/>
      <c r="F697" s="188" t="s">
        <v>251</v>
      </c>
      <c r="G697" s="307" t="s">
        <v>292</v>
      </c>
      <c r="H697" s="411">
        <f>108684+1239+259</f>
        <v>110182</v>
      </c>
      <c r="I697" s="411">
        <v>120998</v>
      </c>
      <c r="J697" s="720">
        <f t="shared" si="114"/>
        <v>109.81648545134415</v>
      </c>
      <c r="K697" s="168"/>
      <c r="L697" s="639"/>
      <c r="M697" s="641"/>
      <c r="N697" s="723"/>
      <c r="O697" s="168"/>
      <c r="P697" s="568">
        <f t="shared" si="111"/>
        <v>110182</v>
      </c>
      <c r="Q697" s="568">
        <f t="shared" si="112"/>
        <v>120998</v>
      </c>
      <c r="R697" s="724">
        <f t="shared" si="113"/>
        <v>109.81648545134415</v>
      </c>
    </row>
    <row r="698" spans="2:18" ht="12.75">
      <c r="B698" s="224">
        <f t="shared" si="102"/>
        <v>270</v>
      </c>
      <c r="C698" s="165"/>
      <c r="D698" s="166"/>
      <c r="E698" s="166"/>
      <c r="F698" s="188" t="s">
        <v>257</v>
      </c>
      <c r="G698" s="307" t="s">
        <v>428</v>
      </c>
      <c r="H698" s="207">
        <f>H699+H700+H701+H702+H703+H704+H705</f>
        <v>146294</v>
      </c>
      <c r="I698" s="207">
        <f>I699+I700+I701+I702+I703+I704+I705</f>
        <v>128090</v>
      </c>
      <c r="J698" s="697">
        <f t="shared" si="114"/>
        <v>87.55656417898206</v>
      </c>
      <c r="K698" s="168"/>
      <c r="L698" s="634"/>
      <c r="M698" s="238"/>
      <c r="N698" s="716"/>
      <c r="O698" s="168"/>
      <c r="P698" s="218">
        <f t="shared" si="111"/>
        <v>146294</v>
      </c>
      <c r="Q698" s="218">
        <f t="shared" si="112"/>
        <v>128090</v>
      </c>
      <c r="R698" s="699">
        <f t="shared" si="113"/>
        <v>87.55656417898206</v>
      </c>
    </row>
    <row r="699" spans="2:18" ht="12.75">
      <c r="B699" s="224">
        <f t="shared" si="102"/>
        <v>271</v>
      </c>
      <c r="C699" s="165"/>
      <c r="D699" s="166"/>
      <c r="E699" s="166"/>
      <c r="F699" s="166" t="s">
        <v>252</v>
      </c>
      <c r="G699" s="292" t="s">
        <v>305</v>
      </c>
      <c r="H699" s="206">
        <v>200</v>
      </c>
      <c r="I699" s="206">
        <v>184</v>
      </c>
      <c r="J699" s="697">
        <f t="shared" si="114"/>
        <v>92</v>
      </c>
      <c r="K699" s="168"/>
      <c r="L699" s="634"/>
      <c r="M699" s="238"/>
      <c r="N699" s="716"/>
      <c r="O699" s="168"/>
      <c r="P699" s="219">
        <f t="shared" si="111"/>
        <v>200</v>
      </c>
      <c r="Q699" s="219">
        <f t="shared" si="112"/>
        <v>184</v>
      </c>
      <c r="R699" s="699">
        <f t="shared" si="113"/>
        <v>92</v>
      </c>
    </row>
    <row r="700" spans="2:18" ht="12.75">
      <c r="B700" s="224">
        <f t="shared" si="102"/>
        <v>272</v>
      </c>
      <c r="C700" s="165"/>
      <c r="D700" s="166"/>
      <c r="E700" s="166"/>
      <c r="F700" s="166" t="s">
        <v>237</v>
      </c>
      <c r="G700" s="292" t="s">
        <v>398</v>
      </c>
      <c r="H700" s="206">
        <f>83000-8000</f>
        <v>75000</v>
      </c>
      <c r="I700" s="206">
        <v>57773</v>
      </c>
      <c r="J700" s="697">
        <f t="shared" si="114"/>
        <v>77.03066666666668</v>
      </c>
      <c r="K700" s="168"/>
      <c r="L700" s="634"/>
      <c r="M700" s="238"/>
      <c r="N700" s="716"/>
      <c r="O700" s="168"/>
      <c r="P700" s="219">
        <f t="shared" si="111"/>
        <v>75000</v>
      </c>
      <c r="Q700" s="219">
        <f t="shared" si="112"/>
        <v>57773</v>
      </c>
      <c r="R700" s="699">
        <f t="shared" si="113"/>
        <v>77.03066666666668</v>
      </c>
    </row>
    <row r="701" spans="2:18" ht="12.75">
      <c r="B701" s="224">
        <f t="shared" si="102"/>
        <v>273</v>
      </c>
      <c r="C701" s="165"/>
      <c r="D701" s="166"/>
      <c r="E701" s="166"/>
      <c r="F701" s="166" t="s">
        <v>238</v>
      </c>
      <c r="G701" s="292" t="s">
        <v>294</v>
      </c>
      <c r="H701" s="206">
        <f>5300+8000+167</f>
        <v>13467</v>
      </c>
      <c r="I701" s="206">
        <v>14318</v>
      </c>
      <c r="J701" s="697">
        <f t="shared" si="114"/>
        <v>106.31915051607635</v>
      </c>
      <c r="K701" s="168"/>
      <c r="L701" s="634"/>
      <c r="M701" s="238"/>
      <c r="N701" s="716"/>
      <c r="O701" s="168"/>
      <c r="P701" s="219">
        <f t="shared" si="111"/>
        <v>13467</v>
      </c>
      <c r="Q701" s="219">
        <f t="shared" si="112"/>
        <v>14318</v>
      </c>
      <c r="R701" s="699">
        <f t="shared" si="113"/>
        <v>106.31915051607635</v>
      </c>
    </row>
    <row r="702" spans="2:18" ht="12.75">
      <c r="B702" s="224">
        <f t="shared" si="102"/>
        <v>274</v>
      </c>
      <c r="C702" s="165"/>
      <c r="D702" s="166"/>
      <c r="E702" s="166"/>
      <c r="F702" s="166" t="s">
        <v>253</v>
      </c>
      <c r="G702" s="292" t="s">
        <v>311</v>
      </c>
      <c r="H702" s="206">
        <f>3350+20000</f>
        <v>23350</v>
      </c>
      <c r="I702" s="206">
        <v>23336</v>
      </c>
      <c r="J702" s="697">
        <f t="shared" si="114"/>
        <v>99.94004282655247</v>
      </c>
      <c r="K702" s="168"/>
      <c r="L702" s="634"/>
      <c r="M702" s="238"/>
      <c r="N702" s="716"/>
      <c r="O702" s="168"/>
      <c r="P702" s="219">
        <f t="shared" si="111"/>
        <v>23350</v>
      </c>
      <c r="Q702" s="219">
        <f t="shared" si="112"/>
        <v>23336</v>
      </c>
      <c r="R702" s="699">
        <f t="shared" si="113"/>
        <v>99.94004282655247</v>
      </c>
    </row>
    <row r="703" spans="2:18" ht="12.75">
      <c r="B703" s="224">
        <f t="shared" si="102"/>
        <v>275</v>
      </c>
      <c r="C703" s="165"/>
      <c r="D703" s="166"/>
      <c r="E703" s="166"/>
      <c r="F703" s="166" t="s">
        <v>255</v>
      </c>
      <c r="G703" s="292" t="s">
        <v>295</v>
      </c>
      <c r="H703" s="206">
        <f>13850-1573</f>
        <v>12277</v>
      </c>
      <c r="I703" s="206">
        <v>11314</v>
      </c>
      <c r="J703" s="697">
        <f t="shared" si="114"/>
        <v>92.1560641850615</v>
      </c>
      <c r="K703" s="168"/>
      <c r="L703" s="634"/>
      <c r="M703" s="238"/>
      <c r="N703" s="716"/>
      <c r="O703" s="168"/>
      <c r="P703" s="219">
        <f t="shared" si="111"/>
        <v>12277</v>
      </c>
      <c r="Q703" s="219">
        <f t="shared" si="112"/>
        <v>11314</v>
      </c>
      <c r="R703" s="699">
        <f t="shared" si="113"/>
        <v>92.1560641850615</v>
      </c>
    </row>
    <row r="704" spans="2:18" ht="12.75">
      <c r="B704" s="224">
        <f t="shared" si="102"/>
        <v>276</v>
      </c>
      <c r="C704" s="165"/>
      <c r="D704" s="166"/>
      <c r="E704" s="166"/>
      <c r="F704" s="166" t="s">
        <v>257</v>
      </c>
      <c r="G704" s="292" t="s">
        <v>296</v>
      </c>
      <c r="H704" s="206">
        <v>12000</v>
      </c>
      <c r="I704" s="206">
        <v>11165</v>
      </c>
      <c r="J704" s="697">
        <f t="shared" si="114"/>
        <v>93.04166666666667</v>
      </c>
      <c r="K704" s="168"/>
      <c r="L704" s="634"/>
      <c r="M704" s="238"/>
      <c r="N704" s="716"/>
      <c r="O704" s="168"/>
      <c r="P704" s="219">
        <f t="shared" si="111"/>
        <v>12000</v>
      </c>
      <c r="Q704" s="219">
        <f t="shared" si="112"/>
        <v>11165</v>
      </c>
      <c r="R704" s="699">
        <f t="shared" si="113"/>
        <v>93.04166666666667</v>
      </c>
    </row>
    <row r="705" spans="2:18" ht="12.75">
      <c r="B705" s="224">
        <f t="shared" si="102"/>
        <v>277</v>
      </c>
      <c r="C705" s="165"/>
      <c r="D705" s="166"/>
      <c r="E705" s="222"/>
      <c r="F705" s="166" t="s">
        <v>237</v>
      </c>
      <c r="G705" s="292" t="s">
        <v>707</v>
      </c>
      <c r="H705" s="206">
        <v>10000</v>
      </c>
      <c r="I705" s="206">
        <v>10000</v>
      </c>
      <c r="J705" s="697">
        <f t="shared" si="114"/>
        <v>100</v>
      </c>
      <c r="K705" s="168"/>
      <c r="L705" s="634"/>
      <c r="M705" s="238"/>
      <c r="N705" s="716"/>
      <c r="O705" s="168"/>
      <c r="P705" s="219">
        <f t="shared" si="111"/>
        <v>10000</v>
      </c>
      <c r="Q705" s="219">
        <f t="shared" si="112"/>
        <v>10000</v>
      </c>
      <c r="R705" s="699">
        <f t="shared" si="113"/>
        <v>100</v>
      </c>
    </row>
    <row r="706" spans="2:18" ht="12.75">
      <c r="B706" s="224">
        <f t="shared" si="102"/>
        <v>278</v>
      </c>
      <c r="C706" s="165"/>
      <c r="D706" s="166"/>
      <c r="E706" s="222"/>
      <c r="F706" s="188" t="s">
        <v>257</v>
      </c>
      <c r="G706" s="307" t="s">
        <v>525</v>
      </c>
      <c r="H706" s="207">
        <v>2300</v>
      </c>
      <c r="I706" s="207">
        <v>1453</v>
      </c>
      <c r="J706" s="697">
        <f t="shared" si="114"/>
        <v>63.17391304347826</v>
      </c>
      <c r="K706" s="168"/>
      <c r="L706" s="634"/>
      <c r="M706" s="238"/>
      <c r="N706" s="716"/>
      <c r="O706" s="168"/>
      <c r="P706" s="218">
        <f t="shared" si="111"/>
        <v>2300</v>
      </c>
      <c r="Q706" s="218">
        <f t="shared" si="112"/>
        <v>1453</v>
      </c>
      <c r="R706" s="699">
        <f t="shared" si="113"/>
        <v>63.17391304347826</v>
      </c>
    </row>
    <row r="707" spans="2:18" ht="12.75">
      <c r="B707" s="224">
        <f t="shared" si="102"/>
        <v>279</v>
      </c>
      <c r="C707" s="165"/>
      <c r="D707" s="166"/>
      <c r="E707" s="166"/>
      <c r="F707" s="188" t="s">
        <v>256</v>
      </c>
      <c r="G707" s="307" t="s">
        <v>464</v>
      </c>
      <c r="H707" s="207">
        <v>2800</v>
      </c>
      <c r="I707" s="207">
        <v>1765</v>
      </c>
      <c r="J707" s="697">
        <f t="shared" si="114"/>
        <v>63.035714285714285</v>
      </c>
      <c r="K707" s="168"/>
      <c r="L707" s="634"/>
      <c r="M707" s="238"/>
      <c r="N707" s="716"/>
      <c r="O707" s="168"/>
      <c r="P707" s="218">
        <f t="shared" si="111"/>
        <v>2800</v>
      </c>
      <c r="Q707" s="218">
        <f t="shared" si="112"/>
        <v>1765</v>
      </c>
      <c r="R707" s="699">
        <f t="shared" si="113"/>
        <v>63.035714285714285</v>
      </c>
    </row>
    <row r="708" spans="2:18" ht="12.75">
      <c r="B708" s="224">
        <f t="shared" si="102"/>
        <v>280</v>
      </c>
      <c r="C708" s="165"/>
      <c r="D708" s="166"/>
      <c r="E708" s="222"/>
      <c r="F708" s="188" t="s">
        <v>686</v>
      </c>
      <c r="G708" s="307" t="s">
        <v>794</v>
      </c>
      <c r="H708" s="207"/>
      <c r="I708" s="207">
        <v>933</v>
      </c>
      <c r="J708" s="697"/>
      <c r="K708" s="168"/>
      <c r="L708" s="634"/>
      <c r="M708" s="238"/>
      <c r="N708" s="716"/>
      <c r="O708" s="168"/>
      <c r="P708" s="218"/>
      <c r="Q708" s="218">
        <f t="shared" si="112"/>
        <v>933</v>
      </c>
      <c r="R708" s="699"/>
    </row>
    <row r="709" spans="2:18" ht="12.75">
      <c r="B709" s="224">
        <f t="shared" si="102"/>
        <v>281</v>
      </c>
      <c r="C709" s="165"/>
      <c r="D709" s="166"/>
      <c r="E709" s="222"/>
      <c r="F709" s="166"/>
      <c r="G709" s="307"/>
      <c r="H709" s="207"/>
      <c r="I709" s="207"/>
      <c r="J709" s="697"/>
      <c r="K709" s="168"/>
      <c r="L709" s="634"/>
      <c r="M709" s="238"/>
      <c r="N709" s="716"/>
      <c r="O709" s="168"/>
      <c r="P709" s="219"/>
      <c r="Q709" s="219">
        <f t="shared" si="112"/>
        <v>0</v>
      </c>
      <c r="R709" s="699"/>
    </row>
    <row r="710" spans="2:18" ht="15">
      <c r="B710" s="224">
        <f aca="true" t="shared" si="115" ref="B710:B773">B709+1</f>
        <v>282</v>
      </c>
      <c r="C710" s="165"/>
      <c r="D710" s="398" t="s">
        <v>438</v>
      </c>
      <c r="E710" s="194" t="s">
        <v>532</v>
      </c>
      <c r="F710" s="194" t="s">
        <v>467</v>
      </c>
      <c r="G710" s="366"/>
      <c r="H710" s="232">
        <f>H711+H712+H713+H721+H722</f>
        <v>314943</v>
      </c>
      <c r="I710" s="232">
        <f>I711+I712+I713+I721+I722</f>
        <v>352773</v>
      </c>
      <c r="J710" s="697">
        <f aca="true" t="shared" si="116" ref="J710:J722">I710/H710*100</f>
        <v>112.01169735475945</v>
      </c>
      <c r="K710" s="168"/>
      <c r="L710" s="758"/>
      <c r="M710" s="759"/>
      <c r="N710" s="716"/>
      <c r="O710" s="168"/>
      <c r="P710" s="395">
        <f aca="true" t="shared" si="117" ref="P710:P722">H710+L710</f>
        <v>314943</v>
      </c>
      <c r="Q710" s="395">
        <f t="shared" si="112"/>
        <v>352773</v>
      </c>
      <c r="R710" s="699">
        <f aca="true" t="shared" si="118" ref="R710:R722">Q710/P710*100</f>
        <v>112.01169735475945</v>
      </c>
    </row>
    <row r="711" spans="2:18" ht="12.75">
      <c r="B711" s="224">
        <f t="shared" si="115"/>
        <v>283</v>
      </c>
      <c r="C711" s="165"/>
      <c r="D711" s="166"/>
      <c r="E711" s="166"/>
      <c r="F711" s="188" t="s">
        <v>250</v>
      </c>
      <c r="G711" s="307" t="s">
        <v>291</v>
      </c>
      <c r="H711" s="207">
        <f>171619+330</f>
        <v>171949</v>
      </c>
      <c r="I711" s="207">
        <v>192030</v>
      </c>
      <c r="J711" s="697">
        <f t="shared" si="116"/>
        <v>111.67846280001628</v>
      </c>
      <c r="K711" s="168"/>
      <c r="L711" s="634"/>
      <c r="M711" s="238"/>
      <c r="N711" s="716"/>
      <c r="O711" s="168"/>
      <c r="P711" s="218">
        <f t="shared" si="117"/>
        <v>171949</v>
      </c>
      <c r="Q711" s="218">
        <f t="shared" si="112"/>
        <v>192030</v>
      </c>
      <c r="R711" s="699">
        <f t="shared" si="118"/>
        <v>111.67846280001628</v>
      </c>
    </row>
    <row r="712" spans="2:18" ht="12.75">
      <c r="B712" s="224">
        <f t="shared" si="115"/>
        <v>284</v>
      </c>
      <c r="C712" s="165"/>
      <c r="D712" s="166"/>
      <c r="E712" s="166"/>
      <c r="F712" s="188" t="s">
        <v>251</v>
      </c>
      <c r="G712" s="307" t="s">
        <v>292</v>
      </c>
      <c r="H712" s="207">
        <f>60410+116</f>
        <v>60526</v>
      </c>
      <c r="I712" s="207">
        <v>69021</v>
      </c>
      <c r="J712" s="697">
        <f t="shared" si="116"/>
        <v>114.03529061890758</v>
      </c>
      <c r="K712" s="168"/>
      <c r="L712" s="634"/>
      <c r="M712" s="238"/>
      <c r="N712" s="716"/>
      <c r="O712" s="168"/>
      <c r="P712" s="218">
        <f t="shared" si="117"/>
        <v>60526</v>
      </c>
      <c r="Q712" s="218">
        <f t="shared" si="112"/>
        <v>69021</v>
      </c>
      <c r="R712" s="699">
        <f t="shared" si="118"/>
        <v>114.03529061890758</v>
      </c>
    </row>
    <row r="713" spans="2:18" ht="12.75">
      <c r="B713" s="224">
        <f t="shared" si="115"/>
        <v>285</v>
      </c>
      <c r="C713" s="165"/>
      <c r="D713" s="166"/>
      <c r="E713" s="166"/>
      <c r="F713" s="188" t="s">
        <v>257</v>
      </c>
      <c r="G713" s="307" t="s">
        <v>428</v>
      </c>
      <c r="H713" s="207">
        <f>H714+H715+H716+H717+H718+H719+H720</f>
        <v>76878</v>
      </c>
      <c r="I713" s="207">
        <f>I714+I715+I716+I717+I718+I719+I720</f>
        <v>79252</v>
      </c>
      <c r="J713" s="697">
        <f t="shared" si="116"/>
        <v>103.08800957361012</v>
      </c>
      <c r="K713" s="168"/>
      <c r="L713" s="634"/>
      <c r="M713" s="238"/>
      <c r="N713" s="716"/>
      <c r="O713" s="168"/>
      <c r="P713" s="218">
        <f t="shared" si="117"/>
        <v>76878</v>
      </c>
      <c r="Q713" s="218">
        <f t="shared" si="112"/>
        <v>79252</v>
      </c>
      <c r="R713" s="699">
        <f t="shared" si="118"/>
        <v>103.08800957361012</v>
      </c>
    </row>
    <row r="714" spans="2:18" ht="12.75">
      <c r="B714" s="224">
        <f t="shared" si="115"/>
        <v>286</v>
      </c>
      <c r="C714" s="165"/>
      <c r="D714" s="166"/>
      <c r="E714" s="166"/>
      <c r="F714" s="166" t="s">
        <v>252</v>
      </c>
      <c r="G714" s="292" t="s">
        <v>305</v>
      </c>
      <c r="H714" s="206">
        <v>30</v>
      </c>
      <c r="I714" s="206">
        <v>0</v>
      </c>
      <c r="J714" s="697">
        <f t="shared" si="116"/>
        <v>0</v>
      </c>
      <c r="K714" s="168"/>
      <c r="L714" s="634"/>
      <c r="M714" s="238"/>
      <c r="N714" s="716"/>
      <c r="O714" s="168"/>
      <c r="P714" s="219">
        <f t="shared" si="117"/>
        <v>30</v>
      </c>
      <c r="Q714" s="219">
        <f t="shared" si="112"/>
        <v>0</v>
      </c>
      <c r="R714" s="699">
        <f t="shared" si="118"/>
        <v>0</v>
      </c>
    </row>
    <row r="715" spans="2:18" ht="12.75">
      <c r="B715" s="224">
        <f t="shared" si="115"/>
        <v>287</v>
      </c>
      <c r="C715" s="165"/>
      <c r="D715" s="166"/>
      <c r="E715" s="166"/>
      <c r="F715" s="166" t="s">
        <v>237</v>
      </c>
      <c r="G715" s="292" t="s">
        <v>398</v>
      </c>
      <c r="H715" s="206">
        <f>42760-433</f>
        <v>42327</v>
      </c>
      <c r="I715" s="206">
        <v>37353</v>
      </c>
      <c r="J715" s="697">
        <f t="shared" si="116"/>
        <v>88.2486356226522</v>
      </c>
      <c r="K715" s="168"/>
      <c r="L715" s="634"/>
      <c r="M715" s="238"/>
      <c r="N715" s="716"/>
      <c r="O715" s="168"/>
      <c r="P715" s="219">
        <f t="shared" si="117"/>
        <v>42327</v>
      </c>
      <c r="Q715" s="219">
        <f t="shared" si="112"/>
        <v>37353</v>
      </c>
      <c r="R715" s="699">
        <f t="shared" si="118"/>
        <v>88.2486356226522</v>
      </c>
    </row>
    <row r="716" spans="2:18" ht="12.75">
      <c r="B716" s="224">
        <f t="shared" si="115"/>
        <v>288</v>
      </c>
      <c r="C716" s="165"/>
      <c r="D716" s="166"/>
      <c r="E716" s="166"/>
      <c r="F716" s="166" t="s">
        <v>238</v>
      </c>
      <c r="G716" s="292" t="s">
        <v>294</v>
      </c>
      <c r="H716" s="206">
        <f>11840+967</f>
        <v>12807</v>
      </c>
      <c r="I716" s="206">
        <f>4633+8000</f>
        <v>12633</v>
      </c>
      <c r="J716" s="697">
        <f t="shared" si="116"/>
        <v>98.64136800187397</v>
      </c>
      <c r="K716" s="168"/>
      <c r="L716" s="634"/>
      <c r="M716" s="238"/>
      <c r="N716" s="716"/>
      <c r="O716" s="168"/>
      <c r="P716" s="219">
        <f t="shared" si="117"/>
        <v>12807</v>
      </c>
      <c r="Q716" s="219">
        <f t="shared" si="112"/>
        <v>12633</v>
      </c>
      <c r="R716" s="699">
        <f t="shared" si="118"/>
        <v>98.64136800187397</v>
      </c>
    </row>
    <row r="717" spans="2:18" ht="12.75">
      <c r="B717" s="224">
        <f t="shared" si="115"/>
        <v>289</v>
      </c>
      <c r="C717" s="165"/>
      <c r="D717" s="166"/>
      <c r="E717" s="166"/>
      <c r="F717" s="166" t="s">
        <v>253</v>
      </c>
      <c r="G717" s="292" t="s">
        <v>311</v>
      </c>
      <c r="H717" s="211">
        <v>3600</v>
      </c>
      <c r="I717" s="211">
        <v>8371</v>
      </c>
      <c r="J717" s="720">
        <f t="shared" si="116"/>
        <v>232.5277777777778</v>
      </c>
      <c r="K717" s="168"/>
      <c r="L717" s="636"/>
      <c r="M717" s="172"/>
      <c r="N717" s="697"/>
      <c r="O717" s="168"/>
      <c r="P717" s="221">
        <f t="shared" si="117"/>
        <v>3600</v>
      </c>
      <c r="Q717" s="221">
        <f t="shared" si="112"/>
        <v>8371</v>
      </c>
      <c r="R717" s="704">
        <f t="shared" si="118"/>
        <v>232.5277777777778</v>
      </c>
    </row>
    <row r="718" spans="2:18" ht="12.75">
      <c r="B718" s="224">
        <f t="shared" si="115"/>
        <v>290</v>
      </c>
      <c r="C718" s="165"/>
      <c r="D718" s="166"/>
      <c r="E718" s="166"/>
      <c r="F718" s="166" t="s">
        <v>255</v>
      </c>
      <c r="G718" s="292" t="s">
        <v>295</v>
      </c>
      <c r="H718" s="206">
        <v>10943</v>
      </c>
      <c r="I718" s="206">
        <f>12583+1203</f>
        <v>13786</v>
      </c>
      <c r="J718" s="697">
        <f t="shared" si="116"/>
        <v>125.98007858905235</v>
      </c>
      <c r="K718" s="168"/>
      <c r="L718" s="634"/>
      <c r="M718" s="238"/>
      <c r="N718" s="716"/>
      <c r="O718" s="168"/>
      <c r="P718" s="219">
        <f t="shared" si="117"/>
        <v>10943</v>
      </c>
      <c r="Q718" s="219">
        <f t="shared" si="112"/>
        <v>13786</v>
      </c>
      <c r="R718" s="699">
        <f t="shared" si="118"/>
        <v>125.98007858905235</v>
      </c>
    </row>
    <row r="719" spans="2:18" ht="12.75">
      <c r="B719" s="224">
        <f t="shared" si="115"/>
        <v>291</v>
      </c>
      <c r="C719" s="245"/>
      <c r="D719" s="245"/>
      <c r="E719" s="460"/>
      <c r="F719" s="460" t="s">
        <v>257</v>
      </c>
      <c r="G719" s="344" t="s">
        <v>296</v>
      </c>
      <c r="H719" s="247">
        <v>6100</v>
      </c>
      <c r="I719" s="247">
        <v>6038</v>
      </c>
      <c r="J719" s="716">
        <f t="shared" si="116"/>
        <v>98.98360655737704</v>
      </c>
      <c r="K719" s="168"/>
      <c r="L719" s="634"/>
      <c r="M719" s="238"/>
      <c r="N719" s="716"/>
      <c r="O719" s="168"/>
      <c r="P719" s="219">
        <f t="shared" si="117"/>
        <v>6100</v>
      </c>
      <c r="Q719" s="219">
        <f t="shared" si="112"/>
        <v>6038</v>
      </c>
      <c r="R719" s="699">
        <f t="shared" si="118"/>
        <v>98.98360655737704</v>
      </c>
    </row>
    <row r="720" spans="2:18" ht="12.75">
      <c r="B720" s="224">
        <f t="shared" si="115"/>
        <v>292</v>
      </c>
      <c r="C720" s="171"/>
      <c r="D720" s="171"/>
      <c r="E720" s="434"/>
      <c r="F720" s="434" t="s">
        <v>237</v>
      </c>
      <c r="G720" s="310" t="s">
        <v>707</v>
      </c>
      <c r="H720" s="206">
        <v>1071</v>
      </c>
      <c r="I720" s="206">
        <v>1071</v>
      </c>
      <c r="J720" s="697">
        <f t="shared" si="116"/>
        <v>100</v>
      </c>
      <c r="K720" s="248"/>
      <c r="L720" s="636"/>
      <c r="M720" s="172"/>
      <c r="N720" s="697"/>
      <c r="O720" s="248"/>
      <c r="P720" s="221">
        <f t="shared" si="117"/>
        <v>1071</v>
      </c>
      <c r="Q720" s="221">
        <f t="shared" si="112"/>
        <v>1071</v>
      </c>
      <c r="R720" s="704">
        <f t="shared" si="118"/>
        <v>100</v>
      </c>
    </row>
    <row r="721" spans="2:18" ht="12.75">
      <c r="B721" s="224">
        <f t="shared" si="115"/>
        <v>293</v>
      </c>
      <c r="C721" s="171"/>
      <c r="D721" s="171"/>
      <c r="E721" s="434"/>
      <c r="F721" s="426" t="s">
        <v>256</v>
      </c>
      <c r="G721" s="311" t="s">
        <v>464</v>
      </c>
      <c r="H721" s="207">
        <f>147+433</f>
        <v>580</v>
      </c>
      <c r="I721" s="207">
        <v>580</v>
      </c>
      <c r="J721" s="697">
        <f t="shared" si="116"/>
        <v>100</v>
      </c>
      <c r="K721" s="248"/>
      <c r="L721" s="636"/>
      <c r="M721" s="172"/>
      <c r="N721" s="697"/>
      <c r="O721" s="248"/>
      <c r="P721" s="396">
        <f t="shared" si="117"/>
        <v>580</v>
      </c>
      <c r="Q721" s="396">
        <f t="shared" si="112"/>
        <v>580</v>
      </c>
      <c r="R721" s="704">
        <f t="shared" si="118"/>
        <v>100</v>
      </c>
    </row>
    <row r="722" spans="2:18" ht="12.75">
      <c r="B722" s="224">
        <f t="shared" si="115"/>
        <v>294</v>
      </c>
      <c r="C722" s="173"/>
      <c r="D722" s="171"/>
      <c r="E722" s="173"/>
      <c r="F722" s="426" t="s">
        <v>257</v>
      </c>
      <c r="G722" s="311" t="s">
        <v>525</v>
      </c>
      <c r="H722" s="207">
        <v>5010</v>
      </c>
      <c r="I722" s="207">
        <f>5010+6880</f>
        <v>11890</v>
      </c>
      <c r="J722" s="697">
        <f t="shared" si="116"/>
        <v>237.32534930139718</v>
      </c>
      <c r="K722" s="248"/>
      <c r="L722" s="636"/>
      <c r="M722" s="172"/>
      <c r="N722" s="697"/>
      <c r="O722" s="248"/>
      <c r="P722" s="396">
        <f t="shared" si="117"/>
        <v>5010</v>
      </c>
      <c r="Q722" s="396">
        <f t="shared" si="112"/>
        <v>11890</v>
      </c>
      <c r="R722" s="704">
        <f t="shared" si="118"/>
        <v>237.32534930139718</v>
      </c>
    </row>
    <row r="723" spans="2:18" ht="12.75">
      <c r="B723" s="224">
        <f t="shared" si="115"/>
        <v>295</v>
      </c>
      <c r="C723" s="171"/>
      <c r="D723" s="171"/>
      <c r="E723" s="537"/>
      <c r="F723" s="426"/>
      <c r="G723" s="311"/>
      <c r="H723" s="207"/>
      <c r="I723" s="207"/>
      <c r="J723" s="697"/>
      <c r="K723" s="248"/>
      <c r="L723" s="636"/>
      <c r="M723" s="172"/>
      <c r="N723" s="697"/>
      <c r="O723" s="248"/>
      <c r="P723" s="396"/>
      <c r="Q723" s="396"/>
      <c r="R723" s="704"/>
    </row>
    <row r="724" spans="2:18" ht="12.75">
      <c r="B724" s="224">
        <f t="shared" si="115"/>
        <v>296</v>
      </c>
      <c r="C724" s="171"/>
      <c r="D724" s="171"/>
      <c r="E724" s="537"/>
      <c r="F724" s="426"/>
      <c r="G724" s="311" t="s">
        <v>777</v>
      </c>
      <c r="H724" s="207"/>
      <c r="I724" s="207">
        <v>1182</v>
      </c>
      <c r="J724" s="697"/>
      <c r="K724" s="248"/>
      <c r="L724" s="636"/>
      <c r="M724" s="172"/>
      <c r="N724" s="697"/>
      <c r="O724" s="248"/>
      <c r="P724" s="396"/>
      <c r="Q724" s="396">
        <f>M724+I724</f>
        <v>1182</v>
      </c>
      <c r="R724" s="704"/>
    </row>
    <row r="725" spans="2:18" ht="12.75">
      <c r="B725" s="224">
        <f t="shared" si="115"/>
        <v>297</v>
      </c>
      <c r="C725" s="171"/>
      <c r="D725" s="171"/>
      <c r="E725" s="537"/>
      <c r="F725" s="426"/>
      <c r="G725" s="311"/>
      <c r="H725" s="207"/>
      <c r="I725" s="207"/>
      <c r="J725" s="697"/>
      <c r="K725" s="248"/>
      <c r="L725" s="636"/>
      <c r="M725" s="172"/>
      <c r="N725" s="697"/>
      <c r="O725" s="248"/>
      <c r="P725" s="396"/>
      <c r="Q725" s="396"/>
      <c r="R725" s="704"/>
    </row>
    <row r="726" spans="2:18" ht="12.75">
      <c r="B726" s="224">
        <f t="shared" si="115"/>
        <v>298</v>
      </c>
      <c r="C726" s="171"/>
      <c r="D726" s="171"/>
      <c r="E726" s="648" t="s">
        <v>531</v>
      </c>
      <c r="F726" s="434" t="s">
        <v>407</v>
      </c>
      <c r="G726" s="310" t="s">
        <v>540</v>
      </c>
      <c r="H726" s="207"/>
      <c r="I726" s="207"/>
      <c r="J726" s="697"/>
      <c r="K726" s="248"/>
      <c r="L726" s="636">
        <v>48407</v>
      </c>
      <c r="M726" s="172">
        <v>48383</v>
      </c>
      <c r="N726" s="697">
        <f>M726/L726*100</f>
        <v>99.95042039374471</v>
      </c>
      <c r="O726" s="248"/>
      <c r="P726" s="221">
        <f>H726+L726</f>
        <v>48407</v>
      </c>
      <c r="Q726" s="221">
        <f>M726+I726</f>
        <v>48383</v>
      </c>
      <c r="R726" s="704">
        <f>Q726/P726*100</f>
        <v>99.95042039374471</v>
      </c>
    </row>
    <row r="727" spans="2:18" ht="12.75">
      <c r="B727" s="224">
        <f t="shared" si="115"/>
        <v>299</v>
      </c>
      <c r="C727" s="171"/>
      <c r="D727" s="171"/>
      <c r="E727" s="648" t="s">
        <v>531</v>
      </c>
      <c r="F727" s="434" t="s">
        <v>407</v>
      </c>
      <c r="G727" s="310" t="s">
        <v>539</v>
      </c>
      <c r="H727" s="207"/>
      <c r="I727" s="207"/>
      <c r="J727" s="697"/>
      <c r="K727" s="248"/>
      <c r="L727" s="636">
        <f>33580/12*15</f>
        <v>41975</v>
      </c>
      <c r="M727" s="172">
        <v>41971</v>
      </c>
      <c r="N727" s="697">
        <f>M727/L727*100</f>
        <v>99.99047051816558</v>
      </c>
      <c r="O727" s="248"/>
      <c r="P727" s="221">
        <f>H727+L727</f>
        <v>41975</v>
      </c>
      <c r="Q727" s="221">
        <f>M727+I727</f>
        <v>41971</v>
      </c>
      <c r="R727" s="704">
        <f>Q727/P727*100</f>
        <v>99.99047051816558</v>
      </c>
    </row>
    <row r="728" spans="2:18" ht="12.75">
      <c r="B728" s="224">
        <f t="shared" si="115"/>
        <v>300</v>
      </c>
      <c r="C728" s="171"/>
      <c r="D728" s="537"/>
      <c r="E728" s="648"/>
      <c r="F728" s="657"/>
      <c r="G728" s="310"/>
      <c r="H728" s="207"/>
      <c r="I728" s="207"/>
      <c r="J728" s="697"/>
      <c r="K728" s="248"/>
      <c r="L728" s="636"/>
      <c r="M728" s="172"/>
      <c r="N728" s="697"/>
      <c r="O728" s="248"/>
      <c r="P728" s="221"/>
      <c r="Q728" s="221"/>
      <c r="R728" s="704"/>
    </row>
    <row r="729" spans="2:18" ht="15.75">
      <c r="B729" s="224">
        <f t="shared" si="115"/>
        <v>301</v>
      </c>
      <c r="C729" s="27">
        <v>3</v>
      </c>
      <c r="D729" s="160" t="s">
        <v>151</v>
      </c>
      <c r="E729" s="28"/>
      <c r="F729" s="28"/>
      <c r="G729" s="291"/>
      <c r="H729" s="555">
        <f>H730+H738+H747+H755+H764+H773+H784+H792+H801+H810+H811+H812+H813+H815+H827+H838+H839</f>
        <v>1559695</v>
      </c>
      <c r="I729" s="663">
        <f>I730+I738+I747+I755+I764+I773+I784+I792+I801+I810+I811+I812+I813+I815+I827+I838+I839+I841</f>
        <v>1588398</v>
      </c>
      <c r="J729" s="717">
        <f aca="true" t="shared" si="119" ref="J729:J736">I729/H729*100</f>
        <v>101.84029569883855</v>
      </c>
      <c r="K729" s="96"/>
      <c r="L729" s="638">
        <f>L841</f>
        <v>2807.5</v>
      </c>
      <c r="M729" s="644">
        <f>M730+M738+M747+M755+M764+M773+M784+M792+M801+M810+M811+M812+M813+M815+M827+M838+M839+M841</f>
        <v>2807</v>
      </c>
      <c r="N729" s="717">
        <f>M729/L729*100</f>
        <v>99.98219056099732</v>
      </c>
      <c r="O729" s="96"/>
      <c r="P729" s="299">
        <f aca="true" t="shared" si="120" ref="P729:P736">H729+L729</f>
        <v>1562502.5</v>
      </c>
      <c r="Q729" s="608">
        <f aca="true" t="shared" si="121" ref="Q729:Q736">M729+I729</f>
        <v>1591205</v>
      </c>
      <c r="R729" s="696">
        <f aca="true" t="shared" si="122" ref="R729:R736">Q729/P729*100</f>
        <v>101.8369570608687</v>
      </c>
    </row>
    <row r="730" spans="2:18" ht="12.75">
      <c r="B730" s="224">
        <f t="shared" si="115"/>
        <v>302</v>
      </c>
      <c r="C730" s="187"/>
      <c r="D730" s="198" t="s">
        <v>5</v>
      </c>
      <c r="E730" s="194" t="s">
        <v>533</v>
      </c>
      <c r="F730" s="194" t="s">
        <v>298</v>
      </c>
      <c r="G730" s="366"/>
      <c r="H730" s="231">
        <f>H731+H732+H733</f>
        <v>9840</v>
      </c>
      <c r="I730" s="231">
        <f>I731+I732+I733</f>
        <v>9840</v>
      </c>
      <c r="J730" s="697">
        <f t="shared" si="119"/>
        <v>100</v>
      </c>
      <c r="K730" s="199"/>
      <c r="L730" s="775"/>
      <c r="M730" s="776"/>
      <c r="N730" s="716"/>
      <c r="O730" s="199"/>
      <c r="P730" s="220">
        <f t="shared" si="120"/>
        <v>9840</v>
      </c>
      <c r="Q730" s="220">
        <f t="shared" si="121"/>
        <v>9840</v>
      </c>
      <c r="R730" s="699">
        <f t="shared" si="122"/>
        <v>100</v>
      </c>
    </row>
    <row r="731" spans="2:18" ht="12.75">
      <c r="B731" s="224">
        <f t="shared" si="115"/>
        <v>303</v>
      </c>
      <c r="C731" s="187"/>
      <c r="D731" s="188"/>
      <c r="E731" s="188"/>
      <c r="F731" s="188" t="s">
        <v>250</v>
      </c>
      <c r="G731" s="307" t="s">
        <v>291</v>
      </c>
      <c r="H731" s="207">
        <v>7040</v>
      </c>
      <c r="I731" s="207">
        <v>6529</v>
      </c>
      <c r="J731" s="697">
        <f t="shared" si="119"/>
        <v>92.74147727272727</v>
      </c>
      <c r="K731" s="191"/>
      <c r="L731" s="757"/>
      <c r="M731" s="237"/>
      <c r="N731" s="716"/>
      <c r="O731" s="191"/>
      <c r="P731" s="218">
        <f t="shared" si="120"/>
        <v>7040</v>
      </c>
      <c r="Q731" s="218">
        <f t="shared" si="121"/>
        <v>6529</v>
      </c>
      <c r="R731" s="699">
        <f t="shared" si="122"/>
        <v>92.74147727272727</v>
      </c>
    </row>
    <row r="732" spans="2:18" ht="12.75">
      <c r="B732" s="224">
        <f t="shared" si="115"/>
        <v>304</v>
      </c>
      <c r="C732" s="187"/>
      <c r="D732" s="188"/>
      <c r="E732" s="188"/>
      <c r="F732" s="188" t="s">
        <v>251</v>
      </c>
      <c r="G732" s="307" t="s">
        <v>292</v>
      </c>
      <c r="H732" s="207">
        <v>1770</v>
      </c>
      <c r="I732" s="207">
        <v>2281</v>
      </c>
      <c r="J732" s="697">
        <f t="shared" si="119"/>
        <v>128.87005649717514</v>
      </c>
      <c r="K732" s="191"/>
      <c r="L732" s="757"/>
      <c r="M732" s="237"/>
      <c r="N732" s="716"/>
      <c r="O732" s="191"/>
      <c r="P732" s="218">
        <f t="shared" si="120"/>
        <v>1770</v>
      </c>
      <c r="Q732" s="218">
        <f t="shared" si="121"/>
        <v>2281</v>
      </c>
      <c r="R732" s="699">
        <f t="shared" si="122"/>
        <v>128.87005649717514</v>
      </c>
    </row>
    <row r="733" spans="2:18" ht="12.75">
      <c r="B733" s="224">
        <f t="shared" si="115"/>
        <v>305</v>
      </c>
      <c r="C733" s="187"/>
      <c r="D733" s="188"/>
      <c r="E733" s="188"/>
      <c r="F733" s="188" t="s">
        <v>257</v>
      </c>
      <c r="G733" s="307" t="s">
        <v>297</v>
      </c>
      <c r="H733" s="207">
        <f>H734+H735+H736</f>
        <v>1030</v>
      </c>
      <c r="I733" s="207">
        <f>SUM(I734:I736)</f>
        <v>1030</v>
      </c>
      <c r="J733" s="697">
        <f t="shared" si="119"/>
        <v>100</v>
      </c>
      <c r="K733" s="191"/>
      <c r="L733" s="757"/>
      <c r="M733" s="237"/>
      <c r="N733" s="716"/>
      <c r="O733" s="191"/>
      <c r="P733" s="218">
        <f t="shared" si="120"/>
        <v>1030</v>
      </c>
      <c r="Q733" s="218">
        <f t="shared" si="121"/>
        <v>1030</v>
      </c>
      <c r="R733" s="699">
        <f t="shared" si="122"/>
        <v>100</v>
      </c>
    </row>
    <row r="734" spans="2:18" ht="12.75">
      <c r="B734" s="224">
        <f t="shared" si="115"/>
        <v>306</v>
      </c>
      <c r="C734" s="187"/>
      <c r="D734" s="188"/>
      <c r="E734" s="188"/>
      <c r="F734" s="166" t="s">
        <v>237</v>
      </c>
      <c r="G734" s="292" t="s">
        <v>293</v>
      </c>
      <c r="H734" s="206">
        <v>700</v>
      </c>
      <c r="I734" s="206">
        <v>700</v>
      </c>
      <c r="J734" s="697">
        <f t="shared" si="119"/>
        <v>100</v>
      </c>
      <c r="K734" s="191"/>
      <c r="L734" s="757"/>
      <c r="M734" s="237"/>
      <c r="N734" s="716"/>
      <c r="O734" s="191"/>
      <c r="P734" s="219">
        <f t="shared" si="120"/>
        <v>700</v>
      </c>
      <c r="Q734" s="219">
        <f t="shared" si="121"/>
        <v>700</v>
      </c>
      <c r="R734" s="699">
        <f t="shared" si="122"/>
        <v>100</v>
      </c>
    </row>
    <row r="735" spans="2:18" ht="12.75">
      <c r="B735" s="224">
        <f t="shared" si="115"/>
        <v>307</v>
      </c>
      <c r="C735" s="187"/>
      <c r="D735" s="188"/>
      <c r="E735" s="188"/>
      <c r="F735" s="166" t="s">
        <v>238</v>
      </c>
      <c r="G735" s="292" t="s">
        <v>294</v>
      </c>
      <c r="H735" s="206">
        <v>240</v>
      </c>
      <c r="I735" s="206">
        <v>253</v>
      </c>
      <c r="J735" s="697">
        <f t="shared" si="119"/>
        <v>105.41666666666667</v>
      </c>
      <c r="K735" s="191"/>
      <c r="L735" s="757"/>
      <c r="M735" s="237"/>
      <c r="N735" s="716"/>
      <c r="O735" s="191"/>
      <c r="P735" s="219">
        <f t="shared" si="120"/>
        <v>240</v>
      </c>
      <c r="Q735" s="219">
        <f t="shared" si="121"/>
        <v>253</v>
      </c>
      <c r="R735" s="699">
        <f t="shared" si="122"/>
        <v>105.41666666666667</v>
      </c>
    </row>
    <row r="736" spans="2:18" ht="12.75">
      <c r="B736" s="224">
        <f t="shared" si="115"/>
        <v>308</v>
      </c>
      <c r="C736" s="187"/>
      <c r="D736" s="188"/>
      <c r="E736" s="188"/>
      <c r="F736" s="166" t="s">
        <v>255</v>
      </c>
      <c r="G736" s="292" t="s">
        <v>295</v>
      </c>
      <c r="H736" s="206">
        <v>90</v>
      </c>
      <c r="I736" s="206">
        <v>77</v>
      </c>
      <c r="J736" s="697">
        <f t="shared" si="119"/>
        <v>85.55555555555556</v>
      </c>
      <c r="K736" s="191"/>
      <c r="L736" s="757"/>
      <c r="M736" s="237"/>
      <c r="N736" s="716"/>
      <c r="O736" s="191"/>
      <c r="P736" s="219">
        <f t="shared" si="120"/>
        <v>90</v>
      </c>
      <c r="Q736" s="219">
        <f t="shared" si="121"/>
        <v>77</v>
      </c>
      <c r="R736" s="699">
        <f t="shared" si="122"/>
        <v>85.55555555555556</v>
      </c>
    </row>
    <row r="737" spans="2:18" ht="12.75">
      <c r="B737" s="224">
        <f t="shared" si="115"/>
        <v>309</v>
      </c>
      <c r="C737" s="165"/>
      <c r="D737" s="165"/>
      <c r="E737" s="170"/>
      <c r="F737" s="170"/>
      <c r="G737" s="307"/>
      <c r="H737" s="206"/>
      <c r="I737" s="206"/>
      <c r="J737" s="697"/>
      <c r="K737" s="168"/>
      <c r="L737" s="636"/>
      <c r="M737" s="172"/>
      <c r="N737" s="697"/>
      <c r="O737" s="168"/>
      <c r="P737" s="221"/>
      <c r="Q737" s="221"/>
      <c r="R737" s="704"/>
    </row>
    <row r="738" spans="2:18" ht="15">
      <c r="B738" s="224">
        <f t="shared" si="115"/>
        <v>310</v>
      </c>
      <c r="C738" s="165"/>
      <c r="D738" s="399">
        <v>2</v>
      </c>
      <c r="E738" s="194" t="s">
        <v>533</v>
      </c>
      <c r="F738" s="194" t="s">
        <v>478</v>
      </c>
      <c r="G738" s="366"/>
      <c r="H738" s="232">
        <f>H739+H740+H741+H745</f>
        <v>79455</v>
      </c>
      <c r="I738" s="232">
        <f>I739+I740+I741+I745</f>
        <v>80103</v>
      </c>
      <c r="J738" s="697">
        <f aca="true" t="shared" si="123" ref="J738:J745">I738/H738*100</f>
        <v>100.81555597508023</v>
      </c>
      <c r="K738" s="168"/>
      <c r="L738" s="762"/>
      <c r="M738" s="763"/>
      <c r="N738" s="697"/>
      <c r="O738" s="168"/>
      <c r="P738" s="397">
        <f aca="true" t="shared" si="124" ref="P738:P745">H738+L738</f>
        <v>79455</v>
      </c>
      <c r="Q738" s="397">
        <f aca="true" t="shared" si="125" ref="Q738:Q745">M738+I738</f>
        <v>80103</v>
      </c>
      <c r="R738" s="704">
        <f aca="true" t="shared" si="126" ref="R738:R745">Q738/P738*100</f>
        <v>100.81555597508023</v>
      </c>
    </row>
    <row r="739" spans="2:18" ht="12.75">
      <c r="B739" s="224">
        <f t="shared" si="115"/>
        <v>311</v>
      </c>
      <c r="C739" s="165"/>
      <c r="D739" s="165"/>
      <c r="E739" s="170"/>
      <c r="F739" s="188" t="s">
        <v>250</v>
      </c>
      <c r="G739" s="307" t="s">
        <v>291</v>
      </c>
      <c r="H739" s="207">
        <v>50300</v>
      </c>
      <c r="I739" s="207">
        <v>50946</v>
      </c>
      <c r="J739" s="697">
        <f t="shared" si="123"/>
        <v>101.28429423459244</v>
      </c>
      <c r="K739" s="168"/>
      <c r="L739" s="636"/>
      <c r="M739" s="172"/>
      <c r="N739" s="697"/>
      <c r="O739" s="168"/>
      <c r="P739" s="396">
        <f t="shared" si="124"/>
        <v>50300</v>
      </c>
      <c r="Q739" s="396">
        <f t="shared" si="125"/>
        <v>50946</v>
      </c>
      <c r="R739" s="704">
        <f t="shared" si="126"/>
        <v>101.28429423459244</v>
      </c>
    </row>
    <row r="740" spans="2:18" ht="12.75">
      <c r="B740" s="224">
        <f t="shared" si="115"/>
        <v>312</v>
      </c>
      <c r="C740" s="165"/>
      <c r="D740" s="165"/>
      <c r="E740" s="170"/>
      <c r="F740" s="188" t="s">
        <v>251</v>
      </c>
      <c r="G740" s="307" t="s">
        <v>292</v>
      </c>
      <c r="H740" s="207">
        <v>17580</v>
      </c>
      <c r="I740" s="207">
        <v>17651</v>
      </c>
      <c r="J740" s="697">
        <f t="shared" si="123"/>
        <v>100.40386803185437</v>
      </c>
      <c r="K740" s="168"/>
      <c r="L740" s="636"/>
      <c r="M740" s="172"/>
      <c r="N740" s="697"/>
      <c r="O740" s="168"/>
      <c r="P740" s="396">
        <f t="shared" si="124"/>
        <v>17580</v>
      </c>
      <c r="Q740" s="396">
        <f t="shared" si="125"/>
        <v>17651</v>
      </c>
      <c r="R740" s="704">
        <f t="shared" si="126"/>
        <v>100.40386803185437</v>
      </c>
    </row>
    <row r="741" spans="2:18" ht="12.75">
      <c r="B741" s="224">
        <f t="shared" si="115"/>
        <v>313</v>
      </c>
      <c r="C741" s="165"/>
      <c r="D741" s="165"/>
      <c r="E741" s="170"/>
      <c r="F741" s="188" t="s">
        <v>257</v>
      </c>
      <c r="G741" s="307" t="s">
        <v>428</v>
      </c>
      <c r="H741" s="207">
        <f>H742+H743+H744</f>
        <v>11475</v>
      </c>
      <c r="I741" s="207">
        <f>I742+I743+I744</f>
        <v>11475</v>
      </c>
      <c r="J741" s="697">
        <f t="shared" si="123"/>
        <v>100</v>
      </c>
      <c r="K741" s="168"/>
      <c r="L741" s="636"/>
      <c r="M741" s="172"/>
      <c r="N741" s="697"/>
      <c r="O741" s="168"/>
      <c r="P741" s="396">
        <f t="shared" si="124"/>
        <v>11475</v>
      </c>
      <c r="Q741" s="396">
        <f t="shared" si="125"/>
        <v>11475</v>
      </c>
      <c r="R741" s="704">
        <f t="shared" si="126"/>
        <v>100</v>
      </c>
    </row>
    <row r="742" spans="2:18" ht="12.75">
      <c r="B742" s="224">
        <f t="shared" si="115"/>
        <v>314</v>
      </c>
      <c r="C742" s="165"/>
      <c r="D742" s="165"/>
      <c r="E742" s="170"/>
      <c r="F742" s="166" t="s">
        <v>237</v>
      </c>
      <c r="G742" s="292" t="s">
        <v>398</v>
      </c>
      <c r="H742" s="206">
        <v>5597</v>
      </c>
      <c r="I742" s="206">
        <v>3531</v>
      </c>
      <c r="J742" s="697">
        <f t="shared" si="123"/>
        <v>63.08736823298196</v>
      </c>
      <c r="K742" s="168"/>
      <c r="L742" s="636"/>
      <c r="M742" s="172"/>
      <c r="N742" s="697"/>
      <c r="O742" s="168"/>
      <c r="P742" s="221">
        <f t="shared" si="124"/>
        <v>5597</v>
      </c>
      <c r="Q742" s="221">
        <f t="shared" si="125"/>
        <v>3531</v>
      </c>
      <c r="R742" s="704">
        <f t="shared" si="126"/>
        <v>63.08736823298196</v>
      </c>
    </row>
    <row r="743" spans="2:18" ht="12.75">
      <c r="B743" s="224">
        <f t="shared" si="115"/>
        <v>315</v>
      </c>
      <c r="C743" s="165"/>
      <c r="D743" s="165"/>
      <c r="E743" s="170"/>
      <c r="F743" s="166" t="s">
        <v>238</v>
      </c>
      <c r="G743" s="292" t="s">
        <v>294</v>
      </c>
      <c r="H743" s="206">
        <v>3813</v>
      </c>
      <c r="I743" s="206">
        <v>1785</v>
      </c>
      <c r="J743" s="697">
        <f t="shared" si="123"/>
        <v>46.813532651455546</v>
      </c>
      <c r="K743" s="168"/>
      <c r="L743" s="636"/>
      <c r="M743" s="172"/>
      <c r="N743" s="697"/>
      <c r="O743" s="168"/>
      <c r="P743" s="221">
        <f t="shared" si="124"/>
        <v>3813</v>
      </c>
      <c r="Q743" s="221">
        <f t="shared" si="125"/>
        <v>1785</v>
      </c>
      <c r="R743" s="704">
        <f t="shared" si="126"/>
        <v>46.813532651455546</v>
      </c>
    </row>
    <row r="744" spans="2:18" ht="12.75">
      <c r="B744" s="224">
        <f t="shared" si="115"/>
        <v>316</v>
      </c>
      <c r="C744" s="165"/>
      <c r="D744" s="165"/>
      <c r="E744" s="170"/>
      <c r="F744" s="166" t="s">
        <v>255</v>
      </c>
      <c r="G744" s="292" t="s">
        <v>295</v>
      </c>
      <c r="H744" s="206">
        <v>2065</v>
      </c>
      <c r="I744" s="206">
        <v>6159</v>
      </c>
      <c r="J744" s="697">
        <f t="shared" si="123"/>
        <v>298.2566585956417</v>
      </c>
      <c r="K744" s="168"/>
      <c r="L744" s="636"/>
      <c r="M744" s="172"/>
      <c r="N744" s="697"/>
      <c r="O744" s="168"/>
      <c r="P744" s="221">
        <f t="shared" si="124"/>
        <v>2065</v>
      </c>
      <c r="Q744" s="221">
        <f t="shared" si="125"/>
        <v>6159</v>
      </c>
      <c r="R744" s="704">
        <f t="shared" si="126"/>
        <v>298.2566585956417</v>
      </c>
    </row>
    <row r="745" spans="2:18" ht="12.75">
      <c r="B745" s="224">
        <f t="shared" si="115"/>
        <v>317</v>
      </c>
      <c r="C745" s="165"/>
      <c r="D745" s="165"/>
      <c r="E745" s="170"/>
      <c r="F745" s="188" t="s">
        <v>256</v>
      </c>
      <c r="G745" s="307" t="s">
        <v>479</v>
      </c>
      <c r="H745" s="207">
        <v>100</v>
      </c>
      <c r="I745" s="207">
        <v>31</v>
      </c>
      <c r="J745" s="697">
        <f t="shared" si="123"/>
        <v>31</v>
      </c>
      <c r="K745" s="168"/>
      <c r="L745" s="636"/>
      <c r="M745" s="172"/>
      <c r="N745" s="697"/>
      <c r="O745" s="168"/>
      <c r="P745" s="396">
        <f t="shared" si="124"/>
        <v>100</v>
      </c>
      <c r="Q745" s="396">
        <f t="shared" si="125"/>
        <v>31</v>
      </c>
      <c r="R745" s="704">
        <f t="shared" si="126"/>
        <v>31</v>
      </c>
    </row>
    <row r="746" spans="2:18" ht="12.75">
      <c r="B746" s="224">
        <f t="shared" si="115"/>
        <v>318</v>
      </c>
      <c r="C746" s="165"/>
      <c r="D746" s="165"/>
      <c r="E746" s="170"/>
      <c r="F746" s="170"/>
      <c r="G746" s="307"/>
      <c r="H746" s="206"/>
      <c r="I746" s="206"/>
      <c r="J746" s="697"/>
      <c r="K746" s="168"/>
      <c r="L746" s="636"/>
      <c r="M746" s="172"/>
      <c r="N746" s="697"/>
      <c r="O746" s="168"/>
      <c r="P746" s="221"/>
      <c r="Q746" s="221"/>
      <c r="R746" s="704"/>
    </row>
    <row r="747" spans="2:18" ht="15">
      <c r="B747" s="224">
        <f t="shared" si="115"/>
        <v>319</v>
      </c>
      <c r="C747" s="165"/>
      <c r="D747" s="399">
        <v>3</v>
      </c>
      <c r="E747" s="194" t="s">
        <v>533</v>
      </c>
      <c r="F747" s="194" t="s">
        <v>480</v>
      </c>
      <c r="G747" s="366"/>
      <c r="H747" s="232">
        <f>H748+H749+H750+H754</f>
        <v>136720</v>
      </c>
      <c r="I747" s="232">
        <f>I748+I749+I750+I754</f>
        <v>136720</v>
      </c>
      <c r="J747" s="697">
        <f aca="true" t="shared" si="127" ref="J747:J762">I747/H747*100</f>
        <v>100</v>
      </c>
      <c r="K747" s="168"/>
      <c r="L747" s="762"/>
      <c r="M747" s="763"/>
      <c r="N747" s="697"/>
      <c r="O747" s="168"/>
      <c r="P747" s="397">
        <f aca="true" t="shared" si="128" ref="P747:P762">H747+L747</f>
        <v>136720</v>
      </c>
      <c r="Q747" s="397">
        <f aca="true" t="shared" si="129" ref="Q747:Q762">M747+I747</f>
        <v>136720</v>
      </c>
      <c r="R747" s="704">
        <f aca="true" t="shared" si="130" ref="R747:R762">Q747/P747*100</f>
        <v>100</v>
      </c>
    </row>
    <row r="748" spans="2:18" ht="12.75">
      <c r="B748" s="224">
        <f t="shared" si="115"/>
        <v>320</v>
      </c>
      <c r="C748" s="165"/>
      <c r="D748" s="165"/>
      <c r="E748" s="170"/>
      <c r="F748" s="188" t="s">
        <v>250</v>
      </c>
      <c r="G748" s="307" t="s">
        <v>291</v>
      </c>
      <c r="H748" s="207">
        <v>89764</v>
      </c>
      <c r="I748" s="207">
        <v>89729</v>
      </c>
      <c r="J748" s="697">
        <f t="shared" si="127"/>
        <v>99.96100886769752</v>
      </c>
      <c r="K748" s="168"/>
      <c r="L748" s="636"/>
      <c r="M748" s="172"/>
      <c r="N748" s="697"/>
      <c r="O748" s="168"/>
      <c r="P748" s="396">
        <f t="shared" si="128"/>
        <v>89764</v>
      </c>
      <c r="Q748" s="396">
        <f t="shared" si="129"/>
        <v>89729</v>
      </c>
      <c r="R748" s="704">
        <f t="shared" si="130"/>
        <v>99.96100886769752</v>
      </c>
    </row>
    <row r="749" spans="2:18" ht="12.75">
      <c r="B749" s="224">
        <f t="shared" si="115"/>
        <v>321</v>
      </c>
      <c r="C749" s="165"/>
      <c r="D749" s="165"/>
      <c r="E749" s="170"/>
      <c r="F749" s="188" t="s">
        <v>251</v>
      </c>
      <c r="G749" s="307" t="s">
        <v>292</v>
      </c>
      <c r="H749" s="207">
        <v>31456</v>
      </c>
      <c r="I749" s="207">
        <v>31491</v>
      </c>
      <c r="J749" s="697">
        <f t="shared" si="127"/>
        <v>100.11126653102747</v>
      </c>
      <c r="K749" s="168"/>
      <c r="L749" s="636"/>
      <c r="M749" s="172"/>
      <c r="N749" s="697"/>
      <c r="O749" s="168"/>
      <c r="P749" s="396">
        <f t="shared" si="128"/>
        <v>31456</v>
      </c>
      <c r="Q749" s="396">
        <f t="shared" si="129"/>
        <v>31491</v>
      </c>
      <c r="R749" s="704">
        <f t="shared" si="130"/>
        <v>100.11126653102747</v>
      </c>
    </row>
    <row r="750" spans="2:18" ht="12.75">
      <c r="B750" s="224">
        <f t="shared" si="115"/>
        <v>322</v>
      </c>
      <c r="C750" s="165"/>
      <c r="D750" s="165"/>
      <c r="E750" s="170"/>
      <c r="F750" s="188" t="s">
        <v>257</v>
      </c>
      <c r="G750" s="307" t="s">
        <v>428</v>
      </c>
      <c r="H750" s="207">
        <f>H751+H752+H753</f>
        <v>15113</v>
      </c>
      <c r="I750" s="207">
        <f>I751+I752+I753</f>
        <v>15113</v>
      </c>
      <c r="J750" s="697">
        <f t="shared" si="127"/>
        <v>100</v>
      </c>
      <c r="K750" s="168"/>
      <c r="L750" s="636"/>
      <c r="M750" s="172"/>
      <c r="N750" s="697"/>
      <c r="O750" s="168"/>
      <c r="P750" s="396">
        <f t="shared" si="128"/>
        <v>15113</v>
      </c>
      <c r="Q750" s="396">
        <f t="shared" si="129"/>
        <v>15113</v>
      </c>
      <c r="R750" s="704">
        <f t="shared" si="130"/>
        <v>100</v>
      </c>
    </row>
    <row r="751" spans="2:18" ht="12.75">
      <c r="B751" s="224">
        <f t="shared" si="115"/>
        <v>323</v>
      </c>
      <c r="C751" s="165"/>
      <c r="D751" s="165"/>
      <c r="E751" s="170"/>
      <c r="F751" s="166" t="s">
        <v>237</v>
      </c>
      <c r="G751" s="292" t="s">
        <v>398</v>
      </c>
      <c r="H751" s="206">
        <f>11400+113</f>
        <v>11513</v>
      </c>
      <c r="I751" s="206">
        <v>11286</v>
      </c>
      <c r="J751" s="697">
        <f t="shared" si="127"/>
        <v>98.02831581690263</v>
      </c>
      <c r="K751" s="168"/>
      <c r="L751" s="636"/>
      <c r="M751" s="172"/>
      <c r="N751" s="697"/>
      <c r="O751" s="168"/>
      <c r="P751" s="221">
        <f t="shared" si="128"/>
        <v>11513</v>
      </c>
      <c r="Q751" s="221">
        <f t="shared" si="129"/>
        <v>11286</v>
      </c>
      <c r="R751" s="704">
        <f t="shared" si="130"/>
        <v>98.02831581690263</v>
      </c>
    </row>
    <row r="752" spans="2:18" ht="12.75">
      <c r="B752" s="458">
        <f t="shared" si="115"/>
        <v>324</v>
      </c>
      <c r="C752" s="245"/>
      <c r="D752" s="245"/>
      <c r="E752" s="246"/>
      <c r="F752" s="460" t="s">
        <v>238</v>
      </c>
      <c r="G752" s="344" t="s">
        <v>294</v>
      </c>
      <c r="H752" s="247">
        <v>500</v>
      </c>
      <c r="I752" s="247">
        <v>629</v>
      </c>
      <c r="J752" s="716">
        <f t="shared" si="127"/>
        <v>125.8</v>
      </c>
      <c r="K752" s="168"/>
      <c r="L752" s="634"/>
      <c r="M752" s="238"/>
      <c r="N752" s="716"/>
      <c r="O752" s="168"/>
      <c r="P752" s="219">
        <f t="shared" si="128"/>
        <v>500</v>
      </c>
      <c r="Q752" s="219">
        <f t="shared" si="129"/>
        <v>629</v>
      </c>
      <c r="R752" s="699">
        <f t="shared" si="130"/>
        <v>125.8</v>
      </c>
    </row>
    <row r="753" spans="2:18" ht="12.75">
      <c r="B753" s="647">
        <f t="shared" si="115"/>
        <v>325</v>
      </c>
      <c r="C753" s="171"/>
      <c r="D753" s="171"/>
      <c r="E753" s="173"/>
      <c r="F753" s="434" t="s">
        <v>255</v>
      </c>
      <c r="G753" s="310" t="s">
        <v>295</v>
      </c>
      <c r="H753" s="206">
        <v>3100</v>
      </c>
      <c r="I753" s="206">
        <v>3198</v>
      </c>
      <c r="J753" s="697">
        <f t="shared" si="127"/>
        <v>103.16129032258064</v>
      </c>
      <c r="K753" s="248"/>
      <c r="L753" s="636"/>
      <c r="M753" s="172"/>
      <c r="N753" s="697"/>
      <c r="O753" s="248"/>
      <c r="P753" s="221">
        <f t="shared" si="128"/>
        <v>3100</v>
      </c>
      <c r="Q753" s="221">
        <f t="shared" si="129"/>
        <v>3198</v>
      </c>
      <c r="R753" s="704">
        <f t="shared" si="130"/>
        <v>103.16129032258064</v>
      </c>
    </row>
    <row r="754" spans="2:18" ht="12.75">
      <c r="B754" s="647">
        <f t="shared" si="115"/>
        <v>326</v>
      </c>
      <c r="C754" s="171"/>
      <c r="D754" s="171"/>
      <c r="E754" s="173"/>
      <c r="F754" s="426" t="s">
        <v>256</v>
      </c>
      <c r="G754" s="311" t="s">
        <v>479</v>
      </c>
      <c r="H754" s="207">
        <f>500-113</f>
        <v>387</v>
      </c>
      <c r="I754" s="207">
        <v>387</v>
      </c>
      <c r="J754" s="697">
        <f t="shared" si="127"/>
        <v>100</v>
      </c>
      <c r="K754" s="248"/>
      <c r="L754" s="636"/>
      <c r="M754" s="172"/>
      <c r="N754" s="697"/>
      <c r="O754" s="248"/>
      <c r="P754" s="221">
        <f t="shared" si="128"/>
        <v>387</v>
      </c>
      <c r="Q754" s="221">
        <f t="shared" si="129"/>
        <v>387</v>
      </c>
      <c r="R754" s="704">
        <f t="shared" si="130"/>
        <v>100</v>
      </c>
    </row>
    <row r="755" spans="2:18" ht="15">
      <c r="B755" s="647">
        <f t="shared" si="115"/>
        <v>327</v>
      </c>
      <c r="C755" s="171"/>
      <c r="D755" s="658">
        <v>4</v>
      </c>
      <c r="E755" s="194" t="s">
        <v>533</v>
      </c>
      <c r="F755" s="194" t="s">
        <v>481</v>
      </c>
      <c r="G755" s="366"/>
      <c r="H755" s="232">
        <f>H756+H757+H758+H762</f>
        <v>85835</v>
      </c>
      <c r="I755" s="232">
        <f>I756+I757+I758+I762</f>
        <v>86089</v>
      </c>
      <c r="J755" s="697">
        <f t="shared" si="127"/>
        <v>100.29591658414401</v>
      </c>
      <c r="K755" s="248"/>
      <c r="L755" s="762"/>
      <c r="M755" s="763"/>
      <c r="N755" s="697"/>
      <c r="O755" s="248"/>
      <c r="P755" s="397">
        <f t="shared" si="128"/>
        <v>85835</v>
      </c>
      <c r="Q755" s="397">
        <f t="shared" si="129"/>
        <v>86089</v>
      </c>
      <c r="R755" s="704">
        <f t="shared" si="130"/>
        <v>100.29591658414401</v>
      </c>
    </row>
    <row r="756" spans="2:18" ht="12.75">
      <c r="B756" s="647">
        <f t="shared" si="115"/>
        <v>328</v>
      </c>
      <c r="C756" s="171"/>
      <c r="D756" s="171"/>
      <c r="E756" s="173"/>
      <c r="F756" s="426" t="s">
        <v>250</v>
      </c>
      <c r="G756" s="311" t="s">
        <v>291</v>
      </c>
      <c r="H756" s="207">
        <v>59567</v>
      </c>
      <c r="I756" s="207">
        <v>59567</v>
      </c>
      <c r="J756" s="697">
        <f t="shared" si="127"/>
        <v>100</v>
      </c>
      <c r="K756" s="248"/>
      <c r="L756" s="636"/>
      <c r="M756" s="172"/>
      <c r="N756" s="697"/>
      <c r="O756" s="248"/>
      <c r="P756" s="396">
        <f t="shared" si="128"/>
        <v>59567</v>
      </c>
      <c r="Q756" s="396">
        <f t="shared" si="129"/>
        <v>59567</v>
      </c>
      <c r="R756" s="704">
        <f t="shared" si="130"/>
        <v>100</v>
      </c>
    </row>
    <row r="757" spans="2:18" ht="12.75">
      <c r="B757" s="224">
        <f t="shared" si="115"/>
        <v>329</v>
      </c>
      <c r="C757" s="165"/>
      <c r="D757" s="165"/>
      <c r="E757" s="170"/>
      <c r="F757" s="188" t="s">
        <v>251</v>
      </c>
      <c r="G757" s="307" t="s">
        <v>292</v>
      </c>
      <c r="H757" s="411">
        <v>20968</v>
      </c>
      <c r="I757" s="411">
        <v>20968</v>
      </c>
      <c r="J757" s="720">
        <f t="shared" si="127"/>
        <v>100</v>
      </c>
      <c r="K757" s="168"/>
      <c r="L757" s="637"/>
      <c r="M757" s="167"/>
      <c r="N757" s="720"/>
      <c r="O757" s="168"/>
      <c r="P757" s="513">
        <f t="shared" si="128"/>
        <v>20968</v>
      </c>
      <c r="Q757" s="513">
        <f t="shared" si="129"/>
        <v>20968</v>
      </c>
      <c r="R757" s="729">
        <f t="shared" si="130"/>
        <v>100</v>
      </c>
    </row>
    <row r="758" spans="2:18" ht="12.75">
      <c r="B758" s="224">
        <f t="shared" si="115"/>
        <v>330</v>
      </c>
      <c r="C758" s="165"/>
      <c r="D758" s="165"/>
      <c r="E758" s="170"/>
      <c r="F758" s="188" t="s">
        <v>257</v>
      </c>
      <c r="G758" s="307" t="s">
        <v>428</v>
      </c>
      <c r="H758" s="207">
        <f>H761+H759+H760</f>
        <v>4800</v>
      </c>
      <c r="I758" s="207">
        <f>I761+I759+I760</f>
        <v>5054</v>
      </c>
      <c r="J758" s="697">
        <f t="shared" si="127"/>
        <v>105.29166666666667</v>
      </c>
      <c r="K758" s="168"/>
      <c r="L758" s="636"/>
      <c r="M758" s="172"/>
      <c r="N758" s="697"/>
      <c r="O758" s="168"/>
      <c r="P758" s="396">
        <f t="shared" si="128"/>
        <v>4800</v>
      </c>
      <c r="Q758" s="396">
        <f t="shared" si="129"/>
        <v>5054</v>
      </c>
      <c r="R758" s="704">
        <f t="shared" si="130"/>
        <v>105.29166666666667</v>
      </c>
    </row>
    <row r="759" spans="2:18" ht="12.75">
      <c r="B759" s="224">
        <f t="shared" si="115"/>
        <v>331</v>
      </c>
      <c r="C759" s="165"/>
      <c r="D759" s="165"/>
      <c r="E759" s="170"/>
      <c r="F759" s="166" t="s">
        <v>237</v>
      </c>
      <c r="G759" s="292" t="s">
        <v>398</v>
      </c>
      <c r="H759" s="206">
        <v>1400</v>
      </c>
      <c r="I759" s="206">
        <v>1400</v>
      </c>
      <c r="J759" s="697">
        <f t="shared" si="127"/>
        <v>100</v>
      </c>
      <c r="K759" s="168"/>
      <c r="L759" s="636"/>
      <c r="M759" s="172"/>
      <c r="N759" s="697"/>
      <c r="O759" s="168"/>
      <c r="P759" s="221">
        <f t="shared" si="128"/>
        <v>1400</v>
      </c>
      <c r="Q759" s="221">
        <f t="shared" si="129"/>
        <v>1400</v>
      </c>
      <c r="R759" s="704">
        <f t="shared" si="130"/>
        <v>100</v>
      </c>
    </row>
    <row r="760" spans="2:18" ht="12.75">
      <c r="B760" s="224">
        <f t="shared" si="115"/>
        <v>332</v>
      </c>
      <c r="C760" s="165"/>
      <c r="D760" s="165"/>
      <c r="E760" s="170"/>
      <c r="F760" s="166" t="s">
        <v>238</v>
      </c>
      <c r="G760" s="292" t="s">
        <v>294</v>
      </c>
      <c r="H760" s="206">
        <v>2000</v>
      </c>
      <c r="I760" s="206">
        <v>2254</v>
      </c>
      <c r="J760" s="697">
        <f t="shared" si="127"/>
        <v>112.7</v>
      </c>
      <c r="K760" s="168"/>
      <c r="L760" s="636"/>
      <c r="M760" s="172"/>
      <c r="N760" s="697"/>
      <c r="O760" s="168"/>
      <c r="P760" s="221">
        <f t="shared" si="128"/>
        <v>2000</v>
      </c>
      <c r="Q760" s="221">
        <f t="shared" si="129"/>
        <v>2254</v>
      </c>
      <c r="R760" s="704">
        <f t="shared" si="130"/>
        <v>112.7</v>
      </c>
    </row>
    <row r="761" spans="2:18" ht="12.75">
      <c r="B761" s="224">
        <f t="shared" si="115"/>
        <v>333</v>
      </c>
      <c r="C761" s="165"/>
      <c r="D761" s="165"/>
      <c r="E761" s="170"/>
      <c r="F761" s="166" t="s">
        <v>255</v>
      </c>
      <c r="G761" s="292" t="s">
        <v>295</v>
      </c>
      <c r="H761" s="206">
        <v>1400</v>
      </c>
      <c r="I761" s="206">
        <v>1400</v>
      </c>
      <c r="J761" s="697">
        <f t="shared" si="127"/>
        <v>100</v>
      </c>
      <c r="K761" s="168"/>
      <c r="L761" s="636"/>
      <c r="M761" s="172"/>
      <c r="N761" s="697"/>
      <c r="O761" s="168"/>
      <c r="P761" s="221">
        <f t="shared" si="128"/>
        <v>1400</v>
      </c>
      <c r="Q761" s="221">
        <f t="shared" si="129"/>
        <v>1400</v>
      </c>
      <c r="R761" s="704">
        <f t="shared" si="130"/>
        <v>100</v>
      </c>
    </row>
    <row r="762" spans="2:18" ht="12.75">
      <c r="B762" s="224">
        <f t="shared" si="115"/>
        <v>334</v>
      </c>
      <c r="C762" s="165"/>
      <c r="D762" s="165"/>
      <c r="E762" s="170"/>
      <c r="F762" s="188" t="s">
        <v>686</v>
      </c>
      <c r="G762" s="307" t="s">
        <v>479</v>
      </c>
      <c r="H762" s="207">
        <v>500</v>
      </c>
      <c r="I762" s="207">
        <v>500</v>
      </c>
      <c r="J762" s="697">
        <f t="shared" si="127"/>
        <v>100</v>
      </c>
      <c r="K762" s="191"/>
      <c r="L762" s="728"/>
      <c r="M762" s="190"/>
      <c r="N762" s="697"/>
      <c r="O762" s="191"/>
      <c r="P762" s="396">
        <f t="shared" si="128"/>
        <v>500</v>
      </c>
      <c r="Q762" s="396">
        <f t="shared" si="129"/>
        <v>500</v>
      </c>
      <c r="R762" s="704">
        <f t="shared" si="130"/>
        <v>100</v>
      </c>
    </row>
    <row r="763" spans="2:18" ht="12.75">
      <c r="B763" s="224">
        <f t="shared" si="115"/>
        <v>335</v>
      </c>
      <c r="C763" s="165"/>
      <c r="D763" s="165"/>
      <c r="E763" s="170"/>
      <c r="F763" s="170"/>
      <c r="G763" s="307"/>
      <c r="H763" s="206"/>
      <c r="I763" s="206"/>
      <c r="J763" s="697"/>
      <c r="K763" s="168"/>
      <c r="L763" s="636"/>
      <c r="M763" s="172"/>
      <c r="N763" s="697"/>
      <c r="O763" s="168"/>
      <c r="P763" s="221"/>
      <c r="Q763" s="221"/>
      <c r="R763" s="704"/>
    </row>
    <row r="764" spans="2:18" ht="15">
      <c r="B764" s="224">
        <f t="shared" si="115"/>
        <v>336</v>
      </c>
      <c r="C764" s="165"/>
      <c r="D764" s="399">
        <v>5</v>
      </c>
      <c r="E764" s="194" t="s">
        <v>533</v>
      </c>
      <c r="F764" s="194" t="s">
        <v>482</v>
      </c>
      <c r="G764" s="366"/>
      <c r="H764" s="232">
        <f>H765+H766+H767+H771</f>
        <v>49034</v>
      </c>
      <c r="I764" s="232">
        <f>I765+I766+I767+I771</f>
        <v>49034</v>
      </c>
      <c r="J764" s="697">
        <f aca="true" t="shared" si="131" ref="J764:J770">I764/H764*100</f>
        <v>100</v>
      </c>
      <c r="K764" s="168"/>
      <c r="L764" s="762"/>
      <c r="M764" s="763"/>
      <c r="N764" s="697"/>
      <c r="O764" s="168"/>
      <c r="P764" s="397">
        <f aca="true" t="shared" si="132" ref="P764:P771">H764+L764</f>
        <v>49034</v>
      </c>
      <c r="Q764" s="397">
        <f aca="true" t="shared" si="133" ref="Q764:Q771">M764+I764</f>
        <v>49034</v>
      </c>
      <c r="R764" s="704">
        <f aca="true" t="shared" si="134" ref="R764:R770">Q764/P764*100</f>
        <v>100</v>
      </c>
    </row>
    <row r="765" spans="2:18" ht="12.75">
      <c r="B765" s="224">
        <f t="shared" si="115"/>
        <v>337</v>
      </c>
      <c r="C765" s="165"/>
      <c r="D765" s="165"/>
      <c r="E765" s="170"/>
      <c r="F765" s="188" t="s">
        <v>250</v>
      </c>
      <c r="G765" s="307" t="s">
        <v>291</v>
      </c>
      <c r="H765" s="207">
        <v>35114</v>
      </c>
      <c r="I765" s="207">
        <v>34989</v>
      </c>
      <c r="J765" s="697">
        <f t="shared" si="131"/>
        <v>99.64401663154298</v>
      </c>
      <c r="K765" s="168"/>
      <c r="L765" s="636"/>
      <c r="M765" s="172"/>
      <c r="N765" s="697"/>
      <c r="O765" s="168"/>
      <c r="P765" s="396">
        <f t="shared" si="132"/>
        <v>35114</v>
      </c>
      <c r="Q765" s="396">
        <f t="shared" si="133"/>
        <v>34989</v>
      </c>
      <c r="R765" s="704">
        <f t="shared" si="134"/>
        <v>99.64401663154298</v>
      </c>
    </row>
    <row r="766" spans="2:18" ht="12.75">
      <c r="B766" s="224">
        <f t="shared" si="115"/>
        <v>338</v>
      </c>
      <c r="C766" s="165"/>
      <c r="D766" s="165"/>
      <c r="E766" s="170"/>
      <c r="F766" s="188" t="s">
        <v>251</v>
      </c>
      <c r="G766" s="307" t="s">
        <v>292</v>
      </c>
      <c r="H766" s="207">
        <v>12290</v>
      </c>
      <c r="I766" s="207">
        <v>12500</v>
      </c>
      <c r="J766" s="697">
        <f t="shared" si="131"/>
        <v>101.7087062652563</v>
      </c>
      <c r="K766" s="168"/>
      <c r="L766" s="636"/>
      <c r="M766" s="172"/>
      <c r="N766" s="697"/>
      <c r="O766" s="168"/>
      <c r="P766" s="396">
        <f t="shared" si="132"/>
        <v>12290</v>
      </c>
      <c r="Q766" s="396">
        <f t="shared" si="133"/>
        <v>12500</v>
      </c>
      <c r="R766" s="704">
        <f t="shared" si="134"/>
        <v>101.7087062652563</v>
      </c>
    </row>
    <row r="767" spans="2:18" ht="12.75">
      <c r="B767" s="224">
        <f t="shared" si="115"/>
        <v>339</v>
      </c>
      <c r="C767" s="165"/>
      <c r="D767" s="165"/>
      <c r="E767" s="170"/>
      <c r="F767" s="188" t="s">
        <v>257</v>
      </c>
      <c r="G767" s="307" t="s">
        <v>428</v>
      </c>
      <c r="H767" s="207">
        <f>H768+H769+H770</f>
        <v>1630</v>
      </c>
      <c r="I767" s="207">
        <f>I768+I769+I770</f>
        <v>1545</v>
      </c>
      <c r="J767" s="697">
        <f t="shared" si="131"/>
        <v>94.78527607361963</v>
      </c>
      <c r="K767" s="168"/>
      <c r="L767" s="636"/>
      <c r="M767" s="172"/>
      <c r="N767" s="697"/>
      <c r="O767" s="168"/>
      <c r="P767" s="396">
        <f t="shared" si="132"/>
        <v>1630</v>
      </c>
      <c r="Q767" s="396">
        <f t="shared" si="133"/>
        <v>1545</v>
      </c>
      <c r="R767" s="704">
        <f t="shared" si="134"/>
        <v>94.78527607361963</v>
      </c>
    </row>
    <row r="768" spans="2:18" ht="12.75">
      <c r="B768" s="224">
        <f t="shared" si="115"/>
        <v>340</v>
      </c>
      <c r="C768" s="165"/>
      <c r="D768" s="165"/>
      <c r="E768" s="170"/>
      <c r="F768" s="166" t="s">
        <v>237</v>
      </c>
      <c r="G768" s="292" t="s">
        <v>398</v>
      </c>
      <c r="H768" s="206">
        <f>620-470</f>
        <v>150</v>
      </c>
      <c r="I768" s="206">
        <v>155</v>
      </c>
      <c r="J768" s="697">
        <f t="shared" si="131"/>
        <v>103.33333333333334</v>
      </c>
      <c r="K768" s="168"/>
      <c r="L768" s="636"/>
      <c r="M768" s="172"/>
      <c r="N768" s="697"/>
      <c r="O768" s="168"/>
      <c r="P768" s="221">
        <f t="shared" si="132"/>
        <v>150</v>
      </c>
      <c r="Q768" s="221">
        <f t="shared" si="133"/>
        <v>155</v>
      </c>
      <c r="R768" s="704">
        <f t="shared" si="134"/>
        <v>103.33333333333334</v>
      </c>
    </row>
    <row r="769" spans="2:18" ht="12.75">
      <c r="B769" s="224">
        <f t="shared" si="115"/>
        <v>341</v>
      </c>
      <c r="C769" s="165"/>
      <c r="D769" s="165"/>
      <c r="E769" s="170"/>
      <c r="F769" s="166" t="s">
        <v>238</v>
      </c>
      <c r="G769" s="292" t="s">
        <v>294</v>
      </c>
      <c r="H769" s="206">
        <f>210+470</f>
        <v>680</v>
      </c>
      <c r="I769" s="206">
        <v>678</v>
      </c>
      <c r="J769" s="697">
        <f t="shared" si="131"/>
        <v>99.70588235294117</v>
      </c>
      <c r="K769" s="168"/>
      <c r="L769" s="636"/>
      <c r="M769" s="172"/>
      <c r="N769" s="697"/>
      <c r="O769" s="168"/>
      <c r="P769" s="221">
        <f t="shared" si="132"/>
        <v>680</v>
      </c>
      <c r="Q769" s="221">
        <f t="shared" si="133"/>
        <v>678</v>
      </c>
      <c r="R769" s="704">
        <f t="shared" si="134"/>
        <v>99.70588235294117</v>
      </c>
    </row>
    <row r="770" spans="2:18" ht="12.75">
      <c r="B770" s="224">
        <f t="shared" si="115"/>
        <v>342</v>
      </c>
      <c r="C770" s="165"/>
      <c r="D770" s="165"/>
      <c r="E770" s="170"/>
      <c r="F770" s="166" t="s">
        <v>255</v>
      </c>
      <c r="G770" s="292" t="s">
        <v>295</v>
      </c>
      <c r="H770" s="206">
        <f>700+100</f>
        <v>800</v>
      </c>
      <c r="I770" s="206">
        <v>712</v>
      </c>
      <c r="J770" s="697">
        <f t="shared" si="131"/>
        <v>89</v>
      </c>
      <c r="K770" s="168"/>
      <c r="L770" s="636"/>
      <c r="M770" s="172"/>
      <c r="N770" s="697"/>
      <c r="O770" s="168"/>
      <c r="P770" s="221">
        <f t="shared" si="132"/>
        <v>800</v>
      </c>
      <c r="Q770" s="221">
        <f t="shared" si="133"/>
        <v>712</v>
      </c>
      <c r="R770" s="704">
        <f t="shared" si="134"/>
        <v>89</v>
      </c>
    </row>
    <row r="771" spans="2:18" ht="12.75">
      <c r="B771" s="224">
        <f t="shared" si="115"/>
        <v>343</v>
      </c>
      <c r="C771" s="165"/>
      <c r="D771" s="165"/>
      <c r="E771" s="170"/>
      <c r="F771" s="188" t="s">
        <v>256</v>
      </c>
      <c r="G771" s="307" t="s">
        <v>479</v>
      </c>
      <c r="H771" s="207">
        <v>0</v>
      </c>
      <c r="I771" s="207">
        <v>0</v>
      </c>
      <c r="J771" s="697"/>
      <c r="K771" s="168"/>
      <c r="L771" s="636"/>
      <c r="M771" s="172"/>
      <c r="N771" s="697"/>
      <c r="O771" s="168"/>
      <c r="P771" s="396">
        <f t="shared" si="132"/>
        <v>0</v>
      </c>
      <c r="Q771" s="396">
        <f t="shared" si="133"/>
        <v>0</v>
      </c>
      <c r="R771" s="704"/>
    </row>
    <row r="772" spans="2:18" ht="12.75">
      <c r="B772" s="224">
        <f t="shared" si="115"/>
        <v>344</v>
      </c>
      <c r="C772" s="165"/>
      <c r="D772" s="165"/>
      <c r="E772" s="170"/>
      <c r="F772" s="170"/>
      <c r="G772" s="307"/>
      <c r="H772" s="206"/>
      <c r="I772" s="206"/>
      <c r="J772" s="697"/>
      <c r="K772" s="168"/>
      <c r="L772" s="636"/>
      <c r="M772" s="172"/>
      <c r="N772" s="697"/>
      <c r="O772" s="168"/>
      <c r="P772" s="221"/>
      <c r="Q772" s="221"/>
      <c r="R772" s="704"/>
    </row>
    <row r="773" spans="2:18" ht="15">
      <c r="B773" s="224">
        <f t="shared" si="115"/>
        <v>345</v>
      </c>
      <c r="C773" s="165"/>
      <c r="D773" s="399">
        <v>6</v>
      </c>
      <c r="E773" s="194" t="s">
        <v>533</v>
      </c>
      <c r="F773" s="194" t="s">
        <v>483</v>
      </c>
      <c r="G773" s="366"/>
      <c r="H773" s="232">
        <f>H774+H775+H776+H781</f>
        <v>43425</v>
      </c>
      <c r="I773" s="232">
        <f>I774+I775+I776+I781+I782</f>
        <v>44408</v>
      </c>
      <c r="J773" s="697">
        <f aca="true" t="shared" si="135" ref="J773:J778">I773/H773*100</f>
        <v>102.26367299942429</v>
      </c>
      <c r="K773" s="168"/>
      <c r="L773" s="762"/>
      <c r="M773" s="763"/>
      <c r="N773" s="697"/>
      <c r="O773" s="168"/>
      <c r="P773" s="397">
        <f aca="true" t="shared" si="136" ref="P773:P778">H773+L773</f>
        <v>43425</v>
      </c>
      <c r="Q773" s="397">
        <f aca="true" t="shared" si="137" ref="Q773:Q782">M773+I773</f>
        <v>44408</v>
      </c>
      <c r="R773" s="704">
        <f aca="true" t="shared" si="138" ref="R773:R778">Q773/P773*100</f>
        <v>102.26367299942429</v>
      </c>
    </row>
    <row r="774" spans="2:18" ht="12.75">
      <c r="B774" s="224">
        <f aca="true" t="shared" si="139" ref="B774:B837">B773+1</f>
        <v>346</v>
      </c>
      <c r="C774" s="165"/>
      <c r="D774" s="165"/>
      <c r="E774" s="170"/>
      <c r="F774" s="188" t="s">
        <v>250</v>
      </c>
      <c r="G774" s="307" t="s">
        <v>291</v>
      </c>
      <c r="H774" s="207">
        <v>28535</v>
      </c>
      <c r="I774" s="207">
        <v>27821</v>
      </c>
      <c r="J774" s="697">
        <f t="shared" si="135"/>
        <v>97.4978097073769</v>
      </c>
      <c r="K774" s="168"/>
      <c r="L774" s="636"/>
      <c r="M774" s="172"/>
      <c r="N774" s="697"/>
      <c r="O774" s="168"/>
      <c r="P774" s="396">
        <f t="shared" si="136"/>
        <v>28535</v>
      </c>
      <c r="Q774" s="396">
        <f t="shared" si="137"/>
        <v>27821</v>
      </c>
      <c r="R774" s="704">
        <f t="shared" si="138"/>
        <v>97.4978097073769</v>
      </c>
    </row>
    <row r="775" spans="2:18" ht="12.75">
      <c r="B775" s="224">
        <f t="shared" si="139"/>
        <v>347</v>
      </c>
      <c r="C775" s="165"/>
      <c r="D775" s="165"/>
      <c r="E775" s="170"/>
      <c r="F775" s="188" t="s">
        <v>251</v>
      </c>
      <c r="G775" s="307" t="s">
        <v>292</v>
      </c>
      <c r="H775" s="207">
        <f>10049-815</f>
        <v>9234</v>
      </c>
      <c r="I775" s="207">
        <v>9948</v>
      </c>
      <c r="J775" s="697">
        <f t="shared" si="135"/>
        <v>107.73229369720599</v>
      </c>
      <c r="K775" s="168"/>
      <c r="L775" s="636"/>
      <c r="M775" s="172"/>
      <c r="N775" s="697"/>
      <c r="O775" s="168"/>
      <c r="P775" s="396">
        <f t="shared" si="136"/>
        <v>9234</v>
      </c>
      <c r="Q775" s="396">
        <f t="shared" si="137"/>
        <v>9948</v>
      </c>
      <c r="R775" s="704">
        <f t="shared" si="138"/>
        <v>107.73229369720599</v>
      </c>
    </row>
    <row r="776" spans="2:18" ht="12.75">
      <c r="B776" s="224">
        <f t="shared" si="139"/>
        <v>348</v>
      </c>
      <c r="C776" s="165"/>
      <c r="D776" s="165"/>
      <c r="E776" s="170"/>
      <c r="F776" s="188" t="s">
        <v>257</v>
      </c>
      <c r="G776" s="307" t="s">
        <v>428</v>
      </c>
      <c r="H776" s="207">
        <f>H777+H778+H780</f>
        <v>5598</v>
      </c>
      <c r="I776" s="207">
        <f>SUM(I777:I780)</f>
        <v>6473</v>
      </c>
      <c r="J776" s="697">
        <f t="shared" si="135"/>
        <v>115.63058235083959</v>
      </c>
      <c r="K776" s="168"/>
      <c r="L776" s="636"/>
      <c r="M776" s="172"/>
      <c r="N776" s="697"/>
      <c r="O776" s="168"/>
      <c r="P776" s="396">
        <f t="shared" si="136"/>
        <v>5598</v>
      </c>
      <c r="Q776" s="396">
        <f t="shared" si="137"/>
        <v>6473</v>
      </c>
      <c r="R776" s="704">
        <f t="shared" si="138"/>
        <v>115.63058235083959</v>
      </c>
    </row>
    <row r="777" spans="2:18" ht="12.75">
      <c r="B777" s="224">
        <f t="shared" si="139"/>
        <v>349</v>
      </c>
      <c r="C777" s="165"/>
      <c r="D777" s="165"/>
      <c r="E777" s="170"/>
      <c r="F777" s="166" t="s">
        <v>237</v>
      </c>
      <c r="G777" s="292" t="s">
        <v>398</v>
      </c>
      <c r="H777" s="206">
        <f>1950+2000+715</f>
        <v>4665</v>
      </c>
      <c r="I777" s="206">
        <v>5436</v>
      </c>
      <c r="J777" s="697">
        <f t="shared" si="135"/>
        <v>116.52733118971061</v>
      </c>
      <c r="K777" s="168"/>
      <c r="L777" s="636"/>
      <c r="M777" s="172"/>
      <c r="N777" s="697"/>
      <c r="O777" s="168"/>
      <c r="P777" s="221">
        <f t="shared" si="136"/>
        <v>4665</v>
      </c>
      <c r="Q777" s="221">
        <f t="shared" si="137"/>
        <v>5436</v>
      </c>
      <c r="R777" s="704">
        <f t="shared" si="138"/>
        <v>116.52733118971061</v>
      </c>
    </row>
    <row r="778" spans="2:18" ht="12.75">
      <c r="B778" s="224">
        <f t="shared" si="139"/>
        <v>350</v>
      </c>
      <c r="C778" s="165"/>
      <c r="D778" s="165"/>
      <c r="E778" s="170"/>
      <c r="F778" s="166" t="s">
        <v>238</v>
      </c>
      <c r="G778" s="292" t="s">
        <v>294</v>
      </c>
      <c r="H778" s="206">
        <v>100</v>
      </c>
      <c r="I778" s="206">
        <v>157</v>
      </c>
      <c r="J778" s="697">
        <f t="shared" si="135"/>
        <v>157</v>
      </c>
      <c r="K778" s="168"/>
      <c r="L778" s="636"/>
      <c r="M778" s="172"/>
      <c r="N778" s="697"/>
      <c r="O778" s="168"/>
      <c r="P778" s="221">
        <f t="shared" si="136"/>
        <v>100</v>
      </c>
      <c r="Q778" s="221">
        <f t="shared" si="137"/>
        <v>157</v>
      </c>
      <c r="R778" s="704">
        <f t="shared" si="138"/>
        <v>157</v>
      </c>
    </row>
    <row r="779" spans="2:18" ht="12.75">
      <c r="B779" s="224">
        <f t="shared" si="139"/>
        <v>351</v>
      </c>
      <c r="C779" s="165"/>
      <c r="D779" s="165"/>
      <c r="E779" s="170"/>
      <c r="F779" s="166" t="s">
        <v>253</v>
      </c>
      <c r="G779" s="292" t="s">
        <v>311</v>
      </c>
      <c r="H779" s="206"/>
      <c r="I779" s="206">
        <v>47</v>
      </c>
      <c r="J779" s="697"/>
      <c r="K779" s="168"/>
      <c r="L779" s="636"/>
      <c r="M779" s="172"/>
      <c r="N779" s="697"/>
      <c r="O779" s="168"/>
      <c r="P779" s="221"/>
      <c r="Q779" s="221">
        <f t="shared" si="137"/>
        <v>47</v>
      </c>
      <c r="R779" s="704"/>
    </row>
    <row r="780" spans="2:18" ht="12.75">
      <c r="B780" s="224">
        <f t="shared" si="139"/>
        <v>352</v>
      </c>
      <c r="C780" s="165"/>
      <c r="D780" s="165"/>
      <c r="E780" s="170"/>
      <c r="F780" s="166" t="s">
        <v>255</v>
      </c>
      <c r="G780" s="292" t="s">
        <v>295</v>
      </c>
      <c r="H780" s="206">
        <f>733+100</f>
        <v>833</v>
      </c>
      <c r="I780" s="206">
        <v>833</v>
      </c>
      <c r="J780" s="697">
        <f>I780/H780*100</f>
        <v>100</v>
      </c>
      <c r="K780" s="168"/>
      <c r="L780" s="636"/>
      <c r="M780" s="172"/>
      <c r="N780" s="697"/>
      <c r="O780" s="168"/>
      <c r="P780" s="221">
        <f>H780+L780</f>
        <v>833</v>
      </c>
      <c r="Q780" s="221">
        <f t="shared" si="137"/>
        <v>833</v>
      </c>
      <c r="R780" s="704">
        <f>Q780/P780*100</f>
        <v>100</v>
      </c>
    </row>
    <row r="781" spans="2:18" ht="12.75">
      <c r="B781" s="224">
        <f t="shared" si="139"/>
        <v>353</v>
      </c>
      <c r="C781" s="165"/>
      <c r="D781" s="165"/>
      <c r="E781" s="170"/>
      <c r="F781" s="188" t="s">
        <v>256</v>
      </c>
      <c r="G781" s="307" t="s">
        <v>479</v>
      </c>
      <c r="H781" s="207">
        <v>58</v>
      </c>
      <c r="I781" s="207">
        <v>58</v>
      </c>
      <c r="J781" s="697">
        <f>I781/H781*100</f>
        <v>100</v>
      </c>
      <c r="K781" s="168"/>
      <c r="L781" s="636"/>
      <c r="M781" s="172"/>
      <c r="N781" s="697"/>
      <c r="O781" s="168"/>
      <c r="P781" s="396">
        <f>H781+L781</f>
        <v>58</v>
      </c>
      <c r="Q781" s="396">
        <f t="shared" si="137"/>
        <v>58</v>
      </c>
      <c r="R781" s="704">
        <f>Q781/P781*100</f>
        <v>100</v>
      </c>
    </row>
    <row r="782" spans="2:18" ht="12.75">
      <c r="B782" s="224">
        <f t="shared" si="139"/>
        <v>354</v>
      </c>
      <c r="C782" s="165"/>
      <c r="D782" s="165"/>
      <c r="E782" s="170"/>
      <c r="F782" s="188" t="s">
        <v>257</v>
      </c>
      <c r="G782" s="307" t="s">
        <v>296</v>
      </c>
      <c r="H782" s="207"/>
      <c r="I782" s="207">
        <v>108</v>
      </c>
      <c r="J782" s="697"/>
      <c r="K782" s="168"/>
      <c r="L782" s="636"/>
      <c r="M782" s="172"/>
      <c r="N782" s="697"/>
      <c r="O782" s="168"/>
      <c r="P782" s="396"/>
      <c r="Q782" s="396">
        <f t="shared" si="137"/>
        <v>108</v>
      </c>
      <c r="R782" s="704"/>
    </row>
    <row r="783" spans="2:18" ht="12.75">
      <c r="B783" s="224">
        <f t="shared" si="139"/>
        <v>355</v>
      </c>
      <c r="C783" s="165"/>
      <c r="D783" s="165"/>
      <c r="E783" s="170"/>
      <c r="F783" s="170"/>
      <c r="G783" s="307"/>
      <c r="H783" s="206"/>
      <c r="I783" s="206"/>
      <c r="J783" s="697"/>
      <c r="K783" s="168"/>
      <c r="L783" s="636"/>
      <c r="M783" s="172"/>
      <c r="N783" s="697"/>
      <c r="O783" s="168"/>
      <c r="P783" s="221"/>
      <c r="Q783" s="221"/>
      <c r="R783" s="704"/>
    </row>
    <row r="784" spans="2:18" ht="15">
      <c r="B784" s="224">
        <f t="shared" si="139"/>
        <v>356</v>
      </c>
      <c r="C784" s="165"/>
      <c r="D784" s="399">
        <v>7</v>
      </c>
      <c r="E784" s="194" t="s">
        <v>533</v>
      </c>
      <c r="F784" s="194" t="s">
        <v>484</v>
      </c>
      <c r="G784" s="366"/>
      <c r="H784" s="232">
        <f>H785+H786+H787</f>
        <v>38561</v>
      </c>
      <c r="I784" s="232">
        <f>I785+I786+I787</f>
        <v>39678</v>
      </c>
      <c r="J784" s="697">
        <f aca="true" t="shared" si="140" ref="J784:J790">I784/H784*100</f>
        <v>102.89670911024092</v>
      </c>
      <c r="K784" s="168"/>
      <c r="L784" s="762"/>
      <c r="M784" s="763"/>
      <c r="N784" s="697"/>
      <c r="O784" s="168"/>
      <c r="P784" s="397">
        <f aca="true" t="shared" si="141" ref="P784:P790">H784+L784</f>
        <v>38561</v>
      </c>
      <c r="Q784" s="397">
        <f aca="true" t="shared" si="142" ref="Q784:Q790">M784+I784</f>
        <v>39678</v>
      </c>
      <c r="R784" s="704">
        <f aca="true" t="shared" si="143" ref="R784:R790">Q784/P784*100</f>
        <v>102.89670911024092</v>
      </c>
    </row>
    <row r="785" spans="2:18" ht="12.75">
      <c r="B785" s="224">
        <f t="shared" si="139"/>
        <v>357</v>
      </c>
      <c r="C785" s="165"/>
      <c r="D785" s="165"/>
      <c r="E785" s="170"/>
      <c r="F785" s="188" t="s">
        <v>250</v>
      </c>
      <c r="G785" s="307" t="s">
        <v>291</v>
      </c>
      <c r="H785" s="207">
        <v>20464</v>
      </c>
      <c r="I785" s="207">
        <v>20454</v>
      </c>
      <c r="J785" s="697">
        <f t="shared" si="140"/>
        <v>99.95113369820172</v>
      </c>
      <c r="K785" s="168"/>
      <c r="L785" s="636"/>
      <c r="M785" s="172"/>
      <c r="N785" s="697"/>
      <c r="O785" s="168"/>
      <c r="P785" s="396">
        <f t="shared" si="141"/>
        <v>20464</v>
      </c>
      <c r="Q785" s="396">
        <f t="shared" si="142"/>
        <v>20454</v>
      </c>
      <c r="R785" s="704">
        <f t="shared" si="143"/>
        <v>99.95113369820172</v>
      </c>
    </row>
    <row r="786" spans="2:18" ht="12.75">
      <c r="B786" s="224">
        <f t="shared" si="139"/>
        <v>358</v>
      </c>
      <c r="C786" s="165"/>
      <c r="D786" s="165"/>
      <c r="E786" s="170"/>
      <c r="F786" s="188" t="s">
        <v>251</v>
      </c>
      <c r="G786" s="307" t="s">
        <v>292</v>
      </c>
      <c r="H786" s="207">
        <v>7172</v>
      </c>
      <c r="I786" s="207">
        <v>7182</v>
      </c>
      <c r="J786" s="697">
        <f t="shared" si="140"/>
        <v>100.1394311210262</v>
      </c>
      <c r="K786" s="168"/>
      <c r="L786" s="636"/>
      <c r="M786" s="172"/>
      <c r="N786" s="697"/>
      <c r="O786" s="168"/>
      <c r="P786" s="396">
        <f t="shared" si="141"/>
        <v>7172</v>
      </c>
      <c r="Q786" s="396">
        <f t="shared" si="142"/>
        <v>7182</v>
      </c>
      <c r="R786" s="704">
        <f t="shared" si="143"/>
        <v>100.1394311210262</v>
      </c>
    </row>
    <row r="787" spans="2:18" ht="12.75">
      <c r="B787" s="224">
        <f t="shared" si="139"/>
        <v>359</v>
      </c>
      <c r="C787" s="165"/>
      <c r="D787" s="165"/>
      <c r="E787" s="170"/>
      <c r="F787" s="188" t="s">
        <v>257</v>
      </c>
      <c r="G787" s="307" t="s">
        <v>428</v>
      </c>
      <c r="H787" s="207">
        <f>H788+H789+H790</f>
        <v>10925</v>
      </c>
      <c r="I787" s="207">
        <f>I788+I789+I790</f>
        <v>12042</v>
      </c>
      <c r="J787" s="697">
        <f t="shared" si="140"/>
        <v>110.22425629290618</v>
      </c>
      <c r="K787" s="168"/>
      <c r="L787" s="636"/>
      <c r="M787" s="172"/>
      <c r="N787" s="697"/>
      <c r="O787" s="168"/>
      <c r="P787" s="396">
        <f t="shared" si="141"/>
        <v>10925</v>
      </c>
      <c r="Q787" s="396">
        <f t="shared" si="142"/>
        <v>12042</v>
      </c>
      <c r="R787" s="704">
        <f t="shared" si="143"/>
        <v>110.22425629290618</v>
      </c>
    </row>
    <row r="788" spans="2:18" ht="12.75">
      <c r="B788" s="224">
        <f t="shared" si="139"/>
        <v>360</v>
      </c>
      <c r="C788" s="165"/>
      <c r="D788" s="165"/>
      <c r="E788" s="170"/>
      <c r="F788" s="166" t="s">
        <v>237</v>
      </c>
      <c r="G788" s="292" t="s">
        <v>398</v>
      </c>
      <c r="H788" s="206">
        <v>8955</v>
      </c>
      <c r="I788" s="206">
        <v>8955</v>
      </c>
      <c r="J788" s="697">
        <f t="shared" si="140"/>
        <v>100</v>
      </c>
      <c r="K788" s="168"/>
      <c r="L788" s="636"/>
      <c r="M788" s="172"/>
      <c r="N788" s="697"/>
      <c r="O788" s="168"/>
      <c r="P788" s="221">
        <f t="shared" si="141"/>
        <v>8955</v>
      </c>
      <c r="Q788" s="221">
        <f t="shared" si="142"/>
        <v>8955</v>
      </c>
      <c r="R788" s="704">
        <f t="shared" si="143"/>
        <v>100</v>
      </c>
    </row>
    <row r="789" spans="2:18" ht="12.75">
      <c r="B789" s="224">
        <f t="shared" si="139"/>
        <v>361</v>
      </c>
      <c r="C789" s="165"/>
      <c r="D789" s="165"/>
      <c r="E789" s="170"/>
      <c r="F789" s="166" t="s">
        <v>238</v>
      </c>
      <c r="G789" s="292" t="s">
        <v>294</v>
      </c>
      <c r="H789" s="206">
        <v>570</v>
      </c>
      <c r="I789" s="206">
        <f>570+1117</f>
        <v>1687</v>
      </c>
      <c r="J789" s="697">
        <f t="shared" si="140"/>
        <v>295.96491228070175</v>
      </c>
      <c r="K789" s="168"/>
      <c r="L789" s="636"/>
      <c r="M789" s="172"/>
      <c r="N789" s="697"/>
      <c r="O789" s="168"/>
      <c r="P789" s="221">
        <f t="shared" si="141"/>
        <v>570</v>
      </c>
      <c r="Q789" s="221">
        <f t="shared" si="142"/>
        <v>1687</v>
      </c>
      <c r="R789" s="704">
        <f t="shared" si="143"/>
        <v>295.96491228070175</v>
      </c>
    </row>
    <row r="790" spans="2:18" ht="12.75">
      <c r="B790" s="224">
        <f t="shared" si="139"/>
        <v>362</v>
      </c>
      <c r="C790" s="165"/>
      <c r="D790" s="165"/>
      <c r="E790" s="170"/>
      <c r="F790" s="166" t="s">
        <v>255</v>
      </c>
      <c r="G790" s="292" t="s">
        <v>295</v>
      </c>
      <c r="H790" s="206">
        <v>1400</v>
      </c>
      <c r="I790" s="206">
        <v>1400</v>
      </c>
      <c r="J790" s="697">
        <f t="shared" si="140"/>
        <v>100</v>
      </c>
      <c r="K790" s="168"/>
      <c r="L790" s="636"/>
      <c r="M790" s="172"/>
      <c r="N790" s="697"/>
      <c r="O790" s="168"/>
      <c r="P790" s="221">
        <f t="shared" si="141"/>
        <v>1400</v>
      </c>
      <c r="Q790" s="221">
        <f t="shared" si="142"/>
        <v>1400</v>
      </c>
      <c r="R790" s="704">
        <f t="shared" si="143"/>
        <v>100</v>
      </c>
    </row>
    <row r="791" spans="2:18" ht="12.75">
      <c r="B791" s="224">
        <f t="shared" si="139"/>
        <v>363</v>
      </c>
      <c r="C791" s="165"/>
      <c r="D791" s="165"/>
      <c r="E791" s="170"/>
      <c r="F791" s="170"/>
      <c r="G791" s="307"/>
      <c r="H791" s="206"/>
      <c r="I791" s="206"/>
      <c r="J791" s="697"/>
      <c r="K791" s="168"/>
      <c r="L791" s="636"/>
      <c r="M791" s="172"/>
      <c r="N791" s="697"/>
      <c r="O791" s="168"/>
      <c r="P791" s="221"/>
      <c r="Q791" s="221"/>
      <c r="R791" s="704"/>
    </row>
    <row r="792" spans="2:18" ht="15">
      <c r="B792" s="224">
        <f t="shared" si="139"/>
        <v>364</v>
      </c>
      <c r="C792" s="165"/>
      <c r="D792" s="399">
        <v>8</v>
      </c>
      <c r="E792" s="194" t="s">
        <v>533</v>
      </c>
      <c r="F792" s="194" t="s">
        <v>485</v>
      </c>
      <c r="G792" s="366"/>
      <c r="H792" s="232">
        <f>H793+H794+H795+H799</f>
        <v>76810</v>
      </c>
      <c r="I792" s="232">
        <f>I793+I794+I795+I799</f>
        <v>76810</v>
      </c>
      <c r="J792" s="697">
        <f aca="true" t="shared" si="144" ref="J792:J799">I792/H792*100</f>
        <v>100</v>
      </c>
      <c r="K792" s="168"/>
      <c r="L792" s="762"/>
      <c r="M792" s="763"/>
      <c r="N792" s="697"/>
      <c r="O792" s="168"/>
      <c r="P792" s="397">
        <f aca="true" t="shared" si="145" ref="P792:P799">H792+L792</f>
        <v>76810</v>
      </c>
      <c r="Q792" s="397">
        <f aca="true" t="shared" si="146" ref="Q792:Q799">M792+I792</f>
        <v>76810</v>
      </c>
      <c r="R792" s="704">
        <f aca="true" t="shared" si="147" ref="R792:R799">Q792/P792*100</f>
        <v>100</v>
      </c>
    </row>
    <row r="793" spans="2:18" ht="12.75">
      <c r="B793" s="224">
        <f t="shared" si="139"/>
        <v>365</v>
      </c>
      <c r="C793" s="165"/>
      <c r="D793" s="165"/>
      <c r="E793" s="170"/>
      <c r="F793" s="188" t="s">
        <v>250</v>
      </c>
      <c r="G793" s="307" t="s">
        <v>291</v>
      </c>
      <c r="H793" s="207">
        <v>49600</v>
      </c>
      <c r="I793" s="207">
        <v>49600</v>
      </c>
      <c r="J793" s="697">
        <f t="shared" si="144"/>
        <v>100</v>
      </c>
      <c r="K793" s="168"/>
      <c r="L793" s="636"/>
      <c r="M793" s="172"/>
      <c r="N793" s="697"/>
      <c r="O793" s="168"/>
      <c r="P793" s="396">
        <f t="shared" si="145"/>
        <v>49600</v>
      </c>
      <c r="Q793" s="396">
        <f t="shared" si="146"/>
        <v>49600</v>
      </c>
      <c r="R793" s="704">
        <f t="shared" si="147"/>
        <v>100</v>
      </c>
    </row>
    <row r="794" spans="2:18" ht="12.75">
      <c r="B794" s="224">
        <f t="shared" si="139"/>
        <v>366</v>
      </c>
      <c r="C794" s="165"/>
      <c r="D794" s="165"/>
      <c r="E794" s="170"/>
      <c r="F794" s="188" t="s">
        <v>251</v>
      </c>
      <c r="G794" s="307" t="s">
        <v>292</v>
      </c>
      <c r="H794" s="207">
        <v>17510</v>
      </c>
      <c r="I794" s="207">
        <v>17510</v>
      </c>
      <c r="J794" s="697">
        <f t="shared" si="144"/>
        <v>100</v>
      </c>
      <c r="K794" s="168"/>
      <c r="L794" s="636"/>
      <c r="M794" s="172"/>
      <c r="N794" s="697"/>
      <c r="O794" s="168"/>
      <c r="P794" s="396">
        <f t="shared" si="145"/>
        <v>17510</v>
      </c>
      <c r="Q794" s="396">
        <f t="shared" si="146"/>
        <v>17510</v>
      </c>
      <c r="R794" s="704">
        <f t="shared" si="147"/>
        <v>100</v>
      </c>
    </row>
    <row r="795" spans="2:18" ht="12.75">
      <c r="B795" s="224">
        <f t="shared" si="139"/>
        <v>367</v>
      </c>
      <c r="C795" s="165"/>
      <c r="D795" s="165"/>
      <c r="E795" s="170"/>
      <c r="F795" s="188" t="s">
        <v>257</v>
      </c>
      <c r="G795" s="307" t="s">
        <v>428</v>
      </c>
      <c r="H795" s="207">
        <f>H796+H797+H798</f>
        <v>9570</v>
      </c>
      <c r="I795" s="207">
        <f>I796+I797+I798</f>
        <v>9570</v>
      </c>
      <c r="J795" s="697">
        <f t="shared" si="144"/>
        <v>100</v>
      </c>
      <c r="K795" s="168"/>
      <c r="L795" s="636"/>
      <c r="M795" s="172"/>
      <c r="N795" s="697"/>
      <c r="O795" s="168"/>
      <c r="P795" s="396">
        <f t="shared" si="145"/>
        <v>9570</v>
      </c>
      <c r="Q795" s="396">
        <f t="shared" si="146"/>
        <v>9570</v>
      </c>
      <c r="R795" s="704">
        <f t="shared" si="147"/>
        <v>100</v>
      </c>
    </row>
    <row r="796" spans="2:18" ht="12.75">
      <c r="B796" s="224">
        <f t="shared" si="139"/>
        <v>368</v>
      </c>
      <c r="C796" s="165"/>
      <c r="D796" s="165"/>
      <c r="E796" s="170"/>
      <c r="F796" s="166" t="s">
        <v>237</v>
      </c>
      <c r="G796" s="292" t="s">
        <v>398</v>
      </c>
      <c r="H796" s="206">
        <f>6300+370</f>
        <v>6670</v>
      </c>
      <c r="I796" s="206">
        <v>6670</v>
      </c>
      <c r="J796" s="697">
        <f t="shared" si="144"/>
        <v>100</v>
      </c>
      <c r="K796" s="168"/>
      <c r="L796" s="636"/>
      <c r="M796" s="172"/>
      <c r="N796" s="697"/>
      <c r="O796" s="168"/>
      <c r="P796" s="221">
        <f t="shared" si="145"/>
        <v>6670</v>
      </c>
      <c r="Q796" s="221">
        <f t="shared" si="146"/>
        <v>6670</v>
      </c>
      <c r="R796" s="704">
        <f t="shared" si="147"/>
        <v>100</v>
      </c>
    </row>
    <row r="797" spans="2:18" ht="12.75">
      <c r="B797" s="224">
        <f t="shared" si="139"/>
        <v>369</v>
      </c>
      <c r="C797" s="165"/>
      <c r="D797" s="165"/>
      <c r="E797" s="170"/>
      <c r="F797" s="166" t="s">
        <v>238</v>
      </c>
      <c r="G797" s="292" t="s">
        <v>294</v>
      </c>
      <c r="H797" s="206">
        <v>1200</v>
      </c>
      <c r="I797" s="206">
        <v>1200</v>
      </c>
      <c r="J797" s="697">
        <f t="shared" si="144"/>
        <v>100</v>
      </c>
      <c r="K797" s="168"/>
      <c r="L797" s="636"/>
      <c r="M797" s="172"/>
      <c r="N797" s="697"/>
      <c r="O797" s="168"/>
      <c r="P797" s="221">
        <f t="shared" si="145"/>
        <v>1200</v>
      </c>
      <c r="Q797" s="221">
        <f t="shared" si="146"/>
        <v>1200</v>
      </c>
      <c r="R797" s="704">
        <f t="shared" si="147"/>
        <v>100</v>
      </c>
    </row>
    <row r="798" spans="2:18" ht="12.75">
      <c r="B798" s="224">
        <f t="shared" si="139"/>
        <v>370</v>
      </c>
      <c r="C798" s="165"/>
      <c r="D798" s="165"/>
      <c r="E798" s="170"/>
      <c r="F798" s="166" t="s">
        <v>255</v>
      </c>
      <c r="G798" s="292" t="s">
        <v>295</v>
      </c>
      <c r="H798" s="206">
        <v>1700</v>
      </c>
      <c r="I798" s="206">
        <v>1700</v>
      </c>
      <c r="J798" s="697">
        <f t="shared" si="144"/>
        <v>100</v>
      </c>
      <c r="K798" s="168"/>
      <c r="L798" s="636"/>
      <c r="M798" s="172"/>
      <c r="N798" s="697"/>
      <c r="O798" s="168"/>
      <c r="P798" s="221">
        <f t="shared" si="145"/>
        <v>1700</v>
      </c>
      <c r="Q798" s="221">
        <f t="shared" si="146"/>
        <v>1700</v>
      </c>
      <c r="R798" s="704">
        <f t="shared" si="147"/>
        <v>100</v>
      </c>
    </row>
    <row r="799" spans="2:18" ht="12.75">
      <c r="B799" s="224">
        <f t="shared" si="139"/>
        <v>371</v>
      </c>
      <c r="C799" s="165"/>
      <c r="D799" s="165"/>
      <c r="E799" s="170"/>
      <c r="F799" s="188" t="s">
        <v>256</v>
      </c>
      <c r="G799" s="307" t="s">
        <v>479</v>
      </c>
      <c r="H799" s="207">
        <f>500-370</f>
        <v>130</v>
      </c>
      <c r="I799" s="207">
        <v>130</v>
      </c>
      <c r="J799" s="697">
        <f t="shared" si="144"/>
        <v>100</v>
      </c>
      <c r="K799" s="168"/>
      <c r="L799" s="636"/>
      <c r="M799" s="172"/>
      <c r="N799" s="697"/>
      <c r="O799" s="168"/>
      <c r="P799" s="221">
        <f t="shared" si="145"/>
        <v>130</v>
      </c>
      <c r="Q799" s="221">
        <f t="shared" si="146"/>
        <v>130</v>
      </c>
      <c r="R799" s="704">
        <f t="shared" si="147"/>
        <v>100</v>
      </c>
    </row>
    <row r="800" spans="2:18" ht="12.75">
      <c r="B800" s="224">
        <f t="shared" si="139"/>
        <v>372</v>
      </c>
      <c r="C800" s="165"/>
      <c r="D800" s="165"/>
      <c r="E800" s="170"/>
      <c r="F800" s="170"/>
      <c r="G800" s="307"/>
      <c r="H800" s="206"/>
      <c r="I800" s="206"/>
      <c r="J800" s="697"/>
      <c r="K800" s="195"/>
      <c r="L800" s="636"/>
      <c r="M800" s="172"/>
      <c r="N800" s="697"/>
      <c r="O800" s="195"/>
      <c r="P800" s="221"/>
      <c r="Q800" s="221"/>
      <c r="R800" s="704"/>
    </row>
    <row r="801" spans="2:18" ht="15">
      <c r="B801" s="224">
        <f t="shared" si="139"/>
        <v>373</v>
      </c>
      <c r="C801" s="165"/>
      <c r="D801" s="399">
        <v>9</v>
      </c>
      <c r="E801" s="402" t="s">
        <v>533</v>
      </c>
      <c r="F801" s="402" t="s">
        <v>486</v>
      </c>
      <c r="G801" s="403"/>
      <c r="H801" s="404">
        <f>H802+H803+H804+H808</f>
        <v>31270</v>
      </c>
      <c r="I801" s="404">
        <f>I802+I803+I804+I808</f>
        <v>32319</v>
      </c>
      <c r="J801" s="720">
        <f aca="true" t="shared" si="148" ref="J801:J808">I801/H801*100</f>
        <v>103.35465302206588</v>
      </c>
      <c r="K801" s="168"/>
      <c r="L801" s="777"/>
      <c r="M801" s="778"/>
      <c r="N801" s="720"/>
      <c r="O801" s="168"/>
      <c r="P801" s="410">
        <f aca="true" t="shared" si="149" ref="P801:P808">H801+L801</f>
        <v>31270</v>
      </c>
      <c r="Q801" s="410">
        <f aca="true" t="shared" si="150" ref="Q801:Q808">M801+I801</f>
        <v>32319</v>
      </c>
      <c r="R801" s="729">
        <f aca="true" t="shared" si="151" ref="R801:R808">Q801/P801*100</f>
        <v>103.35465302206588</v>
      </c>
    </row>
    <row r="802" spans="2:18" ht="12.75">
      <c r="B802" s="224">
        <f t="shared" si="139"/>
        <v>374</v>
      </c>
      <c r="C802" s="165"/>
      <c r="D802" s="165"/>
      <c r="E802" s="170"/>
      <c r="F802" s="188" t="s">
        <v>250</v>
      </c>
      <c r="G802" s="307" t="s">
        <v>291</v>
      </c>
      <c r="H802" s="207">
        <v>19700</v>
      </c>
      <c r="I802" s="207">
        <v>20037</v>
      </c>
      <c r="J802" s="697">
        <f t="shared" si="148"/>
        <v>101.71065989847716</v>
      </c>
      <c r="K802" s="168"/>
      <c r="L802" s="636"/>
      <c r="M802" s="172"/>
      <c r="N802" s="697"/>
      <c r="O802" s="168"/>
      <c r="P802" s="396">
        <f t="shared" si="149"/>
        <v>19700</v>
      </c>
      <c r="Q802" s="396">
        <f t="shared" si="150"/>
        <v>20037</v>
      </c>
      <c r="R802" s="704">
        <f t="shared" si="151"/>
        <v>101.71065989847716</v>
      </c>
    </row>
    <row r="803" spans="2:18" ht="12.75">
      <c r="B803" s="224">
        <f t="shared" si="139"/>
        <v>375</v>
      </c>
      <c r="C803" s="165"/>
      <c r="D803" s="165"/>
      <c r="E803" s="170"/>
      <c r="F803" s="188" t="s">
        <v>251</v>
      </c>
      <c r="G803" s="307" t="s">
        <v>292</v>
      </c>
      <c r="H803" s="207">
        <v>7027</v>
      </c>
      <c r="I803" s="207">
        <v>6690</v>
      </c>
      <c r="J803" s="697">
        <f t="shared" si="148"/>
        <v>95.20421232389356</v>
      </c>
      <c r="K803" s="168"/>
      <c r="L803" s="636"/>
      <c r="M803" s="172"/>
      <c r="N803" s="697"/>
      <c r="O803" s="168"/>
      <c r="P803" s="396">
        <f t="shared" si="149"/>
        <v>7027</v>
      </c>
      <c r="Q803" s="396">
        <f t="shared" si="150"/>
        <v>6690</v>
      </c>
      <c r="R803" s="704">
        <f t="shared" si="151"/>
        <v>95.20421232389356</v>
      </c>
    </row>
    <row r="804" spans="2:18" ht="12.75">
      <c r="B804" s="224">
        <f t="shared" si="139"/>
        <v>376</v>
      </c>
      <c r="C804" s="165"/>
      <c r="D804" s="165"/>
      <c r="E804" s="170"/>
      <c r="F804" s="188" t="s">
        <v>257</v>
      </c>
      <c r="G804" s="307" t="s">
        <v>428</v>
      </c>
      <c r="H804" s="207">
        <f>H805+H806+H807</f>
        <v>4448</v>
      </c>
      <c r="I804" s="207">
        <f>I805+I806+I807</f>
        <v>5497</v>
      </c>
      <c r="J804" s="697">
        <f t="shared" si="148"/>
        <v>123.58363309352518</v>
      </c>
      <c r="K804" s="168"/>
      <c r="L804" s="636"/>
      <c r="M804" s="172"/>
      <c r="N804" s="697"/>
      <c r="O804" s="168"/>
      <c r="P804" s="396">
        <f t="shared" si="149"/>
        <v>4448</v>
      </c>
      <c r="Q804" s="396">
        <f t="shared" si="150"/>
        <v>5497</v>
      </c>
      <c r="R804" s="704">
        <f t="shared" si="151"/>
        <v>123.58363309352518</v>
      </c>
    </row>
    <row r="805" spans="2:18" ht="12.75">
      <c r="B805" s="224">
        <f t="shared" si="139"/>
        <v>377</v>
      </c>
      <c r="C805" s="165"/>
      <c r="D805" s="165"/>
      <c r="E805" s="170"/>
      <c r="F805" s="166" t="s">
        <v>237</v>
      </c>
      <c r="G805" s="292" t="s">
        <v>398</v>
      </c>
      <c r="H805" s="206">
        <v>3793</v>
      </c>
      <c r="I805" s="206">
        <v>3793</v>
      </c>
      <c r="J805" s="697">
        <f t="shared" si="148"/>
        <v>100</v>
      </c>
      <c r="K805" s="168"/>
      <c r="L805" s="636"/>
      <c r="M805" s="172"/>
      <c r="N805" s="697"/>
      <c r="O805" s="168"/>
      <c r="P805" s="221">
        <f t="shared" si="149"/>
        <v>3793</v>
      </c>
      <c r="Q805" s="221">
        <f t="shared" si="150"/>
        <v>3793</v>
      </c>
      <c r="R805" s="704">
        <f t="shared" si="151"/>
        <v>100</v>
      </c>
    </row>
    <row r="806" spans="2:18" ht="12.75">
      <c r="B806" s="224">
        <f t="shared" si="139"/>
        <v>378</v>
      </c>
      <c r="C806" s="165"/>
      <c r="D806" s="165"/>
      <c r="E806" s="170"/>
      <c r="F806" s="166" t="s">
        <v>238</v>
      </c>
      <c r="G806" s="292" t="s">
        <v>294</v>
      </c>
      <c r="H806" s="206">
        <v>80</v>
      </c>
      <c r="I806" s="206">
        <f>1049+80</f>
        <v>1129</v>
      </c>
      <c r="J806" s="990">
        <f t="shared" si="148"/>
        <v>1411.25</v>
      </c>
      <c r="K806" s="168"/>
      <c r="L806" s="636"/>
      <c r="M806" s="172"/>
      <c r="N806" s="697"/>
      <c r="O806" s="168"/>
      <c r="P806" s="221">
        <f t="shared" si="149"/>
        <v>80</v>
      </c>
      <c r="Q806" s="221">
        <f t="shared" si="150"/>
        <v>1129</v>
      </c>
      <c r="R806" s="704">
        <f t="shared" si="151"/>
        <v>1411.25</v>
      </c>
    </row>
    <row r="807" spans="2:18" ht="12.75">
      <c r="B807" s="224">
        <f t="shared" si="139"/>
        <v>379</v>
      </c>
      <c r="C807" s="165"/>
      <c r="D807" s="165"/>
      <c r="E807" s="170"/>
      <c r="F807" s="166" t="s">
        <v>255</v>
      </c>
      <c r="G807" s="292" t="s">
        <v>295</v>
      </c>
      <c r="H807" s="206">
        <v>575</v>
      </c>
      <c r="I807" s="206">
        <v>575</v>
      </c>
      <c r="J807" s="697">
        <f t="shared" si="148"/>
        <v>100</v>
      </c>
      <c r="K807" s="168"/>
      <c r="L807" s="636"/>
      <c r="M807" s="172"/>
      <c r="N807" s="697"/>
      <c r="O807" s="168"/>
      <c r="P807" s="221">
        <f t="shared" si="149"/>
        <v>575</v>
      </c>
      <c r="Q807" s="221">
        <f t="shared" si="150"/>
        <v>575</v>
      </c>
      <c r="R807" s="704">
        <f t="shared" si="151"/>
        <v>100</v>
      </c>
    </row>
    <row r="808" spans="2:18" ht="12.75">
      <c r="B808" s="224">
        <f t="shared" si="139"/>
        <v>380</v>
      </c>
      <c r="C808" s="165"/>
      <c r="D808" s="165"/>
      <c r="E808" s="170"/>
      <c r="F808" s="188" t="s">
        <v>256</v>
      </c>
      <c r="G808" s="307" t="s">
        <v>479</v>
      </c>
      <c r="H808" s="207">
        <v>95</v>
      </c>
      <c r="I808" s="207">
        <v>95</v>
      </c>
      <c r="J808" s="697">
        <f t="shared" si="148"/>
        <v>100</v>
      </c>
      <c r="K808" s="168"/>
      <c r="L808" s="636"/>
      <c r="M808" s="172"/>
      <c r="N808" s="697"/>
      <c r="O808" s="168"/>
      <c r="P808" s="396">
        <f t="shared" si="149"/>
        <v>95</v>
      </c>
      <c r="Q808" s="396">
        <f t="shared" si="150"/>
        <v>95</v>
      </c>
      <c r="R808" s="704">
        <f t="shared" si="151"/>
        <v>100</v>
      </c>
    </row>
    <row r="809" spans="2:18" ht="12.75">
      <c r="B809" s="224">
        <f t="shared" si="139"/>
        <v>381</v>
      </c>
      <c r="C809" s="245"/>
      <c r="D809" s="245"/>
      <c r="E809" s="246"/>
      <c r="F809" s="246"/>
      <c r="G809" s="462"/>
      <c r="H809" s="247"/>
      <c r="I809" s="247"/>
      <c r="J809" s="716"/>
      <c r="K809" s="168"/>
      <c r="L809" s="634"/>
      <c r="M809" s="238"/>
      <c r="N809" s="716"/>
      <c r="O809" s="168"/>
      <c r="P809" s="219"/>
      <c r="Q809" s="219"/>
      <c r="R809" s="699"/>
    </row>
    <row r="810" spans="2:18" ht="12.75">
      <c r="B810" s="224">
        <f t="shared" si="139"/>
        <v>382</v>
      </c>
      <c r="C810" s="171"/>
      <c r="D810" s="171"/>
      <c r="E810" s="173"/>
      <c r="F810" s="659">
        <v>640</v>
      </c>
      <c r="G810" s="660" t="s">
        <v>487</v>
      </c>
      <c r="H810" s="429">
        <v>15415</v>
      </c>
      <c r="I810" s="429">
        <v>15415</v>
      </c>
      <c r="J810" s="697">
        <f>I810/H810*100</f>
        <v>100</v>
      </c>
      <c r="K810" s="248"/>
      <c r="L810" s="779"/>
      <c r="M810" s="780"/>
      <c r="N810" s="697"/>
      <c r="O810" s="248"/>
      <c r="P810" s="430">
        <f>H810+L810</f>
        <v>15415</v>
      </c>
      <c r="Q810" s="430">
        <f>M810+I810</f>
        <v>15415</v>
      </c>
      <c r="R810" s="704">
        <f>Q810/P810*100</f>
        <v>100</v>
      </c>
    </row>
    <row r="811" spans="2:18" ht="12.75">
      <c r="B811" s="224">
        <f t="shared" si="139"/>
        <v>383</v>
      </c>
      <c r="C811" s="171"/>
      <c r="D811" s="171"/>
      <c r="E811" s="173"/>
      <c r="F811" s="659">
        <v>640</v>
      </c>
      <c r="G811" s="660" t="s">
        <v>488</v>
      </c>
      <c r="H811" s="429">
        <v>1890</v>
      </c>
      <c r="I811" s="429">
        <v>1890</v>
      </c>
      <c r="J811" s="697">
        <f>I811/H811*100</f>
        <v>100</v>
      </c>
      <c r="K811" s="248"/>
      <c r="L811" s="779"/>
      <c r="M811" s="780"/>
      <c r="N811" s="697"/>
      <c r="O811" s="248"/>
      <c r="P811" s="430">
        <f>H811+L811</f>
        <v>1890</v>
      </c>
      <c r="Q811" s="430">
        <f>M811+I811</f>
        <v>1890</v>
      </c>
      <c r="R811" s="704">
        <f>Q811/P811*100</f>
        <v>100</v>
      </c>
    </row>
    <row r="812" spans="2:18" ht="12.75">
      <c r="B812" s="224">
        <f t="shared" si="139"/>
        <v>384</v>
      </c>
      <c r="C812" s="171"/>
      <c r="D812" s="171"/>
      <c r="E812" s="173"/>
      <c r="F812" s="659">
        <v>640</v>
      </c>
      <c r="G812" s="660" t="s">
        <v>489</v>
      </c>
      <c r="H812" s="429">
        <v>18480</v>
      </c>
      <c r="I812" s="429">
        <v>18480</v>
      </c>
      <c r="J812" s="697">
        <f>I812/H812*100</f>
        <v>100</v>
      </c>
      <c r="K812" s="248"/>
      <c r="L812" s="779"/>
      <c r="M812" s="780"/>
      <c r="N812" s="697"/>
      <c r="O812" s="248"/>
      <c r="P812" s="430">
        <f>H812+L812</f>
        <v>18480</v>
      </c>
      <c r="Q812" s="430">
        <f>M812+I812</f>
        <v>18480</v>
      </c>
      <c r="R812" s="704">
        <f>Q812/P812*100</f>
        <v>100</v>
      </c>
    </row>
    <row r="813" spans="2:18" ht="12.75">
      <c r="B813" s="224">
        <f t="shared" si="139"/>
        <v>385</v>
      </c>
      <c r="C813" s="171"/>
      <c r="D813" s="171"/>
      <c r="E813" s="173"/>
      <c r="F813" s="659">
        <v>640</v>
      </c>
      <c r="G813" s="660" t="s">
        <v>490</v>
      </c>
      <c r="H813" s="429">
        <v>25370</v>
      </c>
      <c r="I813" s="429">
        <v>25370</v>
      </c>
      <c r="J813" s="697">
        <f>I813/H813*100</f>
        <v>100</v>
      </c>
      <c r="K813" s="248"/>
      <c r="L813" s="779"/>
      <c r="M813" s="780"/>
      <c r="N813" s="697"/>
      <c r="O813" s="248"/>
      <c r="P813" s="430">
        <f>H813+L813</f>
        <v>25370</v>
      </c>
      <c r="Q813" s="430">
        <f>M813+I813</f>
        <v>25370</v>
      </c>
      <c r="R813" s="704">
        <f>Q813/P813*100</f>
        <v>100</v>
      </c>
    </row>
    <row r="814" spans="2:18" ht="12.75">
      <c r="B814" s="224">
        <f t="shared" si="139"/>
        <v>386</v>
      </c>
      <c r="C814" s="171"/>
      <c r="D814" s="171"/>
      <c r="E814" s="563"/>
      <c r="F814" s="661"/>
      <c r="G814" s="660"/>
      <c r="H814" s="429"/>
      <c r="I814" s="429"/>
      <c r="J814" s="697"/>
      <c r="K814" s="248"/>
      <c r="L814" s="779"/>
      <c r="M814" s="780"/>
      <c r="N814" s="697"/>
      <c r="O814" s="248"/>
      <c r="P814" s="430"/>
      <c r="Q814" s="430"/>
      <c r="R814" s="704"/>
    </row>
    <row r="815" spans="2:18" ht="15">
      <c r="B815" s="224">
        <f t="shared" si="139"/>
        <v>387</v>
      </c>
      <c r="C815" s="171"/>
      <c r="D815" s="658">
        <v>10</v>
      </c>
      <c r="E815" s="240" t="s">
        <v>530</v>
      </c>
      <c r="F815" s="194" t="s">
        <v>491</v>
      </c>
      <c r="G815" s="366"/>
      <c r="H815" s="232">
        <f>H816+H817+H818+H825</f>
        <v>678280</v>
      </c>
      <c r="I815" s="232">
        <f>I816+I817+I818+I825</f>
        <v>678269</v>
      </c>
      <c r="J815" s="697">
        <f aca="true" t="shared" si="152" ref="J815:J825">I815/H815*100</f>
        <v>99.99837825086985</v>
      </c>
      <c r="K815" s="248"/>
      <c r="L815" s="762"/>
      <c r="M815" s="763"/>
      <c r="N815" s="697"/>
      <c r="O815" s="248"/>
      <c r="P815" s="397">
        <f aca="true" t="shared" si="153" ref="P815:P825">H815+L815</f>
        <v>678280</v>
      </c>
      <c r="Q815" s="397">
        <f aca="true" t="shared" si="154" ref="Q815:Q839">M815+I815</f>
        <v>678269</v>
      </c>
      <c r="R815" s="704">
        <f aca="true" t="shared" si="155" ref="R815:R825">Q815/P815*100</f>
        <v>99.99837825086985</v>
      </c>
    </row>
    <row r="816" spans="2:18" ht="12.75">
      <c r="B816" s="224">
        <f t="shared" si="139"/>
        <v>388</v>
      </c>
      <c r="C816" s="171"/>
      <c r="D816" s="171"/>
      <c r="E816" s="173"/>
      <c r="F816" s="426" t="s">
        <v>250</v>
      </c>
      <c r="G816" s="311" t="s">
        <v>291</v>
      </c>
      <c r="H816" s="207">
        <v>450140</v>
      </c>
      <c r="I816" s="207">
        <v>446439</v>
      </c>
      <c r="J816" s="697">
        <f t="shared" si="152"/>
        <v>99.17781134758076</v>
      </c>
      <c r="K816" s="248"/>
      <c r="L816" s="636"/>
      <c r="M816" s="172"/>
      <c r="N816" s="697"/>
      <c r="O816" s="248"/>
      <c r="P816" s="396">
        <f t="shared" si="153"/>
        <v>450140</v>
      </c>
      <c r="Q816" s="396">
        <f t="shared" si="154"/>
        <v>446439</v>
      </c>
      <c r="R816" s="704">
        <f t="shared" si="155"/>
        <v>99.17781134758076</v>
      </c>
    </row>
    <row r="817" spans="2:18" ht="12.75">
      <c r="B817" s="224">
        <f t="shared" si="139"/>
        <v>389</v>
      </c>
      <c r="C817" s="171"/>
      <c r="D817" s="171"/>
      <c r="E817" s="173"/>
      <c r="F817" s="426" t="s">
        <v>251</v>
      </c>
      <c r="G817" s="311" t="s">
        <v>292</v>
      </c>
      <c r="H817" s="207">
        <v>150340</v>
      </c>
      <c r="I817" s="207">
        <v>154030</v>
      </c>
      <c r="J817" s="697">
        <f t="shared" si="152"/>
        <v>102.45443661034987</v>
      </c>
      <c r="K817" s="248"/>
      <c r="L817" s="636"/>
      <c r="M817" s="172"/>
      <c r="N817" s="697"/>
      <c r="O817" s="248"/>
      <c r="P817" s="396">
        <f t="shared" si="153"/>
        <v>150340</v>
      </c>
      <c r="Q817" s="396">
        <f t="shared" si="154"/>
        <v>154030</v>
      </c>
      <c r="R817" s="704">
        <f t="shared" si="155"/>
        <v>102.45443661034987</v>
      </c>
    </row>
    <row r="818" spans="2:18" ht="12.75">
      <c r="B818" s="224">
        <f t="shared" si="139"/>
        <v>390</v>
      </c>
      <c r="C818" s="165"/>
      <c r="D818" s="165"/>
      <c r="E818" s="170"/>
      <c r="F818" s="188" t="s">
        <v>257</v>
      </c>
      <c r="G818" s="307" t="s">
        <v>428</v>
      </c>
      <c r="H818" s="411">
        <f>H820+H821+H824+H819+H822+H823</f>
        <v>77500</v>
      </c>
      <c r="I818" s="411">
        <f>I820+I821+I824+I819+I822+I823</f>
        <v>77171</v>
      </c>
      <c r="J818" s="720">
        <f t="shared" si="152"/>
        <v>99.57548387096774</v>
      </c>
      <c r="K818" s="168"/>
      <c r="L818" s="637"/>
      <c r="M818" s="167"/>
      <c r="N818" s="720"/>
      <c r="O818" s="168"/>
      <c r="P818" s="513">
        <f t="shared" si="153"/>
        <v>77500</v>
      </c>
      <c r="Q818" s="513">
        <f t="shared" si="154"/>
        <v>77171</v>
      </c>
      <c r="R818" s="729">
        <f t="shared" si="155"/>
        <v>99.57548387096774</v>
      </c>
    </row>
    <row r="819" spans="2:18" ht="12.75">
      <c r="B819" s="224">
        <f t="shared" si="139"/>
        <v>391</v>
      </c>
      <c r="C819" s="165"/>
      <c r="D819" s="165"/>
      <c r="E819" s="170"/>
      <c r="F819" s="166" t="s">
        <v>252</v>
      </c>
      <c r="G819" s="292" t="s">
        <v>380</v>
      </c>
      <c r="H819" s="206">
        <v>560</v>
      </c>
      <c r="I819" s="206">
        <v>832</v>
      </c>
      <c r="J819" s="697">
        <f t="shared" si="152"/>
        <v>148.57142857142858</v>
      </c>
      <c r="K819" s="168"/>
      <c r="L819" s="636"/>
      <c r="M819" s="172"/>
      <c r="N819" s="697"/>
      <c r="O819" s="168"/>
      <c r="P819" s="221">
        <f t="shared" si="153"/>
        <v>560</v>
      </c>
      <c r="Q819" s="221">
        <f t="shared" si="154"/>
        <v>832</v>
      </c>
      <c r="R819" s="704">
        <f t="shared" si="155"/>
        <v>148.57142857142858</v>
      </c>
    </row>
    <row r="820" spans="2:18" ht="12.75">
      <c r="B820" s="224">
        <f t="shared" si="139"/>
        <v>392</v>
      </c>
      <c r="C820" s="165"/>
      <c r="D820" s="165"/>
      <c r="E820" s="170"/>
      <c r="F820" s="166" t="s">
        <v>237</v>
      </c>
      <c r="G820" s="292" t="s">
        <v>398</v>
      </c>
      <c r="H820" s="206">
        <v>37238</v>
      </c>
      <c r="I820" s="206">
        <v>40485</v>
      </c>
      <c r="J820" s="697">
        <f t="shared" si="152"/>
        <v>108.71958751812664</v>
      </c>
      <c r="K820" s="168"/>
      <c r="L820" s="636"/>
      <c r="M820" s="172"/>
      <c r="N820" s="697"/>
      <c r="O820" s="168"/>
      <c r="P820" s="221">
        <f t="shared" si="153"/>
        <v>37238</v>
      </c>
      <c r="Q820" s="221">
        <f t="shared" si="154"/>
        <v>40485</v>
      </c>
      <c r="R820" s="704">
        <f t="shared" si="155"/>
        <v>108.71958751812664</v>
      </c>
    </row>
    <row r="821" spans="2:18" ht="12.75">
      <c r="B821" s="224">
        <f t="shared" si="139"/>
        <v>393</v>
      </c>
      <c r="C821" s="165"/>
      <c r="D821" s="165"/>
      <c r="E821" s="170"/>
      <c r="F821" s="166" t="s">
        <v>238</v>
      </c>
      <c r="G821" s="292" t="s">
        <v>294</v>
      </c>
      <c r="H821" s="206">
        <v>3370</v>
      </c>
      <c r="I821" s="206">
        <v>3689</v>
      </c>
      <c r="J821" s="697">
        <f t="shared" si="152"/>
        <v>109.46587537091987</v>
      </c>
      <c r="K821" s="168"/>
      <c r="L821" s="636"/>
      <c r="M821" s="172"/>
      <c r="N821" s="697"/>
      <c r="O821" s="168"/>
      <c r="P821" s="221">
        <f t="shared" si="153"/>
        <v>3370</v>
      </c>
      <c r="Q821" s="221">
        <f t="shared" si="154"/>
        <v>3689</v>
      </c>
      <c r="R821" s="704">
        <f t="shared" si="155"/>
        <v>109.46587537091987</v>
      </c>
    </row>
    <row r="822" spans="2:18" ht="12.75">
      <c r="B822" s="224">
        <f t="shared" si="139"/>
        <v>394</v>
      </c>
      <c r="C822" s="165"/>
      <c r="D822" s="165"/>
      <c r="E822" s="170"/>
      <c r="F822" s="170">
        <v>635</v>
      </c>
      <c r="G822" s="292" t="s">
        <v>311</v>
      </c>
      <c r="H822" s="206">
        <v>3900</v>
      </c>
      <c r="I822" s="206">
        <v>3549</v>
      </c>
      <c r="J822" s="697">
        <f t="shared" si="152"/>
        <v>91</v>
      </c>
      <c r="K822" s="168"/>
      <c r="L822" s="636"/>
      <c r="M822" s="172"/>
      <c r="N822" s="697"/>
      <c r="O822" s="168"/>
      <c r="P822" s="221">
        <f t="shared" si="153"/>
        <v>3900</v>
      </c>
      <c r="Q822" s="221">
        <f t="shared" si="154"/>
        <v>3549</v>
      </c>
      <c r="R822" s="704">
        <f t="shared" si="155"/>
        <v>91</v>
      </c>
    </row>
    <row r="823" spans="2:18" ht="12.75">
      <c r="B823" s="224">
        <f t="shared" si="139"/>
        <v>395</v>
      </c>
      <c r="C823" s="165"/>
      <c r="D823" s="165"/>
      <c r="E823" s="170"/>
      <c r="F823" s="170">
        <v>635</v>
      </c>
      <c r="G823" s="292" t="s">
        <v>711</v>
      </c>
      <c r="H823" s="206">
        <v>1652</v>
      </c>
      <c r="I823" s="206">
        <v>1441</v>
      </c>
      <c r="J823" s="697">
        <f t="shared" si="152"/>
        <v>87.22760290556901</v>
      </c>
      <c r="K823" s="168"/>
      <c r="L823" s="636"/>
      <c r="M823" s="172"/>
      <c r="N823" s="697"/>
      <c r="O823" s="168"/>
      <c r="P823" s="221">
        <f t="shared" si="153"/>
        <v>1652</v>
      </c>
      <c r="Q823" s="221">
        <f t="shared" si="154"/>
        <v>1441</v>
      </c>
      <c r="R823" s="704">
        <f t="shared" si="155"/>
        <v>87.22760290556901</v>
      </c>
    </row>
    <row r="824" spans="2:18" ht="12.75">
      <c r="B824" s="224">
        <f t="shared" si="139"/>
        <v>396</v>
      </c>
      <c r="C824" s="165"/>
      <c r="D824" s="165"/>
      <c r="E824" s="170"/>
      <c r="F824" s="166" t="s">
        <v>255</v>
      </c>
      <c r="G824" s="292" t="s">
        <v>295</v>
      </c>
      <c r="H824" s="206">
        <v>30780</v>
      </c>
      <c r="I824" s="206">
        <v>27175</v>
      </c>
      <c r="J824" s="697">
        <f t="shared" si="152"/>
        <v>88.28784925276153</v>
      </c>
      <c r="K824" s="168"/>
      <c r="L824" s="636"/>
      <c r="M824" s="172"/>
      <c r="N824" s="697"/>
      <c r="O824" s="168"/>
      <c r="P824" s="221">
        <f t="shared" si="153"/>
        <v>30780</v>
      </c>
      <c r="Q824" s="221">
        <f t="shared" si="154"/>
        <v>27175</v>
      </c>
      <c r="R824" s="704">
        <f t="shared" si="155"/>
        <v>88.28784925276153</v>
      </c>
    </row>
    <row r="825" spans="2:18" ht="12.75">
      <c r="B825" s="224">
        <f t="shared" si="139"/>
        <v>397</v>
      </c>
      <c r="C825" s="165"/>
      <c r="D825" s="165"/>
      <c r="E825" s="170"/>
      <c r="F825" s="188" t="s">
        <v>256</v>
      </c>
      <c r="G825" s="307" t="s">
        <v>479</v>
      </c>
      <c r="H825" s="207">
        <v>300</v>
      </c>
      <c r="I825" s="207">
        <v>629</v>
      </c>
      <c r="J825" s="697">
        <f t="shared" si="152"/>
        <v>209.66666666666666</v>
      </c>
      <c r="K825" s="168"/>
      <c r="L825" s="636"/>
      <c r="M825" s="172"/>
      <c r="N825" s="697"/>
      <c r="O825" s="168"/>
      <c r="P825" s="396">
        <f t="shared" si="153"/>
        <v>300</v>
      </c>
      <c r="Q825" s="396">
        <f t="shared" si="154"/>
        <v>629</v>
      </c>
      <c r="R825" s="704">
        <f t="shared" si="155"/>
        <v>209.66666666666666</v>
      </c>
    </row>
    <row r="826" spans="2:18" ht="12.75">
      <c r="B826" s="224">
        <f t="shared" si="139"/>
        <v>398</v>
      </c>
      <c r="C826" s="165"/>
      <c r="D826" s="165"/>
      <c r="E826" s="170"/>
      <c r="F826" s="170"/>
      <c r="G826" s="307"/>
      <c r="H826" s="206"/>
      <c r="I826" s="206"/>
      <c r="J826" s="697"/>
      <c r="K826" s="168"/>
      <c r="L826" s="636"/>
      <c r="M826" s="172"/>
      <c r="N826" s="697"/>
      <c r="O826" s="168"/>
      <c r="P826" s="221"/>
      <c r="Q826" s="221">
        <f t="shared" si="154"/>
        <v>0</v>
      </c>
      <c r="R826" s="704"/>
    </row>
    <row r="827" spans="2:18" ht="15">
      <c r="B827" s="224">
        <f t="shared" si="139"/>
        <v>399</v>
      </c>
      <c r="C827" s="165"/>
      <c r="D827" s="399">
        <v>11</v>
      </c>
      <c r="E827" s="240" t="s">
        <v>534</v>
      </c>
      <c r="F827" s="194" t="s">
        <v>492</v>
      </c>
      <c r="G827" s="366"/>
      <c r="H827" s="232">
        <f>H828+H829+H830+H836</f>
        <v>87680</v>
      </c>
      <c r="I827" s="232">
        <f>I828+I829+I830+I836</f>
        <v>112343</v>
      </c>
      <c r="J827" s="697">
        <f aca="true" t="shared" si="156" ref="J827:J836">I827/H827*100</f>
        <v>128.12842153284672</v>
      </c>
      <c r="K827" s="168"/>
      <c r="L827" s="762"/>
      <c r="M827" s="763"/>
      <c r="N827" s="697"/>
      <c r="O827" s="168"/>
      <c r="P827" s="397">
        <f aca="true" t="shared" si="157" ref="P827:P836">H827+L827</f>
        <v>87680</v>
      </c>
      <c r="Q827" s="397">
        <f t="shared" si="154"/>
        <v>112343</v>
      </c>
      <c r="R827" s="704">
        <f aca="true" t="shared" si="158" ref="R827:R836">Q827/P827*100</f>
        <v>128.12842153284672</v>
      </c>
    </row>
    <row r="828" spans="2:18" ht="12.75">
      <c r="B828" s="224">
        <f t="shared" si="139"/>
        <v>400</v>
      </c>
      <c r="C828" s="165"/>
      <c r="D828" s="165"/>
      <c r="E828" s="170"/>
      <c r="F828" s="188" t="s">
        <v>250</v>
      </c>
      <c r="G828" s="307" t="s">
        <v>291</v>
      </c>
      <c r="H828" s="207">
        <v>48457</v>
      </c>
      <c r="I828" s="207">
        <v>48366</v>
      </c>
      <c r="J828" s="697">
        <f t="shared" si="156"/>
        <v>99.81220463503725</v>
      </c>
      <c r="K828" s="168"/>
      <c r="L828" s="636"/>
      <c r="M828" s="172"/>
      <c r="N828" s="697"/>
      <c r="O828" s="168"/>
      <c r="P828" s="396">
        <f t="shared" si="157"/>
        <v>48457</v>
      </c>
      <c r="Q828" s="396">
        <f t="shared" si="154"/>
        <v>48366</v>
      </c>
      <c r="R828" s="704">
        <f t="shared" si="158"/>
        <v>99.81220463503725</v>
      </c>
    </row>
    <row r="829" spans="2:18" ht="12.75">
      <c r="B829" s="224">
        <f t="shared" si="139"/>
        <v>401</v>
      </c>
      <c r="C829" s="165"/>
      <c r="D829" s="165"/>
      <c r="E829" s="170"/>
      <c r="F829" s="188" t="s">
        <v>251</v>
      </c>
      <c r="G829" s="307" t="s">
        <v>292</v>
      </c>
      <c r="H829" s="207">
        <v>16280</v>
      </c>
      <c r="I829" s="207">
        <v>16280</v>
      </c>
      <c r="J829" s="697">
        <f t="shared" si="156"/>
        <v>100</v>
      </c>
      <c r="K829" s="168"/>
      <c r="L829" s="636"/>
      <c r="M829" s="172"/>
      <c r="N829" s="697"/>
      <c r="O829" s="168"/>
      <c r="P829" s="396">
        <f t="shared" si="157"/>
        <v>16280</v>
      </c>
      <c r="Q829" s="396">
        <f t="shared" si="154"/>
        <v>16280</v>
      </c>
      <c r="R829" s="704">
        <f t="shared" si="158"/>
        <v>100</v>
      </c>
    </row>
    <row r="830" spans="2:18" ht="12.75">
      <c r="B830" s="224">
        <f t="shared" si="139"/>
        <v>402</v>
      </c>
      <c r="C830" s="165"/>
      <c r="D830" s="165"/>
      <c r="E830" s="170"/>
      <c r="F830" s="188" t="s">
        <v>257</v>
      </c>
      <c r="G830" s="307" t="s">
        <v>428</v>
      </c>
      <c r="H830" s="207">
        <f>H832+H833+H835+H831+H834</f>
        <v>22268</v>
      </c>
      <c r="I830" s="207">
        <f>I832+I833+I835+I831+I834</f>
        <v>47022</v>
      </c>
      <c r="J830" s="697">
        <f t="shared" si="156"/>
        <v>211.16400215555956</v>
      </c>
      <c r="K830" s="168"/>
      <c r="L830" s="636"/>
      <c r="M830" s="172"/>
      <c r="N830" s="697"/>
      <c r="O830" s="168"/>
      <c r="P830" s="396">
        <f t="shared" si="157"/>
        <v>22268</v>
      </c>
      <c r="Q830" s="396">
        <f t="shared" si="154"/>
        <v>47022</v>
      </c>
      <c r="R830" s="704">
        <f t="shared" si="158"/>
        <v>211.16400215555956</v>
      </c>
    </row>
    <row r="831" spans="2:18" ht="12.75">
      <c r="B831" s="224">
        <f t="shared" si="139"/>
        <v>403</v>
      </c>
      <c r="C831" s="165"/>
      <c r="D831" s="165"/>
      <c r="E831" s="170"/>
      <c r="F831" s="166" t="s">
        <v>252</v>
      </c>
      <c r="G831" s="292" t="s">
        <v>380</v>
      </c>
      <c r="H831" s="206">
        <v>118</v>
      </c>
      <c r="I831" s="206">
        <v>118</v>
      </c>
      <c r="J831" s="697">
        <f t="shared" si="156"/>
        <v>100</v>
      </c>
      <c r="K831" s="168"/>
      <c r="L831" s="636"/>
      <c r="M831" s="172"/>
      <c r="N831" s="697"/>
      <c r="O831" s="168"/>
      <c r="P831" s="221">
        <f t="shared" si="157"/>
        <v>118</v>
      </c>
      <c r="Q831" s="221">
        <f t="shared" si="154"/>
        <v>118</v>
      </c>
      <c r="R831" s="704">
        <f t="shared" si="158"/>
        <v>100</v>
      </c>
    </row>
    <row r="832" spans="2:18" ht="12.75">
      <c r="B832" s="224">
        <f t="shared" si="139"/>
        <v>404</v>
      </c>
      <c r="C832" s="165"/>
      <c r="D832" s="165"/>
      <c r="E832" s="170"/>
      <c r="F832" s="166" t="s">
        <v>237</v>
      </c>
      <c r="G832" s="292" t="s">
        <v>398</v>
      </c>
      <c r="H832" s="206">
        <v>6154</v>
      </c>
      <c r="I832" s="206">
        <v>6005</v>
      </c>
      <c r="J832" s="697">
        <f t="shared" si="156"/>
        <v>97.57881052973676</v>
      </c>
      <c r="K832" s="168"/>
      <c r="L832" s="636"/>
      <c r="M832" s="172"/>
      <c r="N832" s="697"/>
      <c r="O832" s="168"/>
      <c r="P832" s="221">
        <f t="shared" si="157"/>
        <v>6154</v>
      </c>
      <c r="Q832" s="221">
        <f t="shared" si="154"/>
        <v>6005</v>
      </c>
      <c r="R832" s="704">
        <f t="shared" si="158"/>
        <v>97.57881052973676</v>
      </c>
    </row>
    <row r="833" spans="2:18" ht="12.75">
      <c r="B833" s="224">
        <f t="shared" si="139"/>
        <v>405</v>
      </c>
      <c r="C833" s="165"/>
      <c r="D833" s="165"/>
      <c r="E833" s="170"/>
      <c r="F833" s="166" t="s">
        <v>238</v>
      </c>
      <c r="G833" s="292" t="s">
        <v>294</v>
      </c>
      <c r="H833" s="206">
        <f>6367-91</f>
        <v>6276</v>
      </c>
      <c r="I833" s="206">
        <v>4339</v>
      </c>
      <c r="J833" s="697">
        <f t="shared" si="156"/>
        <v>69.13639260675589</v>
      </c>
      <c r="K833" s="168"/>
      <c r="L833" s="636"/>
      <c r="M833" s="172"/>
      <c r="N833" s="697"/>
      <c r="O833" s="168"/>
      <c r="P833" s="221">
        <f t="shared" si="157"/>
        <v>6276</v>
      </c>
      <c r="Q833" s="221">
        <f t="shared" si="154"/>
        <v>4339</v>
      </c>
      <c r="R833" s="704">
        <f t="shared" si="158"/>
        <v>69.13639260675589</v>
      </c>
    </row>
    <row r="834" spans="2:18" ht="12.75">
      <c r="B834" s="224">
        <f t="shared" si="139"/>
        <v>406</v>
      </c>
      <c r="C834" s="165"/>
      <c r="D834" s="165"/>
      <c r="E834" s="170"/>
      <c r="F834" s="170">
        <v>635</v>
      </c>
      <c r="G834" s="292" t="s">
        <v>311</v>
      </c>
      <c r="H834" s="206">
        <v>500</v>
      </c>
      <c r="I834" s="206">
        <v>592</v>
      </c>
      <c r="J834" s="697">
        <f t="shared" si="156"/>
        <v>118.39999999999999</v>
      </c>
      <c r="K834" s="168"/>
      <c r="L834" s="636"/>
      <c r="M834" s="172"/>
      <c r="N834" s="697"/>
      <c r="O834" s="168"/>
      <c r="P834" s="221">
        <f t="shared" si="157"/>
        <v>500</v>
      </c>
      <c r="Q834" s="221">
        <f t="shared" si="154"/>
        <v>592</v>
      </c>
      <c r="R834" s="704">
        <f t="shared" si="158"/>
        <v>118.39999999999999</v>
      </c>
    </row>
    <row r="835" spans="2:18" ht="12.75">
      <c r="B835" s="224">
        <f t="shared" si="139"/>
        <v>407</v>
      </c>
      <c r="C835" s="165"/>
      <c r="D835" s="165"/>
      <c r="E835" s="170"/>
      <c r="F835" s="166" t="s">
        <v>255</v>
      </c>
      <c r="G835" s="292" t="s">
        <v>295</v>
      </c>
      <c r="H835" s="206">
        <v>9220</v>
      </c>
      <c r="I835" s="206">
        <v>35968</v>
      </c>
      <c r="J835" s="697">
        <f t="shared" si="156"/>
        <v>390.10845986984816</v>
      </c>
      <c r="K835" s="168"/>
      <c r="L835" s="636"/>
      <c r="M835" s="172"/>
      <c r="N835" s="697"/>
      <c r="O835" s="168"/>
      <c r="P835" s="221">
        <f t="shared" si="157"/>
        <v>9220</v>
      </c>
      <c r="Q835" s="221">
        <f t="shared" si="154"/>
        <v>35968</v>
      </c>
      <c r="R835" s="704">
        <f t="shared" si="158"/>
        <v>390.10845986984816</v>
      </c>
    </row>
    <row r="836" spans="2:18" ht="12.75">
      <c r="B836" s="224">
        <f t="shared" si="139"/>
        <v>408</v>
      </c>
      <c r="C836" s="165"/>
      <c r="D836" s="165"/>
      <c r="E836" s="170"/>
      <c r="F836" s="188" t="s">
        <v>256</v>
      </c>
      <c r="G836" s="307" t="s">
        <v>464</v>
      </c>
      <c r="H836" s="207">
        <f>584+91</f>
        <v>675</v>
      </c>
      <c r="I836" s="207">
        <v>675</v>
      </c>
      <c r="J836" s="697">
        <f t="shared" si="156"/>
        <v>100</v>
      </c>
      <c r="K836" s="168"/>
      <c r="L836" s="636"/>
      <c r="M836" s="172"/>
      <c r="N836" s="697"/>
      <c r="O836" s="168"/>
      <c r="P836" s="396">
        <f t="shared" si="157"/>
        <v>675</v>
      </c>
      <c r="Q836" s="396">
        <f t="shared" si="154"/>
        <v>675</v>
      </c>
      <c r="R836" s="704">
        <f t="shared" si="158"/>
        <v>100</v>
      </c>
    </row>
    <row r="837" spans="2:18" ht="12.75">
      <c r="B837" s="224">
        <f t="shared" si="139"/>
        <v>409</v>
      </c>
      <c r="C837" s="165"/>
      <c r="D837" s="165"/>
      <c r="E837" s="170"/>
      <c r="F837" s="170"/>
      <c r="G837" s="307"/>
      <c r="H837" s="206"/>
      <c r="I837" s="206"/>
      <c r="J837" s="697"/>
      <c r="K837" s="168"/>
      <c r="L837" s="636"/>
      <c r="M837" s="172"/>
      <c r="N837" s="697"/>
      <c r="O837" s="168"/>
      <c r="P837" s="221"/>
      <c r="Q837" s="221">
        <f t="shared" si="154"/>
        <v>0</v>
      </c>
      <c r="R837" s="704"/>
    </row>
    <row r="838" spans="2:18" ht="12.75">
      <c r="B838" s="224">
        <f aca="true" t="shared" si="159" ref="B838:B901">B837+1</f>
        <v>410</v>
      </c>
      <c r="C838" s="165"/>
      <c r="D838" s="165"/>
      <c r="E838" s="170"/>
      <c r="F838" s="427">
        <v>640</v>
      </c>
      <c r="G838" s="428" t="s">
        <v>493</v>
      </c>
      <c r="H838" s="431">
        <v>104980</v>
      </c>
      <c r="I838" s="431">
        <v>104980</v>
      </c>
      <c r="J838" s="720">
        <f>I838/H838*100</f>
        <v>100</v>
      </c>
      <c r="K838" s="168"/>
      <c r="L838" s="781"/>
      <c r="M838" s="782"/>
      <c r="N838" s="720"/>
      <c r="O838" s="168"/>
      <c r="P838" s="432">
        <f>H838+L838</f>
        <v>104980</v>
      </c>
      <c r="Q838" s="432">
        <f t="shared" si="154"/>
        <v>104980</v>
      </c>
      <c r="R838" s="729">
        <f>Q838/P838*100</f>
        <v>100</v>
      </c>
    </row>
    <row r="839" spans="2:18" ht="12.75">
      <c r="B839" s="224">
        <f t="shared" si="159"/>
        <v>411</v>
      </c>
      <c r="C839" s="165"/>
      <c r="D839" s="165"/>
      <c r="E839" s="170"/>
      <c r="F839" s="427">
        <v>640</v>
      </c>
      <c r="G839" s="428" t="s">
        <v>494</v>
      </c>
      <c r="H839" s="429">
        <v>76650</v>
      </c>
      <c r="I839" s="429">
        <v>76650</v>
      </c>
      <c r="J839" s="697">
        <f>I839/H839*100</f>
        <v>100</v>
      </c>
      <c r="K839" s="168"/>
      <c r="L839" s="779"/>
      <c r="M839" s="780"/>
      <c r="N839" s="697"/>
      <c r="O839" s="168"/>
      <c r="P839" s="430">
        <f>H839+L839</f>
        <v>76650</v>
      </c>
      <c r="Q839" s="430">
        <f t="shared" si="154"/>
        <v>76650</v>
      </c>
      <c r="R839" s="704">
        <f>Q839/P839*100</f>
        <v>100</v>
      </c>
    </row>
    <row r="840" spans="2:18" ht="12.75">
      <c r="B840" s="224">
        <f t="shared" si="159"/>
        <v>412</v>
      </c>
      <c r="C840" s="165"/>
      <c r="D840" s="165"/>
      <c r="E840" s="170"/>
      <c r="F840" s="170"/>
      <c r="G840" s="307"/>
      <c r="H840" s="207"/>
      <c r="I840" s="207"/>
      <c r="J840" s="697"/>
      <c r="K840" s="168"/>
      <c r="L840" s="636"/>
      <c r="M840" s="172"/>
      <c r="N840" s="697"/>
      <c r="O840" s="168"/>
      <c r="P840" s="221"/>
      <c r="Q840" s="221"/>
      <c r="R840" s="704"/>
    </row>
    <row r="841" spans="2:18" ht="12.75">
      <c r="B841" s="224">
        <f t="shared" si="159"/>
        <v>413</v>
      </c>
      <c r="C841" s="165"/>
      <c r="D841" s="165"/>
      <c r="E841" s="170" t="s">
        <v>533</v>
      </c>
      <c r="F841" s="170">
        <v>717</v>
      </c>
      <c r="G841" s="292" t="s">
        <v>539</v>
      </c>
      <c r="H841" s="207"/>
      <c r="I841" s="207"/>
      <c r="J841" s="697"/>
      <c r="K841" s="168"/>
      <c r="L841" s="636">
        <f>2246/12*15</f>
        <v>2807.5</v>
      </c>
      <c r="M841" s="172">
        <v>2807</v>
      </c>
      <c r="N841" s="697">
        <f>M841/L841*100</f>
        <v>99.98219056099732</v>
      </c>
      <c r="O841" s="168"/>
      <c r="P841" s="221">
        <f>H841+L841</f>
        <v>2807.5</v>
      </c>
      <c r="Q841" s="221">
        <f>M841+I841</f>
        <v>2807</v>
      </c>
      <c r="R841" s="704">
        <f>Q841/P841*100</f>
        <v>99.98219056099732</v>
      </c>
    </row>
    <row r="842" spans="2:18" ht="12.75">
      <c r="B842" s="224">
        <f t="shared" si="159"/>
        <v>414</v>
      </c>
      <c r="C842" s="165"/>
      <c r="D842" s="165"/>
      <c r="E842" s="170"/>
      <c r="F842" s="170"/>
      <c r="G842" s="307"/>
      <c r="H842" s="206"/>
      <c r="I842" s="206"/>
      <c r="J842" s="697"/>
      <c r="K842" s="168"/>
      <c r="L842" s="636"/>
      <c r="M842" s="172"/>
      <c r="N842" s="697"/>
      <c r="O842" s="168"/>
      <c r="P842" s="221"/>
      <c r="Q842" s="221"/>
      <c r="R842" s="704"/>
    </row>
    <row r="843" spans="2:18" ht="15.75">
      <c r="B843" s="224">
        <f t="shared" si="159"/>
        <v>415</v>
      </c>
      <c r="C843" s="27">
        <v>4</v>
      </c>
      <c r="D843" s="160" t="s">
        <v>115</v>
      </c>
      <c r="E843" s="28"/>
      <c r="F843" s="28"/>
      <c r="G843" s="291"/>
      <c r="H843" s="233">
        <f>H844+H935+H945+H954+H964+H973+H982+H1005+H1006+H1007+H1008+H992+H1001</f>
        <v>918228</v>
      </c>
      <c r="I843" s="617">
        <f>I844+I935+I945+I954+I964+I973+I982+I992+I1001+I1005+I1006+I1007+I1008</f>
        <v>947847</v>
      </c>
      <c r="J843" s="684">
        <f aca="true" t="shared" si="160" ref="J843:J874">I843/H843*100</f>
        <v>103.2256694415766</v>
      </c>
      <c r="K843" s="96"/>
      <c r="L843" s="633"/>
      <c r="M843" s="664"/>
      <c r="N843" s="717"/>
      <c r="O843" s="96"/>
      <c r="P843" s="299">
        <f aca="true" t="shared" si="161" ref="P843:P874">H843+L843</f>
        <v>918228</v>
      </c>
      <c r="Q843" s="608">
        <f aca="true" t="shared" si="162" ref="Q843:Q874">M843+I843</f>
        <v>947847</v>
      </c>
      <c r="R843" s="696">
        <f aca="true" t="shared" si="163" ref="R843:R874">Q843/P843*100</f>
        <v>103.2256694415766</v>
      </c>
    </row>
    <row r="844" spans="2:18" ht="15">
      <c r="B844" s="224">
        <f t="shared" si="159"/>
        <v>416</v>
      </c>
      <c r="C844" s="187"/>
      <c r="D844" s="188"/>
      <c r="E844" s="223" t="s">
        <v>510</v>
      </c>
      <c r="F844" s="188"/>
      <c r="G844" s="307"/>
      <c r="H844" s="365">
        <f>H845+H851+H857+H863+H869+H876+H884+H890+H897+H904+H910+H917+H923+H929</f>
        <v>278444</v>
      </c>
      <c r="I844" s="365">
        <f>I845+I851+I857+I863+I869+I876+I884+I890+I897+I904+I910+I917+I923+I929</f>
        <v>278444</v>
      </c>
      <c r="J844" s="697">
        <f t="shared" si="160"/>
        <v>100</v>
      </c>
      <c r="K844" s="191"/>
      <c r="L844" s="757"/>
      <c r="M844" s="237"/>
      <c r="N844" s="716"/>
      <c r="O844" s="191"/>
      <c r="P844" s="218">
        <f t="shared" si="161"/>
        <v>278444</v>
      </c>
      <c r="Q844" s="218">
        <f t="shared" si="162"/>
        <v>278444</v>
      </c>
      <c r="R844" s="699">
        <f t="shared" si="163"/>
        <v>100</v>
      </c>
    </row>
    <row r="845" spans="2:18" ht="15">
      <c r="B845" s="224">
        <f t="shared" si="159"/>
        <v>417</v>
      </c>
      <c r="C845" s="187"/>
      <c r="D845" s="398" t="s">
        <v>5</v>
      </c>
      <c r="E845" s="240" t="s">
        <v>501</v>
      </c>
      <c r="F845" s="194" t="s">
        <v>495</v>
      </c>
      <c r="G845" s="366"/>
      <c r="H845" s="232">
        <f>H846+H847+H848</f>
        <v>11628</v>
      </c>
      <c r="I845" s="232">
        <f>I846+I847+I848</f>
        <v>12538</v>
      </c>
      <c r="J845" s="697">
        <f t="shared" si="160"/>
        <v>107.82593739250086</v>
      </c>
      <c r="K845" s="191"/>
      <c r="L845" s="783"/>
      <c r="M845" s="784"/>
      <c r="N845" s="716"/>
      <c r="O845" s="191"/>
      <c r="P845" s="395">
        <f t="shared" si="161"/>
        <v>11628</v>
      </c>
      <c r="Q845" s="395">
        <f t="shared" si="162"/>
        <v>12538</v>
      </c>
      <c r="R845" s="699">
        <f t="shared" si="163"/>
        <v>107.82593739250086</v>
      </c>
    </row>
    <row r="846" spans="2:18" ht="12.75">
      <c r="B846" s="224">
        <f t="shared" si="159"/>
        <v>418</v>
      </c>
      <c r="C846" s="187"/>
      <c r="D846" s="188"/>
      <c r="E846" s="188"/>
      <c r="F846" s="188" t="s">
        <v>250</v>
      </c>
      <c r="G846" s="307" t="s">
        <v>291</v>
      </c>
      <c r="H846" s="207">
        <v>8200</v>
      </c>
      <c r="I846" s="207">
        <v>8804</v>
      </c>
      <c r="J846" s="697">
        <f t="shared" si="160"/>
        <v>107.3658536585366</v>
      </c>
      <c r="K846" s="191"/>
      <c r="L846" s="757"/>
      <c r="M846" s="237"/>
      <c r="N846" s="716"/>
      <c r="O846" s="191"/>
      <c r="P846" s="218">
        <f t="shared" si="161"/>
        <v>8200</v>
      </c>
      <c r="Q846" s="218">
        <f t="shared" si="162"/>
        <v>8804</v>
      </c>
      <c r="R846" s="699">
        <f t="shared" si="163"/>
        <v>107.3658536585366</v>
      </c>
    </row>
    <row r="847" spans="2:18" ht="12.75">
      <c r="B847" s="224">
        <f t="shared" si="159"/>
        <v>419</v>
      </c>
      <c r="C847" s="187"/>
      <c r="D847" s="188"/>
      <c r="E847" s="188"/>
      <c r="F847" s="188" t="s">
        <v>251</v>
      </c>
      <c r="G847" s="307" t="s">
        <v>292</v>
      </c>
      <c r="H847" s="207">
        <v>2900</v>
      </c>
      <c r="I847" s="207">
        <v>3193</v>
      </c>
      <c r="J847" s="697">
        <f t="shared" si="160"/>
        <v>110.10344827586206</v>
      </c>
      <c r="K847" s="191"/>
      <c r="L847" s="757"/>
      <c r="M847" s="237"/>
      <c r="N847" s="716"/>
      <c r="O847" s="191"/>
      <c r="P847" s="218">
        <f t="shared" si="161"/>
        <v>2900</v>
      </c>
      <c r="Q847" s="218">
        <f t="shared" si="162"/>
        <v>3193</v>
      </c>
      <c r="R847" s="699">
        <f t="shared" si="163"/>
        <v>110.10344827586206</v>
      </c>
    </row>
    <row r="848" spans="2:18" ht="12.75">
      <c r="B848" s="224">
        <f t="shared" si="159"/>
        <v>420</v>
      </c>
      <c r="C848" s="165"/>
      <c r="D848" s="166"/>
      <c r="E848" s="166"/>
      <c r="F848" s="188" t="s">
        <v>257</v>
      </c>
      <c r="G848" s="307" t="s">
        <v>428</v>
      </c>
      <c r="H848" s="207">
        <f>H849+H850</f>
        <v>528</v>
      </c>
      <c r="I848" s="207">
        <f>SUM(I849:I850)</f>
        <v>541</v>
      </c>
      <c r="J848" s="697">
        <f t="shared" si="160"/>
        <v>102.46212121212122</v>
      </c>
      <c r="K848" s="168"/>
      <c r="L848" s="634"/>
      <c r="M848" s="238"/>
      <c r="N848" s="716"/>
      <c r="O848" s="168"/>
      <c r="P848" s="218">
        <f t="shared" si="161"/>
        <v>528</v>
      </c>
      <c r="Q848" s="218">
        <f t="shared" si="162"/>
        <v>541</v>
      </c>
      <c r="R848" s="699">
        <f t="shared" si="163"/>
        <v>102.46212121212122</v>
      </c>
    </row>
    <row r="849" spans="2:18" ht="12.75">
      <c r="B849" s="224">
        <f t="shared" si="159"/>
        <v>421</v>
      </c>
      <c r="C849" s="165"/>
      <c r="D849" s="166"/>
      <c r="E849" s="166"/>
      <c r="F849" s="166" t="s">
        <v>238</v>
      </c>
      <c r="G849" s="292" t="s">
        <v>294</v>
      </c>
      <c r="H849" s="206">
        <f>200+34</f>
        <v>234</v>
      </c>
      <c r="I849" s="206">
        <v>246</v>
      </c>
      <c r="J849" s="697">
        <f t="shared" si="160"/>
        <v>105.12820512820514</v>
      </c>
      <c r="K849" s="168"/>
      <c r="L849" s="634"/>
      <c r="M849" s="238"/>
      <c r="N849" s="716"/>
      <c r="O849" s="168"/>
      <c r="P849" s="219">
        <f t="shared" si="161"/>
        <v>234</v>
      </c>
      <c r="Q849" s="219">
        <f t="shared" si="162"/>
        <v>246</v>
      </c>
      <c r="R849" s="699">
        <f t="shared" si="163"/>
        <v>105.12820512820514</v>
      </c>
    </row>
    <row r="850" spans="2:18" ht="12.75">
      <c r="B850" s="224">
        <f t="shared" si="159"/>
        <v>422</v>
      </c>
      <c r="C850" s="165"/>
      <c r="D850" s="166"/>
      <c r="E850" s="166"/>
      <c r="F850" s="166" t="s">
        <v>255</v>
      </c>
      <c r="G850" s="292" t="s">
        <v>295</v>
      </c>
      <c r="H850" s="206">
        <f>360-66</f>
        <v>294</v>
      </c>
      <c r="I850" s="206">
        <v>295</v>
      </c>
      <c r="J850" s="697">
        <f t="shared" si="160"/>
        <v>100.34013605442176</v>
      </c>
      <c r="K850" s="168"/>
      <c r="L850" s="634"/>
      <c r="M850" s="238"/>
      <c r="N850" s="716"/>
      <c r="O850" s="168"/>
      <c r="P850" s="219">
        <f t="shared" si="161"/>
        <v>294</v>
      </c>
      <c r="Q850" s="219">
        <f t="shared" si="162"/>
        <v>295</v>
      </c>
      <c r="R850" s="699">
        <f t="shared" si="163"/>
        <v>100.34013605442176</v>
      </c>
    </row>
    <row r="851" spans="2:18" ht="15">
      <c r="B851" s="224">
        <f t="shared" si="159"/>
        <v>423</v>
      </c>
      <c r="C851" s="165"/>
      <c r="D851" s="398" t="s">
        <v>6</v>
      </c>
      <c r="E851" s="240" t="s">
        <v>501</v>
      </c>
      <c r="F851" s="194" t="s">
        <v>496</v>
      </c>
      <c r="G851" s="366"/>
      <c r="H851" s="232">
        <f>H852+H853+H854</f>
        <v>19184</v>
      </c>
      <c r="I851" s="232">
        <f>I852+I853+I854</f>
        <v>17645</v>
      </c>
      <c r="J851" s="697">
        <f t="shared" si="160"/>
        <v>91.9776897414512</v>
      </c>
      <c r="K851" s="168"/>
      <c r="L851" s="758"/>
      <c r="M851" s="759"/>
      <c r="N851" s="716"/>
      <c r="O851" s="168"/>
      <c r="P851" s="395">
        <f t="shared" si="161"/>
        <v>19184</v>
      </c>
      <c r="Q851" s="395">
        <f t="shared" si="162"/>
        <v>17645</v>
      </c>
      <c r="R851" s="699">
        <f t="shared" si="163"/>
        <v>91.9776897414512</v>
      </c>
    </row>
    <row r="852" spans="2:18" ht="12.75">
      <c r="B852" s="224">
        <f t="shared" si="159"/>
        <v>424</v>
      </c>
      <c r="C852" s="165"/>
      <c r="D852" s="166"/>
      <c r="E852" s="166"/>
      <c r="F852" s="188" t="s">
        <v>250</v>
      </c>
      <c r="G852" s="307" t="s">
        <v>291</v>
      </c>
      <c r="H852" s="207">
        <v>13800</v>
      </c>
      <c r="I852" s="207">
        <v>12742</v>
      </c>
      <c r="J852" s="697">
        <f t="shared" si="160"/>
        <v>92.33333333333333</v>
      </c>
      <c r="K852" s="168"/>
      <c r="L852" s="634"/>
      <c r="M852" s="238"/>
      <c r="N852" s="716"/>
      <c r="O852" s="168"/>
      <c r="P852" s="218">
        <f t="shared" si="161"/>
        <v>13800</v>
      </c>
      <c r="Q852" s="218">
        <f t="shared" si="162"/>
        <v>12742</v>
      </c>
      <c r="R852" s="699">
        <f t="shared" si="163"/>
        <v>92.33333333333333</v>
      </c>
    </row>
    <row r="853" spans="2:18" ht="12.75">
      <c r="B853" s="224">
        <f t="shared" si="159"/>
        <v>425</v>
      </c>
      <c r="C853" s="165"/>
      <c r="D853" s="166"/>
      <c r="E853" s="166"/>
      <c r="F853" s="188" t="s">
        <v>251</v>
      </c>
      <c r="G853" s="307" t="s">
        <v>292</v>
      </c>
      <c r="H853" s="207">
        <v>4887</v>
      </c>
      <c r="I853" s="207">
        <v>4437</v>
      </c>
      <c r="J853" s="697">
        <f t="shared" si="160"/>
        <v>90.79189686924494</v>
      </c>
      <c r="K853" s="168"/>
      <c r="L853" s="634"/>
      <c r="M853" s="238"/>
      <c r="N853" s="716"/>
      <c r="O853" s="168"/>
      <c r="P853" s="218">
        <f t="shared" si="161"/>
        <v>4887</v>
      </c>
      <c r="Q853" s="218">
        <f t="shared" si="162"/>
        <v>4437</v>
      </c>
      <c r="R853" s="699">
        <f t="shared" si="163"/>
        <v>90.79189686924494</v>
      </c>
    </row>
    <row r="854" spans="2:18" ht="12.75">
      <c r="B854" s="224">
        <f t="shared" si="159"/>
        <v>426</v>
      </c>
      <c r="C854" s="165"/>
      <c r="D854" s="166"/>
      <c r="E854" s="166"/>
      <c r="F854" s="188" t="s">
        <v>257</v>
      </c>
      <c r="G854" s="307" t="s">
        <v>428</v>
      </c>
      <c r="H854" s="207">
        <f>H855+H856</f>
        <v>497</v>
      </c>
      <c r="I854" s="207">
        <f>SUM(I855:I856)</f>
        <v>466</v>
      </c>
      <c r="J854" s="697">
        <f t="shared" si="160"/>
        <v>93.7625754527163</v>
      </c>
      <c r="K854" s="168"/>
      <c r="L854" s="634"/>
      <c r="M854" s="238"/>
      <c r="N854" s="716"/>
      <c r="O854" s="168"/>
      <c r="P854" s="218">
        <f t="shared" si="161"/>
        <v>497</v>
      </c>
      <c r="Q854" s="218">
        <f t="shared" si="162"/>
        <v>466</v>
      </c>
      <c r="R854" s="699">
        <f t="shared" si="163"/>
        <v>93.7625754527163</v>
      </c>
    </row>
    <row r="855" spans="2:18" ht="12.75">
      <c r="B855" s="224">
        <f t="shared" si="159"/>
        <v>427</v>
      </c>
      <c r="C855" s="165"/>
      <c r="D855" s="166"/>
      <c r="E855" s="166"/>
      <c r="F855" s="166" t="s">
        <v>238</v>
      </c>
      <c r="G855" s="292" t="s">
        <v>294</v>
      </c>
      <c r="H855" s="206">
        <f>415-342</f>
        <v>73</v>
      </c>
      <c r="I855" s="206">
        <v>40</v>
      </c>
      <c r="J855" s="697">
        <f t="shared" si="160"/>
        <v>54.794520547945204</v>
      </c>
      <c r="K855" s="168"/>
      <c r="L855" s="634"/>
      <c r="M855" s="238"/>
      <c r="N855" s="716"/>
      <c r="O855" s="168"/>
      <c r="P855" s="219">
        <f t="shared" si="161"/>
        <v>73</v>
      </c>
      <c r="Q855" s="219">
        <f t="shared" si="162"/>
        <v>40</v>
      </c>
      <c r="R855" s="699">
        <f t="shared" si="163"/>
        <v>54.794520547945204</v>
      </c>
    </row>
    <row r="856" spans="2:18" ht="12.75">
      <c r="B856" s="224">
        <f t="shared" si="159"/>
        <v>428</v>
      </c>
      <c r="C856" s="165"/>
      <c r="D856" s="166"/>
      <c r="E856" s="166"/>
      <c r="F856" s="166" t="s">
        <v>255</v>
      </c>
      <c r="G856" s="292" t="s">
        <v>295</v>
      </c>
      <c r="H856" s="206">
        <f>440-16</f>
        <v>424</v>
      </c>
      <c r="I856" s="206">
        <v>426</v>
      </c>
      <c r="J856" s="697">
        <f t="shared" si="160"/>
        <v>100.47169811320755</v>
      </c>
      <c r="K856" s="168"/>
      <c r="L856" s="634"/>
      <c r="M856" s="238"/>
      <c r="N856" s="716"/>
      <c r="O856" s="168"/>
      <c r="P856" s="219">
        <f t="shared" si="161"/>
        <v>424</v>
      </c>
      <c r="Q856" s="219">
        <f t="shared" si="162"/>
        <v>426</v>
      </c>
      <c r="R856" s="699">
        <f t="shared" si="163"/>
        <v>100.47169811320755</v>
      </c>
    </row>
    <row r="857" spans="2:18" ht="15">
      <c r="B857" s="224">
        <f t="shared" si="159"/>
        <v>429</v>
      </c>
      <c r="C857" s="165"/>
      <c r="D857" s="398" t="s">
        <v>7</v>
      </c>
      <c r="E857" s="240" t="s">
        <v>501</v>
      </c>
      <c r="F857" s="194" t="s">
        <v>497</v>
      </c>
      <c r="G857" s="366"/>
      <c r="H857" s="232">
        <f>H858+H859+H860</f>
        <v>10083</v>
      </c>
      <c r="I857" s="232">
        <f>SUM(I858:I860)</f>
        <v>9995</v>
      </c>
      <c r="J857" s="697">
        <f t="shared" si="160"/>
        <v>99.1272438758306</v>
      </c>
      <c r="K857" s="168"/>
      <c r="L857" s="758"/>
      <c r="M857" s="759"/>
      <c r="N857" s="716"/>
      <c r="O857" s="168"/>
      <c r="P857" s="395">
        <f t="shared" si="161"/>
        <v>10083</v>
      </c>
      <c r="Q857" s="395">
        <f t="shared" si="162"/>
        <v>9995</v>
      </c>
      <c r="R857" s="699">
        <f t="shared" si="163"/>
        <v>99.1272438758306</v>
      </c>
    </row>
    <row r="858" spans="2:18" ht="12.75">
      <c r="B858" s="224">
        <f t="shared" si="159"/>
        <v>430</v>
      </c>
      <c r="C858" s="165"/>
      <c r="D858" s="166"/>
      <c r="E858" s="166"/>
      <c r="F858" s="188" t="s">
        <v>250</v>
      </c>
      <c r="G858" s="307" t="s">
        <v>291</v>
      </c>
      <c r="H858" s="207">
        <v>7100</v>
      </c>
      <c r="I858" s="207">
        <v>6965</v>
      </c>
      <c r="J858" s="697">
        <f t="shared" si="160"/>
        <v>98.09859154929578</v>
      </c>
      <c r="K858" s="168"/>
      <c r="L858" s="634"/>
      <c r="M858" s="238"/>
      <c r="N858" s="716"/>
      <c r="O858" s="168"/>
      <c r="P858" s="218">
        <f t="shared" si="161"/>
        <v>7100</v>
      </c>
      <c r="Q858" s="218">
        <f t="shared" si="162"/>
        <v>6965</v>
      </c>
      <c r="R858" s="699">
        <f t="shared" si="163"/>
        <v>98.09859154929578</v>
      </c>
    </row>
    <row r="859" spans="2:18" ht="12.75">
      <c r="B859" s="224">
        <f t="shared" si="159"/>
        <v>431</v>
      </c>
      <c r="C859" s="165"/>
      <c r="D859" s="166"/>
      <c r="E859" s="166"/>
      <c r="F859" s="188" t="s">
        <v>251</v>
      </c>
      <c r="G859" s="307" t="s">
        <v>292</v>
      </c>
      <c r="H859" s="207">
        <v>2500</v>
      </c>
      <c r="I859" s="207">
        <v>2550</v>
      </c>
      <c r="J859" s="697">
        <f t="shared" si="160"/>
        <v>102</v>
      </c>
      <c r="K859" s="168"/>
      <c r="L859" s="634"/>
      <c r="M859" s="238"/>
      <c r="N859" s="716"/>
      <c r="O859" s="168"/>
      <c r="P859" s="218">
        <f t="shared" si="161"/>
        <v>2500</v>
      </c>
      <c r="Q859" s="218">
        <f t="shared" si="162"/>
        <v>2550</v>
      </c>
      <c r="R859" s="699">
        <f t="shared" si="163"/>
        <v>102</v>
      </c>
    </row>
    <row r="860" spans="2:18" ht="12.75">
      <c r="B860" s="224">
        <f t="shared" si="159"/>
        <v>432</v>
      </c>
      <c r="C860" s="165"/>
      <c r="D860" s="166"/>
      <c r="E860" s="166"/>
      <c r="F860" s="188" t="s">
        <v>257</v>
      </c>
      <c r="G860" s="307" t="s">
        <v>428</v>
      </c>
      <c r="H860" s="207">
        <f>H861+H862</f>
        <v>483</v>
      </c>
      <c r="I860" s="207">
        <f>SUM(I861:I862)</f>
        <v>480</v>
      </c>
      <c r="J860" s="697">
        <f t="shared" si="160"/>
        <v>99.37888198757764</v>
      </c>
      <c r="K860" s="168"/>
      <c r="L860" s="634"/>
      <c r="M860" s="238"/>
      <c r="N860" s="716"/>
      <c r="O860" s="168"/>
      <c r="P860" s="218">
        <f t="shared" si="161"/>
        <v>483</v>
      </c>
      <c r="Q860" s="218">
        <f t="shared" si="162"/>
        <v>480</v>
      </c>
      <c r="R860" s="699">
        <f t="shared" si="163"/>
        <v>99.37888198757764</v>
      </c>
    </row>
    <row r="861" spans="2:18" ht="12.75">
      <c r="B861" s="224">
        <f t="shared" si="159"/>
        <v>433</v>
      </c>
      <c r="C861" s="165"/>
      <c r="D861" s="166"/>
      <c r="E861" s="166"/>
      <c r="F861" s="166" t="s">
        <v>238</v>
      </c>
      <c r="G861" s="292" t="s">
        <v>294</v>
      </c>
      <c r="H861" s="206">
        <f>200-13</f>
        <v>187</v>
      </c>
      <c r="I861" s="206">
        <v>187</v>
      </c>
      <c r="J861" s="697">
        <f t="shared" si="160"/>
        <v>100</v>
      </c>
      <c r="K861" s="168"/>
      <c r="L861" s="634"/>
      <c r="M861" s="238"/>
      <c r="N861" s="716"/>
      <c r="O861" s="168"/>
      <c r="P861" s="219">
        <f t="shared" si="161"/>
        <v>187</v>
      </c>
      <c r="Q861" s="219">
        <f t="shared" si="162"/>
        <v>187</v>
      </c>
      <c r="R861" s="699">
        <f t="shared" si="163"/>
        <v>100</v>
      </c>
    </row>
    <row r="862" spans="2:18" ht="12.75">
      <c r="B862" s="224">
        <f t="shared" si="159"/>
        <v>434</v>
      </c>
      <c r="C862" s="165"/>
      <c r="D862" s="166"/>
      <c r="E862" s="166"/>
      <c r="F862" s="166" t="s">
        <v>255</v>
      </c>
      <c r="G862" s="292" t="s">
        <v>295</v>
      </c>
      <c r="H862" s="206">
        <f>340-44</f>
        <v>296</v>
      </c>
      <c r="I862" s="206">
        <v>293</v>
      </c>
      <c r="J862" s="697">
        <f t="shared" si="160"/>
        <v>98.98648648648648</v>
      </c>
      <c r="K862" s="168"/>
      <c r="L862" s="634"/>
      <c r="M862" s="238"/>
      <c r="N862" s="716"/>
      <c r="O862" s="168"/>
      <c r="P862" s="219">
        <f t="shared" si="161"/>
        <v>296</v>
      </c>
      <c r="Q862" s="219">
        <f t="shared" si="162"/>
        <v>293</v>
      </c>
      <c r="R862" s="699">
        <f t="shared" si="163"/>
        <v>98.98648648648648</v>
      </c>
    </row>
    <row r="863" spans="2:18" ht="15">
      <c r="B863" s="224">
        <f t="shared" si="159"/>
        <v>435</v>
      </c>
      <c r="C863" s="165"/>
      <c r="D863" s="398" t="s">
        <v>8</v>
      </c>
      <c r="E863" s="240" t="s">
        <v>501</v>
      </c>
      <c r="F863" s="194" t="s">
        <v>498</v>
      </c>
      <c r="G863" s="366"/>
      <c r="H863" s="232">
        <f>H864+H865+H866</f>
        <v>19726</v>
      </c>
      <c r="I863" s="232">
        <f>SUM(I864:I866)</f>
        <v>19466</v>
      </c>
      <c r="J863" s="697">
        <f t="shared" si="160"/>
        <v>98.68194261380918</v>
      </c>
      <c r="K863" s="168"/>
      <c r="L863" s="758"/>
      <c r="M863" s="759"/>
      <c r="N863" s="716"/>
      <c r="O863" s="168"/>
      <c r="P863" s="395">
        <f t="shared" si="161"/>
        <v>19726</v>
      </c>
      <c r="Q863" s="395">
        <f t="shared" si="162"/>
        <v>19466</v>
      </c>
      <c r="R863" s="699">
        <f t="shared" si="163"/>
        <v>98.68194261380918</v>
      </c>
    </row>
    <row r="864" spans="2:18" ht="12.75">
      <c r="B864" s="224">
        <f t="shared" si="159"/>
        <v>436</v>
      </c>
      <c r="C864" s="165"/>
      <c r="D864" s="166"/>
      <c r="E864" s="166"/>
      <c r="F864" s="188" t="s">
        <v>250</v>
      </c>
      <c r="G864" s="307" t="s">
        <v>291</v>
      </c>
      <c r="H864" s="207">
        <v>14200</v>
      </c>
      <c r="I864" s="207">
        <v>14046</v>
      </c>
      <c r="J864" s="697">
        <f t="shared" si="160"/>
        <v>98.91549295774648</v>
      </c>
      <c r="K864" s="168"/>
      <c r="L864" s="634"/>
      <c r="M864" s="238"/>
      <c r="N864" s="716"/>
      <c r="O864" s="168"/>
      <c r="P864" s="218">
        <f t="shared" si="161"/>
        <v>14200</v>
      </c>
      <c r="Q864" s="218">
        <f t="shared" si="162"/>
        <v>14046</v>
      </c>
      <c r="R864" s="699">
        <f t="shared" si="163"/>
        <v>98.91549295774648</v>
      </c>
    </row>
    <row r="865" spans="2:18" ht="12.75">
      <c r="B865" s="224">
        <f t="shared" si="159"/>
        <v>437</v>
      </c>
      <c r="C865" s="245"/>
      <c r="D865" s="460"/>
      <c r="E865" s="460"/>
      <c r="F865" s="461" t="s">
        <v>251</v>
      </c>
      <c r="G865" s="462" t="s">
        <v>292</v>
      </c>
      <c r="H865" s="408">
        <v>5000</v>
      </c>
      <c r="I865" s="408">
        <v>4880</v>
      </c>
      <c r="J865" s="716">
        <f t="shared" si="160"/>
        <v>97.6</v>
      </c>
      <c r="K865" s="168"/>
      <c r="L865" s="634"/>
      <c r="M865" s="238"/>
      <c r="N865" s="716"/>
      <c r="O865" s="168"/>
      <c r="P865" s="218">
        <f t="shared" si="161"/>
        <v>5000</v>
      </c>
      <c r="Q865" s="218">
        <f t="shared" si="162"/>
        <v>4880</v>
      </c>
      <c r="R865" s="699">
        <f t="shared" si="163"/>
        <v>97.6</v>
      </c>
    </row>
    <row r="866" spans="2:18" ht="12.75">
      <c r="B866" s="224">
        <f t="shared" si="159"/>
        <v>438</v>
      </c>
      <c r="C866" s="171"/>
      <c r="D866" s="434"/>
      <c r="E866" s="434"/>
      <c r="F866" s="426" t="s">
        <v>257</v>
      </c>
      <c r="G866" s="311" t="s">
        <v>428</v>
      </c>
      <c r="H866" s="207">
        <f>H867+H868</f>
        <v>526</v>
      </c>
      <c r="I866" s="207">
        <f>SUM(I867:I868)</f>
        <v>540</v>
      </c>
      <c r="J866" s="697">
        <f t="shared" si="160"/>
        <v>102.6615969581749</v>
      </c>
      <c r="K866" s="248"/>
      <c r="L866" s="636"/>
      <c r="M866" s="172"/>
      <c r="N866" s="697"/>
      <c r="O866" s="248"/>
      <c r="P866" s="396">
        <f t="shared" si="161"/>
        <v>526</v>
      </c>
      <c r="Q866" s="396">
        <f t="shared" si="162"/>
        <v>540</v>
      </c>
      <c r="R866" s="704">
        <f t="shared" si="163"/>
        <v>102.6615969581749</v>
      </c>
    </row>
    <row r="867" spans="2:18" ht="12.75">
      <c r="B867" s="224">
        <f t="shared" si="159"/>
        <v>439</v>
      </c>
      <c r="C867" s="171"/>
      <c r="D867" s="434"/>
      <c r="E867" s="434"/>
      <c r="F867" s="434" t="s">
        <v>238</v>
      </c>
      <c r="G867" s="310" t="s">
        <v>294</v>
      </c>
      <c r="H867" s="206">
        <f>271-74</f>
        <v>197</v>
      </c>
      <c r="I867" s="206">
        <v>196</v>
      </c>
      <c r="J867" s="697">
        <f t="shared" si="160"/>
        <v>99.49238578680203</v>
      </c>
      <c r="K867" s="248"/>
      <c r="L867" s="636"/>
      <c r="M867" s="172"/>
      <c r="N867" s="697"/>
      <c r="O867" s="248"/>
      <c r="P867" s="221">
        <f t="shared" si="161"/>
        <v>197</v>
      </c>
      <c r="Q867" s="221">
        <f t="shared" si="162"/>
        <v>196</v>
      </c>
      <c r="R867" s="704">
        <f t="shared" si="163"/>
        <v>99.49238578680203</v>
      </c>
    </row>
    <row r="868" spans="2:18" ht="12.75">
      <c r="B868" s="224">
        <f t="shared" si="159"/>
        <v>440</v>
      </c>
      <c r="C868" s="171"/>
      <c r="D868" s="434"/>
      <c r="E868" s="434"/>
      <c r="F868" s="434" t="s">
        <v>255</v>
      </c>
      <c r="G868" s="310" t="s">
        <v>295</v>
      </c>
      <c r="H868" s="206">
        <f>450-121</f>
        <v>329</v>
      </c>
      <c r="I868" s="206">
        <v>344</v>
      </c>
      <c r="J868" s="697">
        <f t="shared" si="160"/>
        <v>104.55927051671732</v>
      </c>
      <c r="K868" s="248"/>
      <c r="L868" s="636"/>
      <c r="M868" s="172"/>
      <c r="N868" s="697"/>
      <c r="O868" s="248"/>
      <c r="P868" s="221">
        <f t="shared" si="161"/>
        <v>329</v>
      </c>
      <c r="Q868" s="221">
        <f t="shared" si="162"/>
        <v>344</v>
      </c>
      <c r="R868" s="704">
        <f t="shared" si="163"/>
        <v>104.55927051671732</v>
      </c>
    </row>
    <row r="869" spans="2:18" ht="15">
      <c r="B869" s="224">
        <f t="shared" si="159"/>
        <v>441</v>
      </c>
      <c r="C869" s="171"/>
      <c r="D869" s="569" t="s">
        <v>9</v>
      </c>
      <c r="E869" s="240" t="s">
        <v>501</v>
      </c>
      <c r="F869" s="194" t="s">
        <v>499</v>
      </c>
      <c r="G869" s="366"/>
      <c r="H869" s="232">
        <f>H870+H871+H872+H875</f>
        <v>18130</v>
      </c>
      <c r="I869" s="232">
        <f>I870+I871+I872+I875</f>
        <v>20792</v>
      </c>
      <c r="J869" s="748">
        <f t="shared" si="160"/>
        <v>114.68284611141755</v>
      </c>
      <c r="K869" s="248"/>
      <c r="L869" s="762"/>
      <c r="M869" s="763"/>
      <c r="N869" s="697"/>
      <c r="O869" s="248"/>
      <c r="P869" s="397">
        <f t="shared" si="161"/>
        <v>18130</v>
      </c>
      <c r="Q869" s="397">
        <f t="shared" si="162"/>
        <v>20792</v>
      </c>
      <c r="R869" s="704">
        <f t="shared" si="163"/>
        <v>114.68284611141755</v>
      </c>
    </row>
    <row r="870" spans="2:18" ht="12.75">
      <c r="B870" s="224">
        <f t="shared" si="159"/>
        <v>442</v>
      </c>
      <c r="C870" s="171"/>
      <c r="D870" s="434"/>
      <c r="E870" s="434"/>
      <c r="F870" s="426" t="s">
        <v>250</v>
      </c>
      <c r="G870" s="311" t="s">
        <v>291</v>
      </c>
      <c r="H870" s="207">
        <v>12770</v>
      </c>
      <c r="I870" s="207">
        <v>14525</v>
      </c>
      <c r="J870" s="748">
        <f t="shared" si="160"/>
        <v>113.74314800313235</v>
      </c>
      <c r="K870" s="248"/>
      <c r="L870" s="636"/>
      <c r="M870" s="172"/>
      <c r="N870" s="697"/>
      <c r="O870" s="248"/>
      <c r="P870" s="396">
        <f t="shared" si="161"/>
        <v>12770</v>
      </c>
      <c r="Q870" s="396">
        <f t="shared" si="162"/>
        <v>14525</v>
      </c>
      <c r="R870" s="704">
        <f t="shared" si="163"/>
        <v>113.74314800313235</v>
      </c>
    </row>
    <row r="871" spans="2:18" ht="12.75">
      <c r="B871" s="224">
        <f t="shared" si="159"/>
        <v>443</v>
      </c>
      <c r="C871" s="171"/>
      <c r="D871" s="434"/>
      <c r="E871" s="434"/>
      <c r="F871" s="426" t="s">
        <v>251</v>
      </c>
      <c r="G871" s="311" t="s">
        <v>292</v>
      </c>
      <c r="H871" s="207">
        <f>4600-68</f>
        <v>4532</v>
      </c>
      <c r="I871" s="207">
        <v>5460</v>
      </c>
      <c r="J871" s="748">
        <f t="shared" si="160"/>
        <v>120.4766107678729</v>
      </c>
      <c r="K871" s="248"/>
      <c r="L871" s="636"/>
      <c r="M871" s="172"/>
      <c r="N871" s="697"/>
      <c r="O871" s="248"/>
      <c r="P871" s="396">
        <f t="shared" si="161"/>
        <v>4532</v>
      </c>
      <c r="Q871" s="396">
        <f t="shared" si="162"/>
        <v>5460</v>
      </c>
      <c r="R871" s="704">
        <f t="shared" si="163"/>
        <v>120.4766107678729</v>
      </c>
    </row>
    <row r="872" spans="2:18" ht="12.75">
      <c r="B872" s="224">
        <f t="shared" si="159"/>
        <v>444</v>
      </c>
      <c r="C872" s="165"/>
      <c r="D872" s="166"/>
      <c r="E872" s="166"/>
      <c r="F872" s="188" t="s">
        <v>257</v>
      </c>
      <c r="G872" s="307" t="s">
        <v>428</v>
      </c>
      <c r="H872" s="411">
        <f>H873+H874</f>
        <v>530</v>
      </c>
      <c r="I872" s="411">
        <f>SUM(I873:I874)</f>
        <v>509</v>
      </c>
      <c r="J872" s="785">
        <f t="shared" si="160"/>
        <v>96.0377358490566</v>
      </c>
      <c r="K872" s="168"/>
      <c r="L872" s="639"/>
      <c r="M872" s="641"/>
      <c r="N872" s="723"/>
      <c r="O872" s="168"/>
      <c r="P872" s="568">
        <f t="shared" si="161"/>
        <v>530</v>
      </c>
      <c r="Q872" s="568">
        <f t="shared" si="162"/>
        <v>509</v>
      </c>
      <c r="R872" s="724">
        <f t="shared" si="163"/>
        <v>96.0377358490566</v>
      </c>
    </row>
    <row r="873" spans="2:18" ht="12.75">
      <c r="B873" s="224">
        <f t="shared" si="159"/>
        <v>445</v>
      </c>
      <c r="C873" s="165"/>
      <c r="D873" s="166"/>
      <c r="E873" s="166"/>
      <c r="F873" s="166" t="s">
        <v>238</v>
      </c>
      <c r="G873" s="292" t="s">
        <v>294</v>
      </c>
      <c r="H873" s="206">
        <f>450-205</f>
        <v>245</v>
      </c>
      <c r="I873" s="206">
        <v>209</v>
      </c>
      <c r="J873" s="748">
        <f t="shared" si="160"/>
        <v>85.3061224489796</v>
      </c>
      <c r="K873" s="168"/>
      <c r="L873" s="634"/>
      <c r="M873" s="238"/>
      <c r="N873" s="716"/>
      <c r="O873" s="168"/>
      <c r="P873" s="221">
        <f t="shared" si="161"/>
        <v>245</v>
      </c>
      <c r="Q873" s="221">
        <f t="shared" si="162"/>
        <v>209</v>
      </c>
      <c r="R873" s="704">
        <f t="shared" si="163"/>
        <v>85.3061224489796</v>
      </c>
    </row>
    <row r="874" spans="2:18" ht="12.75">
      <c r="B874" s="224">
        <f t="shared" si="159"/>
        <v>446</v>
      </c>
      <c r="C874" s="165"/>
      <c r="D874" s="166"/>
      <c r="E874" s="166"/>
      <c r="F874" s="166" t="s">
        <v>255</v>
      </c>
      <c r="G874" s="292" t="s">
        <v>295</v>
      </c>
      <c r="H874" s="211">
        <f>450-165</f>
        <v>285</v>
      </c>
      <c r="I874" s="211">
        <v>300</v>
      </c>
      <c r="J874" s="785">
        <f t="shared" si="160"/>
        <v>105.26315789473684</v>
      </c>
      <c r="K874" s="168"/>
      <c r="L874" s="636"/>
      <c r="M874" s="172"/>
      <c r="N874" s="697"/>
      <c r="O874" s="168"/>
      <c r="P874" s="221">
        <f t="shared" si="161"/>
        <v>285</v>
      </c>
      <c r="Q874" s="221">
        <f t="shared" si="162"/>
        <v>300</v>
      </c>
      <c r="R874" s="704">
        <f t="shared" si="163"/>
        <v>105.26315789473684</v>
      </c>
    </row>
    <row r="875" spans="2:18" ht="12.75">
      <c r="B875" s="224">
        <f t="shared" si="159"/>
        <v>447</v>
      </c>
      <c r="C875" s="165"/>
      <c r="D875" s="166"/>
      <c r="E875" s="222"/>
      <c r="F875" s="188" t="s">
        <v>256</v>
      </c>
      <c r="G875" s="307" t="s">
        <v>464</v>
      </c>
      <c r="H875" s="207">
        <f>230+68</f>
        <v>298</v>
      </c>
      <c r="I875" s="207">
        <v>298</v>
      </c>
      <c r="J875" s="748">
        <f aca="true" t="shared" si="164" ref="J875:J906">I875/H875*100</f>
        <v>100</v>
      </c>
      <c r="K875" s="168"/>
      <c r="L875" s="636"/>
      <c r="M875" s="172"/>
      <c r="N875" s="697"/>
      <c r="O875" s="168"/>
      <c r="P875" s="396">
        <f aca="true" t="shared" si="165" ref="P875:P906">H875+L875</f>
        <v>298</v>
      </c>
      <c r="Q875" s="396">
        <f aca="true" t="shared" si="166" ref="Q875:Q906">M875+I875</f>
        <v>298</v>
      </c>
      <c r="R875" s="704">
        <f aca="true" t="shared" si="167" ref="R875:R906">Q875/P875*100</f>
        <v>100</v>
      </c>
    </row>
    <row r="876" spans="2:18" ht="15">
      <c r="B876" s="224">
        <f t="shared" si="159"/>
        <v>448</v>
      </c>
      <c r="C876" s="165"/>
      <c r="D876" s="398" t="s">
        <v>192</v>
      </c>
      <c r="E876" s="240" t="s">
        <v>501</v>
      </c>
      <c r="F876" s="194" t="s">
        <v>500</v>
      </c>
      <c r="G876" s="366"/>
      <c r="H876" s="232">
        <f>H877+H878+H879+H883</f>
        <v>30794</v>
      </c>
      <c r="I876" s="232">
        <f>I877+I878+I879+I883</f>
        <v>31340</v>
      </c>
      <c r="J876" s="748">
        <f t="shared" si="164"/>
        <v>101.77307267649542</v>
      </c>
      <c r="K876" s="168"/>
      <c r="L876" s="758"/>
      <c r="M876" s="759"/>
      <c r="N876" s="716"/>
      <c r="O876" s="168"/>
      <c r="P876" s="395">
        <f t="shared" si="165"/>
        <v>30794</v>
      </c>
      <c r="Q876" s="395">
        <f t="shared" si="166"/>
        <v>31340</v>
      </c>
      <c r="R876" s="699">
        <f t="shared" si="167"/>
        <v>101.77307267649542</v>
      </c>
    </row>
    <row r="877" spans="2:18" ht="12.75">
      <c r="B877" s="224">
        <f t="shared" si="159"/>
        <v>449</v>
      </c>
      <c r="C877" s="165"/>
      <c r="D877" s="166"/>
      <c r="E877" s="166"/>
      <c r="F877" s="188" t="s">
        <v>250</v>
      </c>
      <c r="G877" s="307" t="s">
        <v>291</v>
      </c>
      <c r="H877" s="207">
        <v>21440</v>
      </c>
      <c r="I877" s="207">
        <v>21584</v>
      </c>
      <c r="J877" s="748">
        <f t="shared" si="164"/>
        <v>100.67164179104478</v>
      </c>
      <c r="K877" s="168"/>
      <c r="L877" s="634"/>
      <c r="M877" s="238"/>
      <c r="N877" s="716"/>
      <c r="O877" s="168"/>
      <c r="P877" s="218">
        <f t="shared" si="165"/>
        <v>21440</v>
      </c>
      <c r="Q877" s="218">
        <f t="shared" si="166"/>
        <v>21584</v>
      </c>
      <c r="R877" s="699">
        <f t="shared" si="167"/>
        <v>100.67164179104478</v>
      </c>
    </row>
    <row r="878" spans="2:18" ht="12.75">
      <c r="B878" s="224">
        <f t="shared" si="159"/>
        <v>450</v>
      </c>
      <c r="C878" s="165"/>
      <c r="D878" s="166"/>
      <c r="E878" s="166"/>
      <c r="F878" s="188" t="s">
        <v>251</v>
      </c>
      <c r="G878" s="307" t="s">
        <v>292</v>
      </c>
      <c r="H878" s="207">
        <v>7600</v>
      </c>
      <c r="I878" s="207">
        <v>7980</v>
      </c>
      <c r="J878" s="748">
        <f t="shared" si="164"/>
        <v>105</v>
      </c>
      <c r="K878" s="168"/>
      <c r="L878" s="634"/>
      <c r="M878" s="238"/>
      <c r="N878" s="716"/>
      <c r="O878" s="168"/>
      <c r="P878" s="218">
        <f t="shared" si="165"/>
        <v>7600</v>
      </c>
      <c r="Q878" s="218">
        <f t="shared" si="166"/>
        <v>7980</v>
      </c>
      <c r="R878" s="699">
        <f t="shared" si="167"/>
        <v>105</v>
      </c>
    </row>
    <row r="879" spans="2:18" ht="12.75">
      <c r="B879" s="224">
        <f t="shared" si="159"/>
        <v>451</v>
      </c>
      <c r="C879" s="165"/>
      <c r="D879" s="166"/>
      <c r="E879" s="166"/>
      <c r="F879" s="188" t="s">
        <v>257</v>
      </c>
      <c r="G879" s="307" t="s">
        <v>428</v>
      </c>
      <c r="H879" s="207">
        <f>H880+H881+H882</f>
        <v>1664</v>
      </c>
      <c r="I879" s="207">
        <f>SUM(I880:I882)</f>
        <v>1686</v>
      </c>
      <c r="J879" s="748">
        <f t="shared" si="164"/>
        <v>101.32211538461537</v>
      </c>
      <c r="K879" s="168"/>
      <c r="L879" s="634"/>
      <c r="M879" s="238"/>
      <c r="N879" s="716"/>
      <c r="O879" s="168"/>
      <c r="P879" s="218">
        <f t="shared" si="165"/>
        <v>1664</v>
      </c>
      <c r="Q879" s="218">
        <f t="shared" si="166"/>
        <v>1686</v>
      </c>
      <c r="R879" s="699">
        <f t="shared" si="167"/>
        <v>101.32211538461537</v>
      </c>
    </row>
    <row r="880" spans="2:18" ht="12.75">
      <c r="B880" s="224">
        <f t="shared" si="159"/>
        <v>452</v>
      </c>
      <c r="C880" s="165"/>
      <c r="D880" s="166"/>
      <c r="E880" s="166"/>
      <c r="F880" s="166" t="s">
        <v>238</v>
      </c>
      <c r="G880" s="292" t="s">
        <v>294</v>
      </c>
      <c r="H880" s="206">
        <f>261+96</f>
        <v>357</v>
      </c>
      <c r="I880" s="206">
        <v>357</v>
      </c>
      <c r="J880" s="748">
        <f t="shared" si="164"/>
        <v>100</v>
      </c>
      <c r="K880" s="168"/>
      <c r="L880" s="634"/>
      <c r="M880" s="238"/>
      <c r="N880" s="716"/>
      <c r="O880" s="168"/>
      <c r="P880" s="219">
        <f t="shared" si="165"/>
        <v>357</v>
      </c>
      <c r="Q880" s="219">
        <f t="shared" si="166"/>
        <v>357</v>
      </c>
      <c r="R880" s="699">
        <f t="shared" si="167"/>
        <v>100</v>
      </c>
    </row>
    <row r="881" spans="2:18" ht="12.75">
      <c r="B881" s="224">
        <f t="shared" si="159"/>
        <v>453</v>
      </c>
      <c r="C881" s="165"/>
      <c r="D881" s="166"/>
      <c r="E881" s="166"/>
      <c r="F881" s="166" t="s">
        <v>253</v>
      </c>
      <c r="G881" s="292" t="s">
        <v>311</v>
      </c>
      <c r="H881" s="206">
        <v>408</v>
      </c>
      <c r="I881" s="206">
        <v>408</v>
      </c>
      <c r="J881" s="748">
        <f t="shared" si="164"/>
        <v>100</v>
      </c>
      <c r="K881" s="168"/>
      <c r="L881" s="634"/>
      <c r="M881" s="238"/>
      <c r="N881" s="716"/>
      <c r="O881" s="168"/>
      <c r="P881" s="219">
        <f t="shared" si="165"/>
        <v>408</v>
      </c>
      <c r="Q881" s="219">
        <f t="shared" si="166"/>
        <v>408</v>
      </c>
      <c r="R881" s="699">
        <f t="shared" si="167"/>
        <v>100</v>
      </c>
    </row>
    <row r="882" spans="2:18" ht="12.75">
      <c r="B882" s="224">
        <f t="shared" si="159"/>
        <v>454</v>
      </c>
      <c r="C882" s="165"/>
      <c r="D882" s="166"/>
      <c r="E882" s="166"/>
      <c r="F882" s="166" t="s">
        <v>255</v>
      </c>
      <c r="G882" s="292" t="s">
        <v>295</v>
      </c>
      <c r="H882" s="206">
        <f>802+97</f>
        <v>899</v>
      </c>
      <c r="I882" s="206">
        <v>921</v>
      </c>
      <c r="J882" s="748">
        <f t="shared" si="164"/>
        <v>102.44716351501668</v>
      </c>
      <c r="K882" s="168"/>
      <c r="L882" s="634"/>
      <c r="M882" s="238"/>
      <c r="N882" s="716"/>
      <c r="O882" s="168"/>
      <c r="P882" s="219">
        <f t="shared" si="165"/>
        <v>899</v>
      </c>
      <c r="Q882" s="219">
        <f t="shared" si="166"/>
        <v>921</v>
      </c>
      <c r="R882" s="699">
        <f t="shared" si="167"/>
        <v>102.44716351501668</v>
      </c>
    </row>
    <row r="883" spans="2:18" ht="12.75">
      <c r="B883" s="224">
        <f t="shared" si="159"/>
        <v>455</v>
      </c>
      <c r="C883" s="165"/>
      <c r="D883" s="166"/>
      <c r="E883" s="222"/>
      <c r="F883" s="188" t="s">
        <v>256</v>
      </c>
      <c r="G883" s="307" t="s">
        <v>464</v>
      </c>
      <c r="H883" s="207">
        <v>90</v>
      </c>
      <c r="I883" s="207">
        <v>90</v>
      </c>
      <c r="J883" s="748">
        <f t="shared" si="164"/>
        <v>100</v>
      </c>
      <c r="K883" s="168"/>
      <c r="L883" s="636"/>
      <c r="M883" s="172"/>
      <c r="N883" s="697"/>
      <c r="O883" s="168"/>
      <c r="P883" s="396">
        <f t="shared" si="165"/>
        <v>90</v>
      </c>
      <c r="Q883" s="396">
        <f t="shared" si="166"/>
        <v>90</v>
      </c>
      <c r="R883" s="704">
        <f t="shared" si="167"/>
        <v>100</v>
      </c>
    </row>
    <row r="884" spans="2:18" ht="15">
      <c r="B884" s="224">
        <f t="shared" si="159"/>
        <v>456</v>
      </c>
      <c r="C884" s="187"/>
      <c r="D884" s="398" t="s">
        <v>196</v>
      </c>
      <c r="E884" s="240" t="s">
        <v>501</v>
      </c>
      <c r="F884" s="194" t="s">
        <v>502</v>
      </c>
      <c r="G884" s="366"/>
      <c r="H884" s="232">
        <f>H885+H886+H887</f>
        <v>32010</v>
      </c>
      <c r="I884" s="232">
        <f>SUM(I885:I887)</f>
        <v>32016</v>
      </c>
      <c r="J884" s="748">
        <f t="shared" si="164"/>
        <v>100.01874414245549</v>
      </c>
      <c r="K884" s="191"/>
      <c r="L884" s="783"/>
      <c r="M884" s="784"/>
      <c r="N884" s="716"/>
      <c r="O884" s="191"/>
      <c r="P884" s="395">
        <f t="shared" si="165"/>
        <v>32010</v>
      </c>
      <c r="Q884" s="395">
        <f t="shared" si="166"/>
        <v>32016</v>
      </c>
      <c r="R884" s="699">
        <f t="shared" si="167"/>
        <v>100.01874414245549</v>
      </c>
    </row>
    <row r="885" spans="2:18" ht="12.75">
      <c r="B885" s="224">
        <f t="shared" si="159"/>
        <v>457</v>
      </c>
      <c r="C885" s="187"/>
      <c r="D885" s="188"/>
      <c r="E885" s="166"/>
      <c r="F885" s="188" t="s">
        <v>250</v>
      </c>
      <c r="G885" s="307" t="s">
        <v>291</v>
      </c>
      <c r="H885" s="207">
        <v>22600</v>
      </c>
      <c r="I885" s="207">
        <v>22225</v>
      </c>
      <c r="J885" s="748">
        <f t="shared" si="164"/>
        <v>98.34070796460178</v>
      </c>
      <c r="K885" s="191"/>
      <c r="L885" s="757"/>
      <c r="M885" s="237"/>
      <c r="N885" s="716"/>
      <c r="O885" s="191"/>
      <c r="P885" s="218">
        <f t="shared" si="165"/>
        <v>22600</v>
      </c>
      <c r="Q885" s="218">
        <f t="shared" si="166"/>
        <v>22225</v>
      </c>
      <c r="R885" s="699">
        <f t="shared" si="167"/>
        <v>98.34070796460178</v>
      </c>
    </row>
    <row r="886" spans="2:18" ht="12.75">
      <c r="B886" s="224">
        <f t="shared" si="159"/>
        <v>458</v>
      </c>
      <c r="C886" s="187"/>
      <c r="D886" s="188"/>
      <c r="E886" s="166"/>
      <c r="F886" s="188" t="s">
        <v>251</v>
      </c>
      <c r="G886" s="307" t="s">
        <v>292</v>
      </c>
      <c r="H886" s="207">
        <v>7960</v>
      </c>
      <c r="I886" s="207">
        <v>8271</v>
      </c>
      <c r="J886" s="748">
        <f t="shared" si="164"/>
        <v>103.9070351758794</v>
      </c>
      <c r="K886" s="191"/>
      <c r="L886" s="757"/>
      <c r="M886" s="237"/>
      <c r="N886" s="716"/>
      <c r="O886" s="191"/>
      <c r="P886" s="218">
        <f t="shared" si="165"/>
        <v>7960</v>
      </c>
      <c r="Q886" s="218">
        <f t="shared" si="166"/>
        <v>8271</v>
      </c>
      <c r="R886" s="699">
        <f t="shared" si="167"/>
        <v>103.9070351758794</v>
      </c>
    </row>
    <row r="887" spans="2:18" ht="12.75">
      <c r="B887" s="224">
        <f t="shared" si="159"/>
        <v>459</v>
      </c>
      <c r="C887" s="187"/>
      <c r="D887" s="188"/>
      <c r="E887" s="166"/>
      <c r="F887" s="188" t="s">
        <v>257</v>
      </c>
      <c r="G887" s="307" t="s">
        <v>428</v>
      </c>
      <c r="H887" s="207">
        <f>H888+H889</f>
        <v>1450</v>
      </c>
      <c r="I887" s="207">
        <f>SUM(I888:I889)</f>
        <v>1520</v>
      </c>
      <c r="J887" s="748">
        <f t="shared" si="164"/>
        <v>104.82758620689656</v>
      </c>
      <c r="K887" s="191"/>
      <c r="L887" s="757"/>
      <c r="M887" s="237"/>
      <c r="N887" s="716"/>
      <c r="O887" s="191"/>
      <c r="P887" s="218">
        <f t="shared" si="165"/>
        <v>1450</v>
      </c>
      <c r="Q887" s="218">
        <f t="shared" si="166"/>
        <v>1520</v>
      </c>
      <c r="R887" s="699">
        <f t="shared" si="167"/>
        <v>104.82758620689656</v>
      </c>
    </row>
    <row r="888" spans="2:18" ht="12.75">
      <c r="B888" s="224">
        <f t="shared" si="159"/>
        <v>460</v>
      </c>
      <c r="C888" s="187"/>
      <c r="D888" s="188"/>
      <c r="E888" s="166"/>
      <c r="F888" s="166" t="s">
        <v>238</v>
      </c>
      <c r="G888" s="292" t="s">
        <v>294</v>
      </c>
      <c r="H888" s="206">
        <f>369+68</f>
        <v>437</v>
      </c>
      <c r="I888" s="206">
        <v>369</v>
      </c>
      <c r="J888" s="748">
        <f t="shared" si="164"/>
        <v>84.43935926773455</v>
      </c>
      <c r="K888" s="191"/>
      <c r="L888" s="757"/>
      <c r="M888" s="237"/>
      <c r="N888" s="716"/>
      <c r="O888" s="191"/>
      <c r="P888" s="219">
        <f t="shared" si="165"/>
        <v>437</v>
      </c>
      <c r="Q888" s="219">
        <f t="shared" si="166"/>
        <v>369</v>
      </c>
      <c r="R888" s="699">
        <f t="shared" si="167"/>
        <v>84.43935926773455</v>
      </c>
    </row>
    <row r="889" spans="2:18" ht="12.75">
      <c r="B889" s="224">
        <f t="shared" si="159"/>
        <v>461</v>
      </c>
      <c r="C889" s="187"/>
      <c r="D889" s="188"/>
      <c r="E889" s="166"/>
      <c r="F889" s="166" t="s">
        <v>255</v>
      </c>
      <c r="G889" s="292" t="s">
        <v>295</v>
      </c>
      <c r="H889" s="206">
        <f>860+153</f>
        <v>1013</v>
      </c>
      <c r="I889" s="206">
        <v>1151</v>
      </c>
      <c r="J889" s="748">
        <f t="shared" si="164"/>
        <v>113.6229022704837</v>
      </c>
      <c r="K889" s="191"/>
      <c r="L889" s="757"/>
      <c r="M889" s="237"/>
      <c r="N889" s="716"/>
      <c r="O889" s="191"/>
      <c r="P889" s="219">
        <f t="shared" si="165"/>
        <v>1013</v>
      </c>
      <c r="Q889" s="219">
        <f t="shared" si="166"/>
        <v>1151</v>
      </c>
      <c r="R889" s="699">
        <f t="shared" si="167"/>
        <v>113.6229022704837</v>
      </c>
    </row>
    <row r="890" spans="2:18" ht="15">
      <c r="B890" s="224">
        <f t="shared" si="159"/>
        <v>462</v>
      </c>
      <c r="C890" s="187"/>
      <c r="D890" s="398" t="s">
        <v>436</v>
      </c>
      <c r="E890" s="240" t="s">
        <v>501</v>
      </c>
      <c r="F890" s="194" t="s">
        <v>503</v>
      </c>
      <c r="G890" s="366"/>
      <c r="H890" s="232">
        <f>H891+H892+H893+H896</f>
        <v>29201</v>
      </c>
      <c r="I890" s="232">
        <f>I891+I892+I893+I896</f>
        <v>29278</v>
      </c>
      <c r="J890" s="748">
        <f t="shared" si="164"/>
        <v>100.26368959967125</v>
      </c>
      <c r="K890" s="191"/>
      <c r="L890" s="783"/>
      <c r="M890" s="784"/>
      <c r="N890" s="716"/>
      <c r="O890" s="191"/>
      <c r="P890" s="395">
        <f t="shared" si="165"/>
        <v>29201</v>
      </c>
      <c r="Q890" s="395">
        <f t="shared" si="166"/>
        <v>29278</v>
      </c>
      <c r="R890" s="699">
        <f t="shared" si="167"/>
        <v>100.26368959967125</v>
      </c>
    </row>
    <row r="891" spans="2:18" ht="12.75">
      <c r="B891" s="224">
        <f t="shared" si="159"/>
        <v>463</v>
      </c>
      <c r="C891" s="187"/>
      <c r="D891" s="188"/>
      <c r="E891" s="166"/>
      <c r="F891" s="188" t="s">
        <v>250</v>
      </c>
      <c r="G891" s="307" t="s">
        <v>291</v>
      </c>
      <c r="H891" s="207">
        <v>20963</v>
      </c>
      <c r="I891" s="207">
        <v>21114</v>
      </c>
      <c r="J891" s="748">
        <f t="shared" si="164"/>
        <v>100.72031674855697</v>
      </c>
      <c r="K891" s="191"/>
      <c r="L891" s="757"/>
      <c r="M891" s="237"/>
      <c r="N891" s="716"/>
      <c r="O891" s="191"/>
      <c r="P891" s="218">
        <f t="shared" si="165"/>
        <v>20963</v>
      </c>
      <c r="Q891" s="218">
        <f t="shared" si="166"/>
        <v>21114</v>
      </c>
      <c r="R891" s="699">
        <f t="shared" si="167"/>
        <v>100.72031674855697</v>
      </c>
    </row>
    <row r="892" spans="2:18" ht="12.75">
      <c r="B892" s="224">
        <f t="shared" si="159"/>
        <v>464</v>
      </c>
      <c r="C892" s="187"/>
      <c r="D892" s="188"/>
      <c r="E892" s="166"/>
      <c r="F892" s="188" t="s">
        <v>251</v>
      </c>
      <c r="G892" s="307" t="s">
        <v>292</v>
      </c>
      <c r="H892" s="207">
        <f>7400-4</f>
        <v>7396</v>
      </c>
      <c r="I892" s="207">
        <v>7382</v>
      </c>
      <c r="J892" s="748">
        <f t="shared" si="164"/>
        <v>99.81070849107626</v>
      </c>
      <c r="K892" s="191"/>
      <c r="L892" s="757"/>
      <c r="M892" s="237"/>
      <c r="N892" s="716"/>
      <c r="O892" s="191"/>
      <c r="P892" s="218">
        <f t="shared" si="165"/>
        <v>7396</v>
      </c>
      <c r="Q892" s="218">
        <f t="shared" si="166"/>
        <v>7382</v>
      </c>
      <c r="R892" s="699">
        <f t="shared" si="167"/>
        <v>99.81070849107626</v>
      </c>
    </row>
    <row r="893" spans="2:18" ht="12.75">
      <c r="B893" s="224">
        <f t="shared" si="159"/>
        <v>465</v>
      </c>
      <c r="C893" s="187"/>
      <c r="D893" s="188"/>
      <c r="E893" s="166"/>
      <c r="F893" s="188" t="s">
        <v>257</v>
      </c>
      <c r="G893" s="307" t="s">
        <v>428</v>
      </c>
      <c r="H893" s="207">
        <f>H894+H895</f>
        <v>801</v>
      </c>
      <c r="I893" s="207">
        <f>SUM(I894:I895)</f>
        <v>741</v>
      </c>
      <c r="J893" s="748">
        <f t="shared" si="164"/>
        <v>92.50936329588015</v>
      </c>
      <c r="K893" s="191"/>
      <c r="L893" s="757"/>
      <c r="M893" s="237"/>
      <c r="N893" s="716"/>
      <c r="O893" s="191"/>
      <c r="P893" s="218">
        <f t="shared" si="165"/>
        <v>801</v>
      </c>
      <c r="Q893" s="218">
        <f t="shared" si="166"/>
        <v>741</v>
      </c>
      <c r="R893" s="699">
        <f t="shared" si="167"/>
        <v>92.50936329588015</v>
      </c>
    </row>
    <row r="894" spans="2:18" ht="12.75">
      <c r="B894" s="224">
        <f t="shared" si="159"/>
        <v>466</v>
      </c>
      <c r="C894" s="187"/>
      <c r="D894" s="188"/>
      <c r="E894" s="166"/>
      <c r="F894" s="166" t="s">
        <v>238</v>
      </c>
      <c r="G894" s="292" t="s">
        <v>294</v>
      </c>
      <c r="H894" s="206">
        <f>350-205</f>
        <v>145</v>
      </c>
      <c r="I894" s="206">
        <v>77</v>
      </c>
      <c r="J894" s="748">
        <f t="shared" si="164"/>
        <v>53.103448275862064</v>
      </c>
      <c r="K894" s="191"/>
      <c r="L894" s="757"/>
      <c r="M894" s="237"/>
      <c r="N894" s="716"/>
      <c r="O894" s="191"/>
      <c r="P894" s="219">
        <f t="shared" si="165"/>
        <v>145</v>
      </c>
      <c r="Q894" s="219">
        <f t="shared" si="166"/>
        <v>77</v>
      </c>
      <c r="R894" s="699">
        <f t="shared" si="167"/>
        <v>53.103448275862064</v>
      </c>
    </row>
    <row r="895" spans="2:18" ht="12.75">
      <c r="B895" s="224">
        <f t="shared" si="159"/>
        <v>467</v>
      </c>
      <c r="C895" s="433"/>
      <c r="D895" s="426"/>
      <c r="E895" s="434"/>
      <c r="F895" s="434" t="s">
        <v>255</v>
      </c>
      <c r="G895" s="310" t="s">
        <v>295</v>
      </c>
      <c r="H895" s="206">
        <f>680-24</f>
        <v>656</v>
      </c>
      <c r="I895" s="206">
        <v>664</v>
      </c>
      <c r="J895" s="748">
        <f t="shared" si="164"/>
        <v>101.21951219512195</v>
      </c>
      <c r="K895" s="375"/>
      <c r="L895" s="728"/>
      <c r="M895" s="190"/>
      <c r="N895" s="697"/>
      <c r="O895" s="375"/>
      <c r="P895" s="221">
        <f t="shared" si="165"/>
        <v>656</v>
      </c>
      <c r="Q895" s="221">
        <f t="shared" si="166"/>
        <v>664</v>
      </c>
      <c r="R895" s="704">
        <f t="shared" si="167"/>
        <v>101.21951219512195</v>
      </c>
    </row>
    <row r="896" spans="2:18" ht="12.75">
      <c r="B896" s="224">
        <f t="shared" si="159"/>
        <v>468</v>
      </c>
      <c r="C896" s="433"/>
      <c r="D896" s="426"/>
      <c r="E896" s="579"/>
      <c r="F896" s="188" t="s">
        <v>256</v>
      </c>
      <c r="G896" s="307" t="s">
        <v>464</v>
      </c>
      <c r="H896" s="207">
        <f>37+4</f>
        <v>41</v>
      </c>
      <c r="I896" s="207">
        <v>41</v>
      </c>
      <c r="J896" s="748">
        <f t="shared" si="164"/>
        <v>100</v>
      </c>
      <c r="K896" s="168"/>
      <c r="L896" s="636"/>
      <c r="M896" s="172"/>
      <c r="N896" s="697"/>
      <c r="O896" s="168"/>
      <c r="P896" s="396">
        <f t="shared" si="165"/>
        <v>41</v>
      </c>
      <c r="Q896" s="396">
        <f t="shared" si="166"/>
        <v>41</v>
      </c>
      <c r="R896" s="704">
        <f t="shared" si="167"/>
        <v>100</v>
      </c>
    </row>
    <row r="897" spans="2:18" ht="15">
      <c r="B897" s="224">
        <f t="shared" si="159"/>
        <v>469</v>
      </c>
      <c r="C897" s="433"/>
      <c r="D897" s="569" t="s">
        <v>438</v>
      </c>
      <c r="E897" s="240" t="s">
        <v>501</v>
      </c>
      <c r="F897" s="194" t="s">
        <v>504</v>
      </c>
      <c r="G897" s="366"/>
      <c r="H897" s="232">
        <f>H898+H899+H900+H903</f>
        <v>15058</v>
      </c>
      <c r="I897" s="232">
        <f>I898+I899+I900+I903</f>
        <v>13962</v>
      </c>
      <c r="J897" s="748">
        <f t="shared" si="164"/>
        <v>92.72147695577102</v>
      </c>
      <c r="K897" s="375"/>
      <c r="L897" s="771"/>
      <c r="M897" s="772"/>
      <c r="N897" s="697"/>
      <c r="O897" s="375"/>
      <c r="P897" s="397">
        <f t="shared" si="165"/>
        <v>15058</v>
      </c>
      <c r="Q897" s="397">
        <f t="shared" si="166"/>
        <v>13962</v>
      </c>
      <c r="R897" s="704">
        <f t="shared" si="167"/>
        <v>92.72147695577102</v>
      </c>
    </row>
    <row r="898" spans="2:18" ht="12.75">
      <c r="B898" s="224">
        <f t="shared" si="159"/>
        <v>470</v>
      </c>
      <c r="C898" s="433"/>
      <c r="D898" s="426"/>
      <c r="E898" s="434"/>
      <c r="F898" s="426" t="s">
        <v>250</v>
      </c>
      <c r="G898" s="311" t="s">
        <v>291</v>
      </c>
      <c r="H898" s="207">
        <v>10600</v>
      </c>
      <c r="I898" s="207">
        <v>9656</v>
      </c>
      <c r="J898" s="748">
        <f t="shared" si="164"/>
        <v>91.09433962264151</v>
      </c>
      <c r="K898" s="375"/>
      <c r="L898" s="728"/>
      <c r="M898" s="190"/>
      <c r="N898" s="697"/>
      <c r="O898" s="375"/>
      <c r="P898" s="396">
        <f t="shared" si="165"/>
        <v>10600</v>
      </c>
      <c r="Q898" s="396">
        <f t="shared" si="166"/>
        <v>9656</v>
      </c>
      <c r="R898" s="704">
        <f t="shared" si="167"/>
        <v>91.09433962264151</v>
      </c>
    </row>
    <row r="899" spans="2:18" ht="12.75">
      <c r="B899" s="224">
        <f t="shared" si="159"/>
        <v>471</v>
      </c>
      <c r="C899" s="433"/>
      <c r="D899" s="426"/>
      <c r="E899" s="434"/>
      <c r="F899" s="426" t="s">
        <v>251</v>
      </c>
      <c r="G899" s="311" t="s">
        <v>292</v>
      </c>
      <c r="H899" s="207">
        <f>3730-66</f>
        <v>3664</v>
      </c>
      <c r="I899" s="207">
        <v>3542</v>
      </c>
      <c r="J899" s="748">
        <f t="shared" si="164"/>
        <v>96.67030567685589</v>
      </c>
      <c r="K899" s="375"/>
      <c r="L899" s="728"/>
      <c r="M899" s="190"/>
      <c r="N899" s="697"/>
      <c r="O899" s="375"/>
      <c r="P899" s="396">
        <f t="shared" si="165"/>
        <v>3664</v>
      </c>
      <c r="Q899" s="396">
        <f t="shared" si="166"/>
        <v>3542</v>
      </c>
      <c r="R899" s="704">
        <f t="shared" si="167"/>
        <v>96.67030567685589</v>
      </c>
    </row>
    <row r="900" spans="2:18" ht="12.75">
      <c r="B900" s="224">
        <f t="shared" si="159"/>
        <v>472</v>
      </c>
      <c r="C900" s="187"/>
      <c r="D900" s="188"/>
      <c r="E900" s="166"/>
      <c r="F900" s="188" t="s">
        <v>257</v>
      </c>
      <c r="G900" s="307" t="s">
        <v>428</v>
      </c>
      <c r="H900" s="411">
        <f>H901+H902</f>
        <v>728</v>
      </c>
      <c r="I900" s="411">
        <f>SUM(I901:I902)</f>
        <v>698</v>
      </c>
      <c r="J900" s="785">
        <f t="shared" si="164"/>
        <v>95.87912087912088</v>
      </c>
      <c r="K900" s="191"/>
      <c r="L900" s="767"/>
      <c r="M900" s="768"/>
      <c r="N900" s="723"/>
      <c r="O900" s="191"/>
      <c r="P900" s="568">
        <f t="shared" si="165"/>
        <v>728</v>
      </c>
      <c r="Q900" s="568">
        <f t="shared" si="166"/>
        <v>698</v>
      </c>
      <c r="R900" s="724">
        <f t="shared" si="167"/>
        <v>95.87912087912088</v>
      </c>
    </row>
    <row r="901" spans="2:18" ht="12.75">
      <c r="B901" s="224">
        <f t="shared" si="159"/>
        <v>473</v>
      </c>
      <c r="C901" s="187"/>
      <c r="D901" s="188"/>
      <c r="E901" s="166"/>
      <c r="F901" s="166" t="s">
        <v>238</v>
      </c>
      <c r="G901" s="292" t="s">
        <v>294</v>
      </c>
      <c r="H901" s="206">
        <f>170+31</f>
        <v>201</v>
      </c>
      <c r="I901" s="206">
        <v>165</v>
      </c>
      <c r="J901" s="748">
        <f t="shared" si="164"/>
        <v>82.08955223880598</v>
      </c>
      <c r="K901" s="191"/>
      <c r="L901" s="757"/>
      <c r="M901" s="237"/>
      <c r="N901" s="716"/>
      <c r="O901" s="191"/>
      <c r="P901" s="219">
        <f t="shared" si="165"/>
        <v>201</v>
      </c>
      <c r="Q901" s="219">
        <f t="shared" si="166"/>
        <v>165</v>
      </c>
      <c r="R901" s="699">
        <f t="shared" si="167"/>
        <v>82.08955223880598</v>
      </c>
    </row>
    <row r="902" spans="2:18" ht="12.75">
      <c r="B902" s="224">
        <f aca="true" t="shared" si="168" ref="B902:B957">B901+1</f>
        <v>474</v>
      </c>
      <c r="C902" s="187"/>
      <c r="D902" s="188"/>
      <c r="E902" s="166"/>
      <c r="F902" s="166" t="s">
        <v>255</v>
      </c>
      <c r="G902" s="292" t="s">
        <v>295</v>
      </c>
      <c r="H902" s="206">
        <f>551-24</f>
        <v>527</v>
      </c>
      <c r="I902" s="206">
        <v>533</v>
      </c>
      <c r="J902" s="748">
        <f t="shared" si="164"/>
        <v>101.13851992409867</v>
      </c>
      <c r="K902" s="191"/>
      <c r="L902" s="757"/>
      <c r="M902" s="237"/>
      <c r="N902" s="716"/>
      <c r="O902" s="191"/>
      <c r="P902" s="219">
        <f t="shared" si="165"/>
        <v>527</v>
      </c>
      <c r="Q902" s="219">
        <f t="shared" si="166"/>
        <v>533</v>
      </c>
      <c r="R902" s="699">
        <f t="shared" si="167"/>
        <v>101.13851992409867</v>
      </c>
    </row>
    <row r="903" spans="2:18" ht="12.75">
      <c r="B903" s="224">
        <f t="shared" si="168"/>
        <v>475</v>
      </c>
      <c r="C903" s="187"/>
      <c r="D903" s="188"/>
      <c r="E903" s="222"/>
      <c r="F903" s="188" t="s">
        <v>256</v>
      </c>
      <c r="G903" s="307" t="s">
        <v>464</v>
      </c>
      <c r="H903" s="411">
        <v>66</v>
      </c>
      <c r="I903" s="411">
        <v>66</v>
      </c>
      <c r="J903" s="785">
        <f t="shared" si="164"/>
        <v>100</v>
      </c>
      <c r="K903" s="191"/>
      <c r="L903" s="728"/>
      <c r="M903" s="190"/>
      <c r="N903" s="697"/>
      <c r="O903" s="375"/>
      <c r="P903" s="396">
        <f t="shared" si="165"/>
        <v>66</v>
      </c>
      <c r="Q903" s="396">
        <f t="shared" si="166"/>
        <v>66</v>
      </c>
      <c r="R903" s="704">
        <f t="shared" si="167"/>
        <v>100</v>
      </c>
    </row>
    <row r="904" spans="2:18" ht="15">
      <c r="B904" s="224">
        <f t="shared" si="168"/>
        <v>476</v>
      </c>
      <c r="C904" s="187"/>
      <c r="D904" s="398" t="s">
        <v>440</v>
      </c>
      <c r="E904" s="240" t="s">
        <v>501</v>
      </c>
      <c r="F904" s="194" t="s">
        <v>505</v>
      </c>
      <c r="G904" s="366"/>
      <c r="H904" s="232">
        <f>H905+H906+H907</f>
        <v>21684</v>
      </c>
      <c r="I904" s="232">
        <f>SUM(I905:I907)</f>
        <v>20934</v>
      </c>
      <c r="J904" s="748">
        <f t="shared" si="164"/>
        <v>96.54122855561704</v>
      </c>
      <c r="K904" s="191"/>
      <c r="L904" s="786"/>
      <c r="M904" s="787"/>
      <c r="N904" s="723"/>
      <c r="O904" s="191"/>
      <c r="P904" s="405">
        <f t="shared" si="165"/>
        <v>21684</v>
      </c>
      <c r="Q904" s="405">
        <f t="shared" si="166"/>
        <v>20934</v>
      </c>
      <c r="R904" s="724">
        <f t="shared" si="167"/>
        <v>96.54122855561704</v>
      </c>
    </row>
    <row r="905" spans="2:18" ht="12.75">
      <c r="B905" s="224">
        <f t="shared" si="168"/>
        <v>477</v>
      </c>
      <c r="C905" s="187"/>
      <c r="D905" s="188"/>
      <c r="E905" s="166"/>
      <c r="F905" s="188" t="s">
        <v>250</v>
      </c>
      <c r="G905" s="307" t="s">
        <v>291</v>
      </c>
      <c r="H905" s="207">
        <v>15600</v>
      </c>
      <c r="I905" s="207">
        <v>15057</v>
      </c>
      <c r="J905" s="748">
        <f t="shared" si="164"/>
        <v>96.51923076923077</v>
      </c>
      <c r="K905" s="191"/>
      <c r="L905" s="757"/>
      <c r="M905" s="237"/>
      <c r="N905" s="716"/>
      <c r="O905" s="191"/>
      <c r="P905" s="218">
        <f t="shared" si="165"/>
        <v>15600</v>
      </c>
      <c r="Q905" s="218">
        <f t="shared" si="166"/>
        <v>15057</v>
      </c>
      <c r="R905" s="699">
        <f t="shared" si="167"/>
        <v>96.51923076923077</v>
      </c>
    </row>
    <row r="906" spans="2:18" ht="12.75">
      <c r="B906" s="224">
        <f t="shared" si="168"/>
        <v>478</v>
      </c>
      <c r="C906" s="187"/>
      <c r="D906" s="188"/>
      <c r="E906" s="166"/>
      <c r="F906" s="188" t="s">
        <v>251</v>
      </c>
      <c r="G906" s="307" t="s">
        <v>292</v>
      </c>
      <c r="H906" s="207">
        <v>5500</v>
      </c>
      <c r="I906" s="207">
        <v>5289</v>
      </c>
      <c r="J906" s="748">
        <f t="shared" si="164"/>
        <v>96.16363636363636</v>
      </c>
      <c r="K906" s="191"/>
      <c r="L906" s="757"/>
      <c r="M906" s="237"/>
      <c r="N906" s="716"/>
      <c r="O906" s="191"/>
      <c r="P906" s="218">
        <f t="shared" si="165"/>
        <v>5500</v>
      </c>
      <c r="Q906" s="218">
        <f t="shared" si="166"/>
        <v>5289</v>
      </c>
      <c r="R906" s="699">
        <f t="shared" si="167"/>
        <v>96.16363636363636</v>
      </c>
    </row>
    <row r="907" spans="2:18" ht="12.75">
      <c r="B907" s="224">
        <f t="shared" si="168"/>
        <v>479</v>
      </c>
      <c r="C907" s="187"/>
      <c r="D907" s="188"/>
      <c r="E907" s="166"/>
      <c r="F907" s="188" t="s">
        <v>257</v>
      </c>
      <c r="G907" s="307" t="s">
        <v>428</v>
      </c>
      <c r="H907" s="207">
        <f>H908+H909</f>
        <v>584</v>
      </c>
      <c r="I907" s="207">
        <f>SUM(I908:I909)</f>
        <v>588</v>
      </c>
      <c r="J907" s="748">
        <f aca="true" t="shared" si="169" ref="J907:J938">I907/H907*100</f>
        <v>100.68493150684932</v>
      </c>
      <c r="K907" s="191"/>
      <c r="L907" s="757"/>
      <c r="M907" s="237"/>
      <c r="N907" s="716"/>
      <c r="O907" s="191"/>
      <c r="P907" s="218">
        <f aca="true" t="shared" si="170" ref="P907:P938">H907+L907</f>
        <v>584</v>
      </c>
      <c r="Q907" s="218">
        <f aca="true" t="shared" si="171" ref="Q907:Q938">M907+I907</f>
        <v>588</v>
      </c>
      <c r="R907" s="699">
        <f aca="true" t="shared" si="172" ref="R907:R938">Q907/P907*100</f>
        <v>100.68493150684932</v>
      </c>
    </row>
    <row r="908" spans="2:18" ht="12.75">
      <c r="B908" s="224">
        <f t="shared" si="168"/>
        <v>480</v>
      </c>
      <c r="C908" s="187"/>
      <c r="D908" s="188"/>
      <c r="E908" s="166"/>
      <c r="F908" s="166" t="s">
        <v>238</v>
      </c>
      <c r="G908" s="292" t="s">
        <v>294</v>
      </c>
      <c r="H908" s="206">
        <f>50+44</f>
        <v>94</v>
      </c>
      <c r="I908" s="206">
        <v>93</v>
      </c>
      <c r="J908" s="748">
        <f t="shared" si="169"/>
        <v>98.93617021276596</v>
      </c>
      <c r="K908" s="191"/>
      <c r="L908" s="757"/>
      <c r="M908" s="237"/>
      <c r="N908" s="716"/>
      <c r="O908" s="191"/>
      <c r="P908" s="219">
        <f t="shared" si="170"/>
        <v>94</v>
      </c>
      <c r="Q908" s="219">
        <f t="shared" si="171"/>
        <v>93</v>
      </c>
      <c r="R908" s="699">
        <f t="shared" si="172"/>
        <v>98.93617021276596</v>
      </c>
    </row>
    <row r="909" spans="2:18" ht="12.75">
      <c r="B909" s="224">
        <f t="shared" si="168"/>
        <v>481</v>
      </c>
      <c r="C909" s="187"/>
      <c r="D909" s="188"/>
      <c r="E909" s="166"/>
      <c r="F909" s="166" t="s">
        <v>255</v>
      </c>
      <c r="G909" s="292" t="s">
        <v>295</v>
      </c>
      <c r="H909" s="206">
        <f>530-40</f>
        <v>490</v>
      </c>
      <c r="I909" s="206">
        <v>495</v>
      </c>
      <c r="J909" s="748">
        <f t="shared" si="169"/>
        <v>101.0204081632653</v>
      </c>
      <c r="K909" s="191"/>
      <c r="L909" s="757"/>
      <c r="M909" s="237"/>
      <c r="N909" s="716"/>
      <c r="O909" s="191"/>
      <c r="P909" s="219">
        <f t="shared" si="170"/>
        <v>490</v>
      </c>
      <c r="Q909" s="219">
        <f t="shared" si="171"/>
        <v>495</v>
      </c>
      <c r="R909" s="699">
        <f t="shared" si="172"/>
        <v>101.0204081632653</v>
      </c>
    </row>
    <row r="910" spans="2:18" ht="15">
      <c r="B910" s="224">
        <f t="shared" si="168"/>
        <v>482</v>
      </c>
      <c r="C910" s="187"/>
      <c r="D910" s="398" t="s">
        <v>442</v>
      </c>
      <c r="E910" s="412" t="s">
        <v>501</v>
      </c>
      <c r="F910" s="402" t="s">
        <v>506</v>
      </c>
      <c r="G910" s="403"/>
      <c r="H910" s="404">
        <f>H911+H912+H913+H916</f>
        <v>23214</v>
      </c>
      <c r="I910" s="404">
        <f>I911+I912+I913+I916</f>
        <v>23256</v>
      </c>
      <c r="J910" s="785">
        <f t="shared" si="169"/>
        <v>100.18092530369604</v>
      </c>
      <c r="K910" s="191"/>
      <c r="L910" s="771"/>
      <c r="M910" s="772"/>
      <c r="N910" s="697"/>
      <c r="O910" s="191"/>
      <c r="P910" s="397">
        <f t="shared" si="170"/>
        <v>23214</v>
      </c>
      <c r="Q910" s="397">
        <f t="shared" si="171"/>
        <v>23256</v>
      </c>
      <c r="R910" s="704">
        <f t="shared" si="172"/>
        <v>100.18092530369604</v>
      </c>
    </row>
    <row r="911" spans="2:18" ht="12.75">
      <c r="B911" s="224">
        <f t="shared" si="168"/>
        <v>483</v>
      </c>
      <c r="C911" s="187"/>
      <c r="D911" s="188"/>
      <c r="E911" s="166"/>
      <c r="F911" s="188" t="s">
        <v>250</v>
      </c>
      <c r="G911" s="307" t="s">
        <v>291</v>
      </c>
      <c r="H911" s="207">
        <v>15800</v>
      </c>
      <c r="I911" s="207">
        <v>15540</v>
      </c>
      <c r="J911" s="748">
        <f t="shared" si="169"/>
        <v>98.35443037974684</v>
      </c>
      <c r="K911" s="191"/>
      <c r="L911" s="757"/>
      <c r="M911" s="237"/>
      <c r="N911" s="716"/>
      <c r="O911" s="191"/>
      <c r="P911" s="218">
        <f t="shared" si="170"/>
        <v>15800</v>
      </c>
      <c r="Q911" s="218">
        <f t="shared" si="171"/>
        <v>15540</v>
      </c>
      <c r="R911" s="699">
        <f t="shared" si="172"/>
        <v>98.35443037974684</v>
      </c>
    </row>
    <row r="912" spans="2:18" ht="12.75">
      <c r="B912" s="224">
        <f t="shared" si="168"/>
        <v>484</v>
      </c>
      <c r="C912" s="187"/>
      <c r="D912" s="188"/>
      <c r="E912" s="166"/>
      <c r="F912" s="188" t="s">
        <v>251</v>
      </c>
      <c r="G912" s="307" t="s">
        <v>292</v>
      </c>
      <c r="H912" s="207">
        <v>5600</v>
      </c>
      <c r="I912" s="207">
        <v>5857</v>
      </c>
      <c r="J912" s="748">
        <f t="shared" si="169"/>
        <v>104.58928571428572</v>
      </c>
      <c r="K912" s="191"/>
      <c r="L912" s="757"/>
      <c r="M912" s="237"/>
      <c r="N912" s="716"/>
      <c r="O912" s="191"/>
      <c r="P912" s="218">
        <f t="shared" si="170"/>
        <v>5600</v>
      </c>
      <c r="Q912" s="218">
        <f t="shared" si="171"/>
        <v>5857</v>
      </c>
      <c r="R912" s="699">
        <f t="shared" si="172"/>
        <v>104.58928571428572</v>
      </c>
    </row>
    <row r="913" spans="2:18" ht="12.75">
      <c r="B913" s="224">
        <f t="shared" si="168"/>
        <v>485</v>
      </c>
      <c r="C913" s="187"/>
      <c r="D913" s="188"/>
      <c r="E913" s="166"/>
      <c r="F913" s="188" t="s">
        <v>257</v>
      </c>
      <c r="G913" s="307" t="s">
        <v>428</v>
      </c>
      <c r="H913" s="207">
        <f>H914+H915</f>
        <v>545</v>
      </c>
      <c r="I913" s="207">
        <f>SUM(I914:I915)</f>
        <v>594</v>
      </c>
      <c r="J913" s="748">
        <f t="shared" si="169"/>
        <v>108.99082568807339</v>
      </c>
      <c r="K913" s="191"/>
      <c r="L913" s="757"/>
      <c r="M913" s="237"/>
      <c r="N913" s="716"/>
      <c r="O913" s="191"/>
      <c r="P913" s="218">
        <f t="shared" si="170"/>
        <v>545</v>
      </c>
      <c r="Q913" s="218">
        <f t="shared" si="171"/>
        <v>594</v>
      </c>
      <c r="R913" s="699">
        <f t="shared" si="172"/>
        <v>108.99082568807339</v>
      </c>
    </row>
    <row r="914" spans="2:18" ht="12.75">
      <c r="B914" s="224">
        <f t="shared" si="168"/>
        <v>486</v>
      </c>
      <c r="C914" s="187"/>
      <c r="D914" s="188"/>
      <c r="E914" s="166"/>
      <c r="F914" s="166" t="s">
        <v>238</v>
      </c>
      <c r="G914" s="292" t="s">
        <v>294</v>
      </c>
      <c r="H914" s="206">
        <f>100+46</f>
        <v>146</v>
      </c>
      <c r="I914" s="206">
        <v>146</v>
      </c>
      <c r="J914" s="748">
        <f t="shared" si="169"/>
        <v>100</v>
      </c>
      <c r="K914" s="191"/>
      <c r="L914" s="757"/>
      <c r="M914" s="237"/>
      <c r="N914" s="716"/>
      <c r="O914" s="191"/>
      <c r="P914" s="219">
        <f t="shared" si="170"/>
        <v>146</v>
      </c>
      <c r="Q914" s="219">
        <f t="shared" si="171"/>
        <v>146</v>
      </c>
      <c r="R914" s="699">
        <f t="shared" si="172"/>
        <v>100</v>
      </c>
    </row>
    <row r="915" spans="2:18" ht="12.75">
      <c r="B915" s="224">
        <f t="shared" si="168"/>
        <v>487</v>
      </c>
      <c r="C915" s="187"/>
      <c r="D915" s="188"/>
      <c r="E915" s="166"/>
      <c r="F915" s="166" t="s">
        <v>255</v>
      </c>
      <c r="G915" s="292" t="s">
        <v>295</v>
      </c>
      <c r="H915" s="206">
        <f>420-21</f>
        <v>399</v>
      </c>
      <c r="I915" s="206">
        <v>448</v>
      </c>
      <c r="J915" s="748">
        <f t="shared" si="169"/>
        <v>112.28070175438596</v>
      </c>
      <c r="K915" s="191"/>
      <c r="L915" s="757"/>
      <c r="M915" s="237"/>
      <c r="N915" s="716"/>
      <c r="O915" s="191"/>
      <c r="P915" s="219">
        <f t="shared" si="170"/>
        <v>399</v>
      </c>
      <c r="Q915" s="219">
        <f t="shared" si="171"/>
        <v>448</v>
      </c>
      <c r="R915" s="699">
        <f t="shared" si="172"/>
        <v>112.28070175438596</v>
      </c>
    </row>
    <row r="916" spans="2:18" ht="12.75">
      <c r="B916" s="224">
        <f t="shared" si="168"/>
        <v>488</v>
      </c>
      <c r="C916" s="187"/>
      <c r="D916" s="188"/>
      <c r="E916" s="222"/>
      <c r="F916" s="188" t="s">
        <v>256</v>
      </c>
      <c r="G916" s="307" t="s">
        <v>464</v>
      </c>
      <c r="H916" s="207">
        <v>1269</v>
      </c>
      <c r="I916" s="207">
        <v>1265</v>
      </c>
      <c r="J916" s="748">
        <f t="shared" si="169"/>
        <v>99.68479117415288</v>
      </c>
      <c r="K916" s="168"/>
      <c r="L916" s="636"/>
      <c r="M916" s="172"/>
      <c r="N916" s="697"/>
      <c r="O916" s="168"/>
      <c r="P916" s="396">
        <f t="shared" si="170"/>
        <v>1269</v>
      </c>
      <c r="Q916" s="396">
        <f t="shared" si="171"/>
        <v>1265</v>
      </c>
      <c r="R916" s="704">
        <f t="shared" si="172"/>
        <v>99.68479117415288</v>
      </c>
    </row>
    <row r="917" spans="2:18" ht="15">
      <c r="B917" s="224">
        <f t="shared" si="168"/>
        <v>489</v>
      </c>
      <c r="C917" s="187"/>
      <c r="D917" s="398" t="s">
        <v>445</v>
      </c>
      <c r="E917" s="240" t="s">
        <v>501</v>
      </c>
      <c r="F917" s="194" t="s">
        <v>507</v>
      </c>
      <c r="G917" s="366"/>
      <c r="H917" s="232">
        <f>H918+H919+H920</f>
        <v>20684</v>
      </c>
      <c r="I917" s="232">
        <f>SUM(I918:I920)</f>
        <v>20745</v>
      </c>
      <c r="J917" s="748">
        <f t="shared" si="169"/>
        <v>100.29491394314446</v>
      </c>
      <c r="K917" s="191"/>
      <c r="L917" s="783"/>
      <c r="M917" s="784"/>
      <c r="N917" s="716"/>
      <c r="O917" s="191"/>
      <c r="P917" s="395">
        <f t="shared" si="170"/>
        <v>20684</v>
      </c>
      <c r="Q917" s="395">
        <f t="shared" si="171"/>
        <v>20745</v>
      </c>
      <c r="R917" s="699">
        <f t="shared" si="172"/>
        <v>100.29491394314446</v>
      </c>
    </row>
    <row r="918" spans="2:18" ht="12.75">
      <c r="B918" s="224">
        <f t="shared" si="168"/>
        <v>490</v>
      </c>
      <c r="C918" s="187"/>
      <c r="D918" s="188"/>
      <c r="E918" s="166"/>
      <c r="F918" s="188" t="s">
        <v>250</v>
      </c>
      <c r="G918" s="307" t="s">
        <v>291</v>
      </c>
      <c r="H918" s="207">
        <v>15000</v>
      </c>
      <c r="I918" s="207">
        <v>14935</v>
      </c>
      <c r="J918" s="748">
        <f t="shared" si="169"/>
        <v>99.56666666666666</v>
      </c>
      <c r="K918" s="191"/>
      <c r="L918" s="757"/>
      <c r="M918" s="237"/>
      <c r="N918" s="716"/>
      <c r="O918" s="191"/>
      <c r="P918" s="218">
        <f t="shared" si="170"/>
        <v>15000</v>
      </c>
      <c r="Q918" s="218">
        <f t="shared" si="171"/>
        <v>14935</v>
      </c>
      <c r="R918" s="699">
        <f t="shared" si="172"/>
        <v>99.56666666666666</v>
      </c>
    </row>
    <row r="919" spans="2:18" ht="12.75">
      <c r="B919" s="458">
        <f t="shared" si="168"/>
        <v>491</v>
      </c>
      <c r="C919" s="459"/>
      <c r="D919" s="461"/>
      <c r="E919" s="460"/>
      <c r="F919" s="461" t="s">
        <v>251</v>
      </c>
      <c r="G919" s="462" t="s">
        <v>292</v>
      </c>
      <c r="H919" s="408">
        <v>5300</v>
      </c>
      <c r="I919" s="408">
        <v>5444</v>
      </c>
      <c r="J919" s="788">
        <f t="shared" si="169"/>
        <v>102.71698113207547</v>
      </c>
      <c r="K919" s="191"/>
      <c r="L919" s="757"/>
      <c r="M919" s="237"/>
      <c r="N919" s="716"/>
      <c r="O919" s="191"/>
      <c r="P919" s="218">
        <f t="shared" si="170"/>
        <v>5300</v>
      </c>
      <c r="Q919" s="218">
        <f t="shared" si="171"/>
        <v>5444</v>
      </c>
      <c r="R919" s="699">
        <f t="shared" si="172"/>
        <v>102.71698113207547</v>
      </c>
    </row>
    <row r="920" spans="2:18" ht="12.75">
      <c r="B920" s="647">
        <f t="shared" si="168"/>
        <v>492</v>
      </c>
      <c r="C920" s="433"/>
      <c r="D920" s="426"/>
      <c r="E920" s="434"/>
      <c r="F920" s="426" t="s">
        <v>257</v>
      </c>
      <c r="G920" s="311" t="s">
        <v>428</v>
      </c>
      <c r="H920" s="207">
        <f>H921+H922</f>
        <v>384</v>
      </c>
      <c r="I920" s="207">
        <f>SUM(I921:I922)</f>
        <v>366</v>
      </c>
      <c r="J920" s="748">
        <f t="shared" si="169"/>
        <v>95.3125</v>
      </c>
      <c r="K920" s="375"/>
      <c r="L920" s="728"/>
      <c r="M920" s="190"/>
      <c r="N920" s="697"/>
      <c r="O920" s="375"/>
      <c r="P920" s="396">
        <f t="shared" si="170"/>
        <v>384</v>
      </c>
      <c r="Q920" s="396">
        <f t="shared" si="171"/>
        <v>366</v>
      </c>
      <c r="R920" s="704">
        <f t="shared" si="172"/>
        <v>95.3125</v>
      </c>
    </row>
    <row r="921" spans="2:18" ht="12.75">
      <c r="B921" s="647">
        <f t="shared" si="168"/>
        <v>493</v>
      </c>
      <c r="C921" s="433"/>
      <c r="D921" s="426"/>
      <c r="E921" s="434"/>
      <c r="F921" s="434" t="s">
        <v>238</v>
      </c>
      <c r="G921" s="310" t="s">
        <v>294</v>
      </c>
      <c r="H921" s="206">
        <f>100+18</f>
        <v>118</v>
      </c>
      <c r="I921" s="206">
        <v>83</v>
      </c>
      <c r="J921" s="748">
        <f t="shared" si="169"/>
        <v>70.33898305084746</v>
      </c>
      <c r="K921" s="375"/>
      <c r="L921" s="728"/>
      <c r="M921" s="190"/>
      <c r="N921" s="697"/>
      <c r="O921" s="375"/>
      <c r="P921" s="221">
        <f t="shared" si="170"/>
        <v>118</v>
      </c>
      <c r="Q921" s="221">
        <f t="shared" si="171"/>
        <v>83</v>
      </c>
      <c r="R921" s="704">
        <f t="shared" si="172"/>
        <v>70.33898305084746</v>
      </c>
    </row>
    <row r="922" spans="2:18" ht="12.75">
      <c r="B922" s="647">
        <f t="shared" si="168"/>
        <v>494</v>
      </c>
      <c r="C922" s="433"/>
      <c r="D922" s="426"/>
      <c r="E922" s="434"/>
      <c r="F922" s="434" t="s">
        <v>255</v>
      </c>
      <c r="G922" s="310" t="s">
        <v>295</v>
      </c>
      <c r="H922" s="206">
        <f>510-244</f>
        <v>266</v>
      </c>
      <c r="I922" s="206">
        <v>283</v>
      </c>
      <c r="J922" s="748">
        <f t="shared" si="169"/>
        <v>106.39097744360902</v>
      </c>
      <c r="K922" s="375"/>
      <c r="L922" s="728"/>
      <c r="M922" s="190"/>
      <c r="N922" s="697"/>
      <c r="O922" s="375"/>
      <c r="P922" s="221">
        <f t="shared" si="170"/>
        <v>266</v>
      </c>
      <c r="Q922" s="221">
        <f t="shared" si="171"/>
        <v>283</v>
      </c>
      <c r="R922" s="704">
        <f t="shared" si="172"/>
        <v>106.39097744360902</v>
      </c>
    </row>
    <row r="923" spans="2:18" ht="15">
      <c r="B923" s="647">
        <f t="shared" si="168"/>
        <v>495</v>
      </c>
      <c r="C923" s="433"/>
      <c r="D923" s="569" t="s">
        <v>447</v>
      </c>
      <c r="E923" s="240" t="s">
        <v>501</v>
      </c>
      <c r="F923" s="194" t="s">
        <v>508</v>
      </c>
      <c r="G923" s="366"/>
      <c r="H923" s="232">
        <f>H924+H925+H926</f>
        <v>11773</v>
      </c>
      <c r="I923" s="232">
        <f>SUM(I924:I926)</f>
        <v>11944</v>
      </c>
      <c r="J923" s="748">
        <f t="shared" si="169"/>
        <v>101.4524760044169</v>
      </c>
      <c r="K923" s="375"/>
      <c r="L923" s="771"/>
      <c r="M923" s="772"/>
      <c r="N923" s="697"/>
      <c r="O923" s="375"/>
      <c r="P923" s="397">
        <f t="shared" si="170"/>
        <v>11773</v>
      </c>
      <c r="Q923" s="397">
        <f t="shared" si="171"/>
        <v>11944</v>
      </c>
      <c r="R923" s="704">
        <f t="shared" si="172"/>
        <v>101.4524760044169</v>
      </c>
    </row>
    <row r="924" spans="2:18" ht="12.75">
      <c r="B924" s="647">
        <f t="shared" si="168"/>
        <v>496</v>
      </c>
      <c r="C924" s="433"/>
      <c r="D924" s="426"/>
      <c r="E924" s="434"/>
      <c r="F924" s="426" t="s">
        <v>250</v>
      </c>
      <c r="G924" s="311" t="s">
        <v>291</v>
      </c>
      <c r="H924" s="207">
        <v>8500</v>
      </c>
      <c r="I924" s="207">
        <v>8651</v>
      </c>
      <c r="J924" s="748">
        <f t="shared" si="169"/>
        <v>101.77647058823528</v>
      </c>
      <c r="K924" s="375"/>
      <c r="L924" s="728"/>
      <c r="M924" s="190"/>
      <c r="N924" s="697"/>
      <c r="O924" s="375"/>
      <c r="P924" s="396">
        <f t="shared" si="170"/>
        <v>8500</v>
      </c>
      <c r="Q924" s="396">
        <f t="shared" si="171"/>
        <v>8651</v>
      </c>
      <c r="R924" s="704">
        <f t="shared" si="172"/>
        <v>101.77647058823528</v>
      </c>
    </row>
    <row r="925" spans="2:18" ht="12.75">
      <c r="B925" s="224">
        <f t="shared" si="168"/>
        <v>497</v>
      </c>
      <c r="C925" s="187"/>
      <c r="D925" s="188"/>
      <c r="E925" s="166"/>
      <c r="F925" s="188" t="s">
        <v>251</v>
      </c>
      <c r="G925" s="307" t="s">
        <v>292</v>
      </c>
      <c r="H925" s="411">
        <v>3000</v>
      </c>
      <c r="I925" s="411">
        <v>3025</v>
      </c>
      <c r="J925" s="785">
        <f t="shared" si="169"/>
        <v>100.83333333333333</v>
      </c>
      <c r="K925" s="191"/>
      <c r="L925" s="767"/>
      <c r="M925" s="768"/>
      <c r="N925" s="723"/>
      <c r="O925" s="191"/>
      <c r="P925" s="568">
        <f t="shared" si="170"/>
        <v>3000</v>
      </c>
      <c r="Q925" s="568">
        <f t="shared" si="171"/>
        <v>3025</v>
      </c>
      <c r="R925" s="724">
        <f t="shared" si="172"/>
        <v>100.83333333333333</v>
      </c>
    </row>
    <row r="926" spans="2:18" ht="12.75">
      <c r="B926" s="224">
        <f t="shared" si="168"/>
        <v>498</v>
      </c>
      <c r="C926" s="187"/>
      <c r="D926" s="188"/>
      <c r="E926" s="166"/>
      <c r="F926" s="188" t="s">
        <v>257</v>
      </c>
      <c r="G926" s="307" t="s">
        <v>428</v>
      </c>
      <c r="H926" s="207">
        <f>H927+H928</f>
        <v>273</v>
      </c>
      <c r="I926" s="207">
        <f>SUM(I927:I928)</f>
        <v>268</v>
      </c>
      <c r="J926" s="748">
        <f t="shared" si="169"/>
        <v>98.16849816849816</v>
      </c>
      <c r="K926" s="191"/>
      <c r="L926" s="757"/>
      <c r="M926" s="237"/>
      <c r="N926" s="716"/>
      <c r="O926" s="191"/>
      <c r="P926" s="218">
        <f t="shared" si="170"/>
        <v>273</v>
      </c>
      <c r="Q926" s="218">
        <f t="shared" si="171"/>
        <v>268</v>
      </c>
      <c r="R926" s="699">
        <f t="shared" si="172"/>
        <v>98.16849816849816</v>
      </c>
    </row>
    <row r="927" spans="2:18" ht="12.75">
      <c r="B927" s="224">
        <f t="shared" si="168"/>
        <v>499</v>
      </c>
      <c r="C927" s="187"/>
      <c r="D927" s="188"/>
      <c r="E927" s="166"/>
      <c r="F927" s="166" t="s">
        <v>238</v>
      </c>
      <c r="G927" s="292" t="s">
        <v>294</v>
      </c>
      <c r="H927" s="206">
        <f>50-2</f>
        <v>48</v>
      </c>
      <c r="I927" s="206">
        <v>30</v>
      </c>
      <c r="J927" s="748">
        <f t="shared" si="169"/>
        <v>62.5</v>
      </c>
      <c r="K927" s="191"/>
      <c r="L927" s="757"/>
      <c r="M927" s="237"/>
      <c r="N927" s="716"/>
      <c r="O927" s="191"/>
      <c r="P927" s="219">
        <f t="shared" si="170"/>
        <v>48</v>
      </c>
      <c r="Q927" s="219">
        <f t="shared" si="171"/>
        <v>30</v>
      </c>
      <c r="R927" s="699">
        <f t="shared" si="172"/>
        <v>62.5</v>
      </c>
    </row>
    <row r="928" spans="2:18" ht="12.75">
      <c r="B928" s="224">
        <f t="shared" si="168"/>
        <v>500</v>
      </c>
      <c r="C928" s="187"/>
      <c r="D928" s="188"/>
      <c r="E928" s="166"/>
      <c r="F928" s="166" t="s">
        <v>255</v>
      </c>
      <c r="G928" s="292" t="s">
        <v>295</v>
      </c>
      <c r="H928" s="206">
        <f>500-275</f>
        <v>225</v>
      </c>
      <c r="I928" s="206">
        <v>238</v>
      </c>
      <c r="J928" s="748">
        <f t="shared" si="169"/>
        <v>105.77777777777777</v>
      </c>
      <c r="K928" s="191"/>
      <c r="L928" s="757"/>
      <c r="M928" s="237"/>
      <c r="N928" s="716"/>
      <c r="O928" s="191"/>
      <c r="P928" s="219">
        <f t="shared" si="170"/>
        <v>225</v>
      </c>
      <c r="Q928" s="219">
        <f t="shared" si="171"/>
        <v>238</v>
      </c>
      <c r="R928" s="699">
        <f t="shared" si="172"/>
        <v>105.77777777777777</v>
      </c>
    </row>
    <row r="929" spans="2:18" ht="15">
      <c r="B929" s="224">
        <f t="shared" si="168"/>
        <v>501</v>
      </c>
      <c r="C929" s="187"/>
      <c r="D929" s="398" t="s">
        <v>449</v>
      </c>
      <c r="E929" s="240" t="s">
        <v>501</v>
      </c>
      <c r="F929" s="194" t="s">
        <v>509</v>
      </c>
      <c r="G929" s="366"/>
      <c r="H929" s="232">
        <f>H930+H931+H932</f>
        <v>15275</v>
      </c>
      <c r="I929" s="232">
        <f>SUM(I930:I932)</f>
        <v>14533</v>
      </c>
      <c r="J929" s="748">
        <f t="shared" si="169"/>
        <v>95.14238952536826</v>
      </c>
      <c r="K929" s="191"/>
      <c r="L929" s="783"/>
      <c r="M929" s="784"/>
      <c r="N929" s="716"/>
      <c r="O929" s="191"/>
      <c r="P929" s="395">
        <f t="shared" si="170"/>
        <v>15275</v>
      </c>
      <c r="Q929" s="395">
        <f t="shared" si="171"/>
        <v>14533</v>
      </c>
      <c r="R929" s="699">
        <f t="shared" si="172"/>
        <v>95.14238952536826</v>
      </c>
    </row>
    <row r="930" spans="2:18" ht="12.75">
      <c r="B930" s="224">
        <f t="shared" si="168"/>
        <v>502</v>
      </c>
      <c r="C930" s="187"/>
      <c r="D930" s="188"/>
      <c r="E930" s="166"/>
      <c r="F930" s="188" t="s">
        <v>250</v>
      </c>
      <c r="G930" s="307" t="s">
        <v>291</v>
      </c>
      <c r="H930" s="207">
        <v>11000</v>
      </c>
      <c r="I930" s="207">
        <v>10454</v>
      </c>
      <c r="J930" s="748">
        <f t="shared" si="169"/>
        <v>95.03636363636365</v>
      </c>
      <c r="K930" s="191"/>
      <c r="L930" s="757"/>
      <c r="M930" s="237"/>
      <c r="N930" s="716"/>
      <c r="O930" s="191"/>
      <c r="P930" s="218">
        <f t="shared" si="170"/>
        <v>11000</v>
      </c>
      <c r="Q930" s="218">
        <f t="shared" si="171"/>
        <v>10454</v>
      </c>
      <c r="R930" s="699">
        <f t="shared" si="172"/>
        <v>95.03636363636365</v>
      </c>
    </row>
    <row r="931" spans="2:18" ht="12.75">
      <c r="B931" s="224">
        <f t="shared" si="168"/>
        <v>503</v>
      </c>
      <c r="C931" s="187"/>
      <c r="D931" s="188"/>
      <c r="E931" s="166"/>
      <c r="F931" s="188" t="s">
        <v>251</v>
      </c>
      <c r="G931" s="307" t="s">
        <v>292</v>
      </c>
      <c r="H931" s="207">
        <v>3900</v>
      </c>
      <c r="I931" s="207">
        <v>3702</v>
      </c>
      <c r="J931" s="748">
        <f t="shared" si="169"/>
        <v>94.92307692307692</v>
      </c>
      <c r="K931" s="191"/>
      <c r="L931" s="757"/>
      <c r="M931" s="237"/>
      <c r="N931" s="716"/>
      <c r="O931" s="191"/>
      <c r="P931" s="218">
        <f t="shared" si="170"/>
        <v>3900</v>
      </c>
      <c r="Q931" s="218">
        <f t="shared" si="171"/>
        <v>3702</v>
      </c>
      <c r="R931" s="699">
        <f t="shared" si="172"/>
        <v>94.92307692307692</v>
      </c>
    </row>
    <row r="932" spans="2:18" ht="12.75">
      <c r="B932" s="224">
        <f t="shared" si="168"/>
        <v>504</v>
      </c>
      <c r="C932" s="187"/>
      <c r="D932" s="188"/>
      <c r="E932" s="166"/>
      <c r="F932" s="188" t="s">
        <v>257</v>
      </c>
      <c r="G932" s="307" t="s">
        <v>428</v>
      </c>
      <c r="H932" s="207">
        <f>H933+H934</f>
        <v>375</v>
      </c>
      <c r="I932" s="207">
        <f>SUM(I933:I934)</f>
        <v>377</v>
      </c>
      <c r="J932" s="748">
        <f t="shared" si="169"/>
        <v>100.53333333333335</v>
      </c>
      <c r="K932" s="191"/>
      <c r="L932" s="757"/>
      <c r="M932" s="237"/>
      <c r="N932" s="716"/>
      <c r="O932" s="191"/>
      <c r="P932" s="218">
        <f t="shared" si="170"/>
        <v>375</v>
      </c>
      <c r="Q932" s="218">
        <f t="shared" si="171"/>
        <v>377</v>
      </c>
      <c r="R932" s="699">
        <f t="shared" si="172"/>
        <v>100.53333333333335</v>
      </c>
    </row>
    <row r="933" spans="2:18" ht="12.75">
      <c r="B933" s="224">
        <f t="shared" si="168"/>
        <v>505</v>
      </c>
      <c r="C933" s="187"/>
      <c r="D933" s="188"/>
      <c r="E933" s="166"/>
      <c r="F933" s="166" t="s">
        <v>238</v>
      </c>
      <c r="G933" s="292" t="s">
        <v>294</v>
      </c>
      <c r="H933" s="206">
        <f>100+25</f>
        <v>125</v>
      </c>
      <c r="I933" s="206">
        <v>125</v>
      </c>
      <c r="J933" s="748">
        <f t="shared" si="169"/>
        <v>100</v>
      </c>
      <c r="K933" s="191"/>
      <c r="L933" s="757"/>
      <c r="M933" s="237"/>
      <c r="N933" s="716"/>
      <c r="O933" s="191"/>
      <c r="P933" s="219">
        <f t="shared" si="170"/>
        <v>125</v>
      </c>
      <c r="Q933" s="219">
        <f t="shared" si="171"/>
        <v>125</v>
      </c>
      <c r="R933" s="699">
        <f t="shared" si="172"/>
        <v>100</v>
      </c>
    </row>
    <row r="934" spans="2:18" ht="12.75">
      <c r="B934" s="224">
        <f t="shared" si="168"/>
        <v>506</v>
      </c>
      <c r="C934" s="187"/>
      <c r="D934" s="188"/>
      <c r="E934" s="166"/>
      <c r="F934" s="166" t="s">
        <v>255</v>
      </c>
      <c r="G934" s="292" t="s">
        <v>295</v>
      </c>
      <c r="H934" s="206">
        <f>500-250</f>
        <v>250</v>
      </c>
      <c r="I934" s="206">
        <v>252</v>
      </c>
      <c r="J934" s="748">
        <f t="shared" si="169"/>
        <v>100.8</v>
      </c>
      <c r="K934" s="191"/>
      <c r="L934" s="757"/>
      <c r="M934" s="237"/>
      <c r="N934" s="716"/>
      <c r="O934" s="191"/>
      <c r="P934" s="219">
        <f t="shared" si="170"/>
        <v>250</v>
      </c>
      <c r="Q934" s="219">
        <f t="shared" si="171"/>
        <v>252</v>
      </c>
      <c r="R934" s="699">
        <f t="shared" si="172"/>
        <v>100.8</v>
      </c>
    </row>
    <row r="935" spans="2:18" ht="15">
      <c r="B935" s="224">
        <f t="shared" si="168"/>
        <v>507</v>
      </c>
      <c r="C935" s="187"/>
      <c r="D935" s="398" t="s">
        <v>451</v>
      </c>
      <c r="E935" s="240" t="s">
        <v>501</v>
      </c>
      <c r="F935" s="194" t="s">
        <v>472</v>
      </c>
      <c r="G935" s="366"/>
      <c r="H935" s="232">
        <f>H936+H937+H938+H944</f>
        <v>79660</v>
      </c>
      <c r="I935" s="232">
        <f>I936+I937+I938+I944</f>
        <v>79660</v>
      </c>
      <c r="J935" s="748">
        <f t="shared" si="169"/>
        <v>100</v>
      </c>
      <c r="K935" s="191"/>
      <c r="L935" s="783"/>
      <c r="M935" s="784"/>
      <c r="N935" s="716"/>
      <c r="O935" s="191"/>
      <c r="P935" s="395">
        <f t="shared" si="170"/>
        <v>79660</v>
      </c>
      <c r="Q935" s="395">
        <f t="shared" si="171"/>
        <v>79660</v>
      </c>
      <c r="R935" s="699">
        <f t="shared" si="172"/>
        <v>100</v>
      </c>
    </row>
    <row r="936" spans="2:18" ht="12.75">
      <c r="B936" s="224">
        <f t="shared" si="168"/>
        <v>508</v>
      </c>
      <c r="C936" s="187"/>
      <c r="D936" s="188"/>
      <c r="E936" s="166"/>
      <c r="F936" s="188" t="s">
        <v>250</v>
      </c>
      <c r="G936" s="307" t="s">
        <v>291</v>
      </c>
      <c r="H936" s="207">
        <v>47100</v>
      </c>
      <c r="I936" s="207">
        <v>47445</v>
      </c>
      <c r="J936" s="748">
        <f t="shared" si="169"/>
        <v>100.73248407643311</v>
      </c>
      <c r="K936" s="191"/>
      <c r="L936" s="757"/>
      <c r="M936" s="237"/>
      <c r="N936" s="716"/>
      <c r="O936" s="191"/>
      <c r="P936" s="218">
        <f t="shared" si="170"/>
        <v>47100</v>
      </c>
      <c r="Q936" s="218">
        <f t="shared" si="171"/>
        <v>47445</v>
      </c>
      <c r="R936" s="699">
        <f t="shared" si="172"/>
        <v>100.73248407643311</v>
      </c>
    </row>
    <row r="937" spans="2:18" ht="12.75">
      <c r="B937" s="224">
        <f t="shared" si="168"/>
        <v>509</v>
      </c>
      <c r="C937" s="187"/>
      <c r="D937" s="188"/>
      <c r="E937" s="166"/>
      <c r="F937" s="188" t="s">
        <v>251</v>
      </c>
      <c r="G937" s="307" t="s">
        <v>292</v>
      </c>
      <c r="H937" s="207">
        <v>16829</v>
      </c>
      <c r="I937" s="207">
        <v>16612</v>
      </c>
      <c r="J937" s="748">
        <f t="shared" si="169"/>
        <v>98.71055915384159</v>
      </c>
      <c r="K937" s="191"/>
      <c r="L937" s="757"/>
      <c r="M937" s="237"/>
      <c r="N937" s="716"/>
      <c r="O937" s="191"/>
      <c r="P937" s="218">
        <f t="shared" si="170"/>
        <v>16829</v>
      </c>
      <c r="Q937" s="218">
        <f t="shared" si="171"/>
        <v>16612</v>
      </c>
      <c r="R937" s="699">
        <f t="shared" si="172"/>
        <v>98.71055915384159</v>
      </c>
    </row>
    <row r="938" spans="2:18" ht="12.75">
      <c r="B938" s="224">
        <f t="shared" si="168"/>
        <v>510</v>
      </c>
      <c r="C938" s="187"/>
      <c r="D938" s="188"/>
      <c r="E938" s="166"/>
      <c r="F938" s="188" t="s">
        <v>257</v>
      </c>
      <c r="G938" s="307" t="s">
        <v>428</v>
      </c>
      <c r="H938" s="207">
        <f>H939+H940+H941+H942+H943</f>
        <v>15481</v>
      </c>
      <c r="I938" s="207">
        <f>I939+I940+I941+I942+I943</f>
        <v>15481</v>
      </c>
      <c r="J938" s="748">
        <f t="shared" si="169"/>
        <v>100</v>
      </c>
      <c r="K938" s="191"/>
      <c r="L938" s="757"/>
      <c r="M938" s="237"/>
      <c r="N938" s="716"/>
      <c r="O938" s="191"/>
      <c r="P938" s="218">
        <f t="shared" si="170"/>
        <v>15481</v>
      </c>
      <c r="Q938" s="218">
        <f t="shared" si="171"/>
        <v>15481</v>
      </c>
      <c r="R938" s="699">
        <f t="shared" si="172"/>
        <v>100</v>
      </c>
    </row>
    <row r="939" spans="2:18" ht="12.75">
      <c r="B939" s="224">
        <f t="shared" si="168"/>
        <v>511</v>
      </c>
      <c r="C939" s="187"/>
      <c r="D939" s="188"/>
      <c r="E939" s="166"/>
      <c r="F939" s="166" t="s">
        <v>252</v>
      </c>
      <c r="G939" s="292" t="s">
        <v>305</v>
      </c>
      <c r="H939" s="206">
        <v>50</v>
      </c>
      <c r="I939" s="206">
        <v>0</v>
      </c>
      <c r="J939" s="748">
        <f aca="true" t="shared" si="173" ref="J939:J957">I939/H939*100</f>
        <v>0</v>
      </c>
      <c r="K939" s="191"/>
      <c r="L939" s="757"/>
      <c r="M939" s="237"/>
      <c r="N939" s="716"/>
      <c r="O939" s="191"/>
      <c r="P939" s="219">
        <f aca="true" t="shared" si="174" ref="P939:P957">H939+L939</f>
        <v>50</v>
      </c>
      <c r="Q939" s="219">
        <f aca="true" t="shared" si="175" ref="Q939:Q957">M939+I939</f>
        <v>0</v>
      </c>
      <c r="R939" s="699">
        <f aca="true" t="shared" si="176" ref="R939:R957">Q939/P939*100</f>
        <v>0</v>
      </c>
    </row>
    <row r="940" spans="2:18" ht="12.75">
      <c r="B940" s="224">
        <f t="shared" si="168"/>
        <v>512</v>
      </c>
      <c r="C940" s="187"/>
      <c r="D940" s="188"/>
      <c r="E940" s="166"/>
      <c r="F940" s="166" t="s">
        <v>237</v>
      </c>
      <c r="G940" s="292" t="s">
        <v>398</v>
      </c>
      <c r="H940" s="206">
        <v>7046</v>
      </c>
      <c r="I940" s="206">
        <v>3403</v>
      </c>
      <c r="J940" s="748">
        <f t="shared" si="173"/>
        <v>48.29690604598353</v>
      </c>
      <c r="K940" s="191"/>
      <c r="L940" s="757"/>
      <c r="M940" s="237"/>
      <c r="N940" s="716"/>
      <c r="O940" s="191"/>
      <c r="P940" s="219">
        <f t="shared" si="174"/>
        <v>7046</v>
      </c>
      <c r="Q940" s="219">
        <f t="shared" si="175"/>
        <v>3403</v>
      </c>
      <c r="R940" s="699">
        <f t="shared" si="176"/>
        <v>48.29690604598353</v>
      </c>
    </row>
    <row r="941" spans="2:18" ht="12.75">
      <c r="B941" s="224">
        <f t="shared" si="168"/>
        <v>513</v>
      </c>
      <c r="C941" s="187"/>
      <c r="D941" s="188"/>
      <c r="E941" s="166"/>
      <c r="F941" s="166" t="s">
        <v>238</v>
      </c>
      <c r="G941" s="292" t="s">
        <v>294</v>
      </c>
      <c r="H941" s="206">
        <v>4175</v>
      </c>
      <c r="I941" s="206">
        <v>4560</v>
      </c>
      <c r="J941" s="748">
        <f t="shared" si="173"/>
        <v>109.22155688622755</v>
      </c>
      <c r="K941" s="191"/>
      <c r="L941" s="757"/>
      <c r="M941" s="237"/>
      <c r="N941" s="716"/>
      <c r="O941" s="191"/>
      <c r="P941" s="219">
        <f t="shared" si="174"/>
        <v>4175</v>
      </c>
      <c r="Q941" s="219">
        <f t="shared" si="175"/>
        <v>4560</v>
      </c>
      <c r="R941" s="699">
        <f t="shared" si="176"/>
        <v>109.22155688622755</v>
      </c>
    </row>
    <row r="942" spans="2:18" ht="12.75">
      <c r="B942" s="224">
        <f t="shared" si="168"/>
        <v>514</v>
      </c>
      <c r="C942" s="433"/>
      <c r="D942" s="426"/>
      <c r="E942" s="434"/>
      <c r="F942" s="434" t="s">
        <v>253</v>
      </c>
      <c r="G942" s="310" t="s">
        <v>311</v>
      </c>
      <c r="H942" s="206">
        <v>350</v>
      </c>
      <c r="I942" s="206">
        <v>1967</v>
      </c>
      <c r="J942" s="748">
        <f t="shared" si="173"/>
        <v>562</v>
      </c>
      <c r="K942" s="191"/>
      <c r="L942" s="757"/>
      <c r="M942" s="237"/>
      <c r="N942" s="716"/>
      <c r="O942" s="191"/>
      <c r="P942" s="219">
        <f t="shared" si="174"/>
        <v>350</v>
      </c>
      <c r="Q942" s="219">
        <f t="shared" si="175"/>
        <v>1967</v>
      </c>
      <c r="R942" s="699">
        <f t="shared" si="176"/>
        <v>562</v>
      </c>
    </row>
    <row r="943" spans="2:18" ht="12.75">
      <c r="B943" s="224">
        <f t="shared" si="168"/>
        <v>515</v>
      </c>
      <c r="C943" s="187"/>
      <c r="D943" s="188"/>
      <c r="E943" s="166"/>
      <c r="F943" s="166" t="s">
        <v>255</v>
      </c>
      <c r="G943" s="292" t="s">
        <v>295</v>
      </c>
      <c r="H943" s="206">
        <v>3860</v>
      </c>
      <c r="I943" s="206">
        <v>5551</v>
      </c>
      <c r="J943" s="748">
        <f t="shared" si="173"/>
        <v>143.8082901554404</v>
      </c>
      <c r="K943" s="191"/>
      <c r="L943" s="757"/>
      <c r="M943" s="237"/>
      <c r="N943" s="716"/>
      <c r="O943" s="191"/>
      <c r="P943" s="219">
        <f t="shared" si="174"/>
        <v>3860</v>
      </c>
      <c r="Q943" s="219">
        <f t="shared" si="175"/>
        <v>5551</v>
      </c>
      <c r="R943" s="699">
        <f t="shared" si="176"/>
        <v>143.8082901554404</v>
      </c>
    </row>
    <row r="944" spans="2:18" ht="12.75">
      <c r="B944" s="224">
        <f t="shared" si="168"/>
        <v>516</v>
      </c>
      <c r="C944" s="187"/>
      <c r="D944" s="188"/>
      <c r="E944" s="166"/>
      <c r="F944" s="188" t="s">
        <v>256</v>
      </c>
      <c r="G944" s="307" t="s">
        <v>464</v>
      </c>
      <c r="H944" s="408">
        <v>250</v>
      </c>
      <c r="I944" s="408">
        <v>122</v>
      </c>
      <c r="J944" s="788">
        <f t="shared" si="173"/>
        <v>48.8</v>
      </c>
      <c r="K944" s="424"/>
      <c r="L944" s="728"/>
      <c r="M944" s="190"/>
      <c r="N944" s="697"/>
      <c r="O944" s="424"/>
      <c r="P944" s="396">
        <f t="shared" si="174"/>
        <v>250</v>
      </c>
      <c r="Q944" s="396">
        <f t="shared" si="175"/>
        <v>122</v>
      </c>
      <c r="R944" s="704">
        <f t="shared" si="176"/>
        <v>48.8</v>
      </c>
    </row>
    <row r="945" spans="2:18" ht="15">
      <c r="B945" s="224">
        <f t="shared" si="168"/>
        <v>517</v>
      </c>
      <c r="C945" s="187"/>
      <c r="D945" s="398" t="s">
        <v>453</v>
      </c>
      <c r="E945" s="412" t="s">
        <v>501</v>
      </c>
      <c r="F945" s="402" t="s">
        <v>473</v>
      </c>
      <c r="G945" s="403"/>
      <c r="H945" s="524">
        <f>H946+H947+H948+H953</f>
        <v>78742</v>
      </c>
      <c r="I945" s="524">
        <f>I946+I947+I948+I953</f>
        <v>82230</v>
      </c>
      <c r="J945" s="697">
        <f t="shared" si="173"/>
        <v>104.42965634604151</v>
      </c>
      <c r="K945" s="191"/>
      <c r="L945" s="786"/>
      <c r="M945" s="787"/>
      <c r="N945" s="723"/>
      <c r="O945" s="191"/>
      <c r="P945" s="405">
        <f t="shared" si="174"/>
        <v>78742</v>
      </c>
      <c r="Q945" s="405">
        <f t="shared" si="175"/>
        <v>82230</v>
      </c>
      <c r="R945" s="724">
        <f t="shared" si="176"/>
        <v>104.42965634604151</v>
      </c>
    </row>
    <row r="946" spans="2:18" ht="12.75">
      <c r="B946" s="224">
        <f t="shared" si="168"/>
        <v>518</v>
      </c>
      <c r="C946" s="187"/>
      <c r="D946" s="188"/>
      <c r="E946" s="166"/>
      <c r="F946" s="188" t="s">
        <v>250</v>
      </c>
      <c r="G946" s="307" t="s">
        <v>291</v>
      </c>
      <c r="H946" s="207">
        <f>52250-5917</f>
        <v>46333</v>
      </c>
      <c r="I946" s="207">
        <v>46333</v>
      </c>
      <c r="J946" s="748">
        <f t="shared" si="173"/>
        <v>100</v>
      </c>
      <c r="K946" s="191"/>
      <c r="L946" s="757"/>
      <c r="M946" s="237"/>
      <c r="N946" s="716"/>
      <c r="O946" s="191"/>
      <c r="P946" s="218">
        <f t="shared" si="174"/>
        <v>46333</v>
      </c>
      <c r="Q946" s="218">
        <f t="shared" si="175"/>
        <v>46333</v>
      </c>
      <c r="R946" s="699">
        <f t="shared" si="176"/>
        <v>100</v>
      </c>
    </row>
    <row r="947" spans="2:18" ht="12.75">
      <c r="B947" s="224">
        <f t="shared" si="168"/>
        <v>519</v>
      </c>
      <c r="C947" s="187"/>
      <c r="D947" s="188"/>
      <c r="E947" s="166"/>
      <c r="F947" s="188" t="s">
        <v>251</v>
      </c>
      <c r="G947" s="307" t="s">
        <v>292</v>
      </c>
      <c r="H947" s="207">
        <f>18392-2083</f>
        <v>16309</v>
      </c>
      <c r="I947" s="207">
        <v>16309</v>
      </c>
      <c r="J947" s="748">
        <f t="shared" si="173"/>
        <v>100</v>
      </c>
      <c r="K947" s="191"/>
      <c r="L947" s="757"/>
      <c r="M947" s="237"/>
      <c r="N947" s="716"/>
      <c r="O947" s="191"/>
      <c r="P947" s="218">
        <f t="shared" si="174"/>
        <v>16309</v>
      </c>
      <c r="Q947" s="218">
        <f t="shared" si="175"/>
        <v>16309</v>
      </c>
      <c r="R947" s="699">
        <f t="shared" si="176"/>
        <v>100</v>
      </c>
    </row>
    <row r="948" spans="2:18" ht="12.75">
      <c r="B948" s="224">
        <f t="shared" si="168"/>
        <v>520</v>
      </c>
      <c r="C948" s="187"/>
      <c r="D948" s="188"/>
      <c r="E948" s="166"/>
      <c r="F948" s="188" t="s">
        <v>257</v>
      </c>
      <c r="G948" s="307" t="s">
        <v>428</v>
      </c>
      <c r="H948" s="207">
        <f>H949+H950+H951+H952</f>
        <v>15900</v>
      </c>
      <c r="I948" s="207">
        <f>I949+I950+I951+I952</f>
        <v>19388</v>
      </c>
      <c r="J948" s="748">
        <f t="shared" si="173"/>
        <v>121.937106918239</v>
      </c>
      <c r="K948" s="191"/>
      <c r="L948" s="757"/>
      <c r="M948" s="237"/>
      <c r="N948" s="716"/>
      <c r="O948" s="191"/>
      <c r="P948" s="218">
        <f t="shared" si="174"/>
        <v>15900</v>
      </c>
      <c r="Q948" s="218">
        <f t="shared" si="175"/>
        <v>19388</v>
      </c>
      <c r="R948" s="699">
        <f t="shared" si="176"/>
        <v>121.937106918239</v>
      </c>
    </row>
    <row r="949" spans="2:18" ht="12.75">
      <c r="B949" s="224">
        <f t="shared" si="168"/>
        <v>521</v>
      </c>
      <c r="C949" s="187"/>
      <c r="D949" s="188"/>
      <c r="E949" s="166"/>
      <c r="F949" s="166" t="s">
        <v>237</v>
      </c>
      <c r="G949" s="292" t="s">
        <v>398</v>
      </c>
      <c r="H949" s="206">
        <v>8000</v>
      </c>
      <c r="I949" s="206">
        <v>8000</v>
      </c>
      <c r="J949" s="748">
        <f t="shared" si="173"/>
        <v>100</v>
      </c>
      <c r="K949" s="191"/>
      <c r="L949" s="757"/>
      <c r="M949" s="237"/>
      <c r="N949" s="716"/>
      <c r="O949" s="191"/>
      <c r="P949" s="219">
        <f t="shared" si="174"/>
        <v>8000</v>
      </c>
      <c r="Q949" s="219">
        <f t="shared" si="175"/>
        <v>8000</v>
      </c>
      <c r="R949" s="699">
        <f t="shared" si="176"/>
        <v>100</v>
      </c>
    </row>
    <row r="950" spans="2:18" ht="12.75">
      <c r="B950" s="224">
        <f t="shared" si="168"/>
        <v>522</v>
      </c>
      <c r="C950" s="187"/>
      <c r="D950" s="188"/>
      <c r="E950" s="166"/>
      <c r="F950" s="166" t="s">
        <v>238</v>
      </c>
      <c r="G950" s="292" t="s">
        <v>294</v>
      </c>
      <c r="H950" s="206">
        <v>4400</v>
      </c>
      <c r="I950" s="206">
        <f>4400+3488</f>
        <v>7888</v>
      </c>
      <c r="J950" s="748">
        <f t="shared" si="173"/>
        <v>179.27272727272728</v>
      </c>
      <c r="K950" s="191"/>
      <c r="L950" s="757"/>
      <c r="M950" s="237"/>
      <c r="N950" s="716"/>
      <c r="O950" s="191"/>
      <c r="P950" s="219">
        <f t="shared" si="174"/>
        <v>4400</v>
      </c>
      <c r="Q950" s="219">
        <f t="shared" si="175"/>
        <v>7888</v>
      </c>
      <c r="R950" s="699">
        <f t="shared" si="176"/>
        <v>179.27272727272728</v>
      </c>
    </row>
    <row r="951" spans="2:18" ht="12.75">
      <c r="B951" s="224">
        <f t="shared" si="168"/>
        <v>523</v>
      </c>
      <c r="C951" s="187"/>
      <c r="D951" s="188"/>
      <c r="E951" s="166"/>
      <c r="F951" s="166" t="s">
        <v>253</v>
      </c>
      <c r="G951" s="292" t="s">
        <v>311</v>
      </c>
      <c r="H951" s="206">
        <v>1000</v>
      </c>
      <c r="I951" s="206">
        <v>1000</v>
      </c>
      <c r="J951" s="748">
        <f t="shared" si="173"/>
        <v>100</v>
      </c>
      <c r="K951" s="191"/>
      <c r="L951" s="757"/>
      <c r="M951" s="237"/>
      <c r="N951" s="716"/>
      <c r="O951" s="191"/>
      <c r="P951" s="219">
        <f t="shared" si="174"/>
        <v>1000</v>
      </c>
      <c r="Q951" s="219">
        <f t="shared" si="175"/>
        <v>1000</v>
      </c>
      <c r="R951" s="699">
        <f t="shared" si="176"/>
        <v>100</v>
      </c>
    </row>
    <row r="952" spans="2:18" ht="12.75">
      <c r="B952" s="224">
        <f t="shared" si="168"/>
        <v>524</v>
      </c>
      <c r="C952" s="187"/>
      <c r="D952" s="188"/>
      <c r="E952" s="166"/>
      <c r="F952" s="166" t="s">
        <v>255</v>
      </c>
      <c r="G952" s="292" t="s">
        <v>295</v>
      </c>
      <c r="H952" s="206">
        <v>2500</v>
      </c>
      <c r="I952" s="206">
        <v>2500</v>
      </c>
      <c r="J952" s="748">
        <f t="shared" si="173"/>
        <v>100</v>
      </c>
      <c r="K952" s="191"/>
      <c r="L952" s="757"/>
      <c r="M952" s="237"/>
      <c r="N952" s="716"/>
      <c r="O952" s="191"/>
      <c r="P952" s="219">
        <f t="shared" si="174"/>
        <v>2500</v>
      </c>
      <c r="Q952" s="219">
        <f t="shared" si="175"/>
        <v>2500</v>
      </c>
      <c r="R952" s="699">
        <f t="shared" si="176"/>
        <v>100</v>
      </c>
    </row>
    <row r="953" spans="2:18" ht="12.75">
      <c r="B953" s="224">
        <f t="shared" si="168"/>
        <v>525</v>
      </c>
      <c r="C953" s="187"/>
      <c r="D953" s="188"/>
      <c r="E953" s="166"/>
      <c r="F953" s="188" t="s">
        <v>256</v>
      </c>
      <c r="G953" s="307" t="s">
        <v>464</v>
      </c>
      <c r="H953" s="207">
        <v>200</v>
      </c>
      <c r="I953" s="207">
        <v>200</v>
      </c>
      <c r="J953" s="748">
        <f t="shared" si="173"/>
        <v>100</v>
      </c>
      <c r="K953" s="191"/>
      <c r="L953" s="757"/>
      <c r="M953" s="237"/>
      <c r="N953" s="716"/>
      <c r="O953" s="191"/>
      <c r="P953" s="218">
        <f t="shared" si="174"/>
        <v>200</v>
      </c>
      <c r="Q953" s="218">
        <f t="shared" si="175"/>
        <v>200</v>
      </c>
      <c r="R953" s="699">
        <f t="shared" si="176"/>
        <v>100</v>
      </c>
    </row>
    <row r="954" spans="2:18" ht="15">
      <c r="B954" s="224">
        <f t="shared" si="168"/>
        <v>526</v>
      </c>
      <c r="C954" s="187"/>
      <c r="D954" s="398" t="s">
        <v>601</v>
      </c>
      <c r="E954" s="240" t="s">
        <v>501</v>
      </c>
      <c r="F954" s="194" t="s">
        <v>474</v>
      </c>
      <c r="G954" s="366"/>
      <c r="H954" s="232">
        <f>H955+H956+H957+H963</f>
        <v>77162</v>
      </c>
      <c r="I954" s="232">
        <f>I955+I956+I957+I963</f>
        <v>77161</v>
      </c>
      <c r="J954" s="748">
        <f t="shared" si="173"/>
        <v>99.99870402529743</v>
      </c>
      <c r="K954" s="191"/>
      <c r="L954" s="783"/>
      <c r="M954" s="784"/>
      <c r="N954" s="716"/>
      <c r="O954" s="191"/>
      <c r="P954" s="395">
        <f t="shared" si="174"/>
        <v>77162</v>
      </c>
      <c r="Q954" s="395">
        <f t="shared" si="175"/>
        <v>77161</v>
      </c>
      <c r="R954" s="699">
        <f t="shared" si="176"/>
        <v>99.99870402529743</v>
      </c>
    </row>
    <row r="955" spans="2:18" ht="12.75">
      <c r="B955" s="224">
        <f t="shared" si="168"/>
        <v>527</v>
      </c>
      <c r="C955" s="187"/>
      <c r="D955" s="188"/>
      <c r="E955" s="166"/>
      <c r="F955" s="188" t="s">
        <v>250</v>
      </c>
      <c r="G955" s="307" t="s">
        <v>291</v>
      </c>
      <c r="H955" s="207">
        <v>44700</v>
      </c>
      <c r="I955" s="207">
        <v>44468</v>
      </c>
      <c r="J955" s="748">
        <f t="shared" si="173"/>
        <v>99.48098434004474</v>
      </c>
      <c r="K955" s="191"/>
      <c r="L955" s="757"/>
      <c r="M955" s="237"/>
      <c r="N955" s="716"/>
      <c r="O955" s="191"/>
      <c r="P955" s="218">
        <f t="shared" si="174"/>
        <v>44700</v>
      </c>
      <c r="Q955" s="218">
        <f t="shared" si="175"/>
        <v>44468</v>
      </c>
      <c r="R955" s="699">
        <f t="shared" si="176"/>
        <v>99.48098434004474</v>
      </c>
    </row>
    <row r="956" spans="2:18" ht="12.75">
      <c r="B956" s="224">
        <f t="shared" si="168"/>
        <v>528</v>
      </c>
      <c r="C956" s="187"/>
      <c r="D956" s="188"/>
      <c r="E956" s="166"/>
      <c r="F956" s="188" t="s">
        <v>251</v>
      </c>
      <c r="G956" s="307" t="s">
        <v>292</v>
      </c>
      <c r="H956" s="207">
        <v>15650</v>
      </c>
      <c r="I956" s="207">
        <v>16315</v>
      </c>
      <c r="J956" s="748">
        <f t="shared" si="173"/>
        <v>104.24920127795528</v>
      </c>
      <c r="K956" s="191"/>
      <c r="L956" s="757"/>
      <c r="M956" s="237"/>
      <c r="N956" s="716"/>
      <c r="O956" s="191"/>
      <c r="P956" s="218">
        <f t="shared" si="174"/>
        <v>15650</v>
      </c>
      <c r="Q956" s="218">
        <f t="shared" si="175"/>
        <v>16315</v>
      </c>
      <c r="R956" s="699">
        <f t="shared" si="176"/>
        <v>104.24920127795528</v>
      </c>
    </row>
    <row r="957" spans="2:18" ht="12.75">
      <c r="B957" s="224">
        <f t="shared" si="168"/>
        <v>529</v>
      </c>
      <c r="C957" s="187"/>
      <c r="D957" s="188"/>
      <c r="E957" s="166"/>
      <c r="F957" s="188" t="s">
        <v>257</v>
      </c>
      <c r="G957" s="307" t="s">
        <v>428</v>
      </c>
      <c r="H957" s="207">
        <f>H959+H960+H961+H962</f>
        <v>16612</v>
      </c>
      <c r="I957" s="207">
        <f>SUM(I958:I962)</f>
        <v>16136</v>
      </c>
      <c r="J957" s="748">
        <f t="shared" si="173"/>
        <v>97.1346014928967</v>
      </c>
      <c r="K957" s="191"/>
      <c r="L957" s="757"/>
      <c r="M957" s="237"/>
      <c r="N957" s="716"/>
      <c r="O957" s="191"/>
      <c r="P957" s="218">
        <f t="shared" si="174"/>
        <v>16612</v>
      </c>
      <c r="Q957" s="218">
        <f t="shared" si="175"/>
        <v>16136</v>
      </c>
      <c r="R957" s="699">
        <f t="shared" si="176"/>
        <v>97.1346014928967</v>
      </c>
    </row>
    <row r="958" spans="2:18" ht="12.75">
      <c r="B958" s="224">
        <f>B956+1</f>
        <v>529</v>
      </c>
      <c r="C958" s="187"/>
      <c r="D958" s="188"/>
      <c r="E958" s="166"/>
      <c r="F958" s="166" t="s">
        <v>252</v>
      </c>
      <c r="G958" s="292" t="s">
        <v>770</v>
      </c>
      <c r="H958" s="206"/>
      <c r="I958" s="206">
        <v>59</v>
      </c>
      <c r="J958" s="748"/>
      <c r="K958" s="191"/>
      <c r="L958" s="757"/>
      <c r="M958" s="237"/>
      <c r="N958" s="716"/>
      <c r="O958" s="191"/>
      <c r="P958" s="219"/>
      <c r="Q958" s="219"/>
      <c r="R958" s="699"/>
    </row>
    <row r="959" spans="2:18" ht="12.75">
      <c r="B959" s="224">
        <f>B957+1</f>
        <v>530</v>
      </c>
      <c r="C959" s="187"/>
      <c r="D959" s="188"/>
      <c r="E959" s="166"/>
      <c r="F959" s="166" t="s">
        <v>237</v>
      </c>
      <c r="G959" s="292" t="s">
        <v>398</v>
      </c>
      <c r="H959" s="206">
        <f>7552-1000</f>
        <v>6552</v>
      </c>
      <c r="I959" s="206">
        <v>7286</v>
      </c>
      <c r="J959" s="748">
        <f aca="true" t="shared" si="177" ref="J959:J980">I959/H959*100</f>
        <v>111.20268620268621</v>
      </c>
      <c r="K959" s="191"/>
      <c r="L959" s="757"/>
      <c r="M959" s="237"/>
      <c r="N959" s="716"/>
      <c r="O959" s="191"/>
      <c r="P959" s="219">
        <f aca="true" t="shared" si="178" ref="P959:P1003">H959+L959</f>
        <v>6552</v>
      </c>
      <c r="Q959" s="219">
        <f aca="true" t="shared" si="179" ref="Q959:Q990">M959+I959</f>
        <v>7286</v>
      </c>
      <c r="R959" s="699">
        <f aca="true" t="shared" si="180" ref="R959:R980">Q959/P959*100</f>
        <v>111.20268620268621</v>
      </c>
    </row>
    <row r="960" spans="2:18" ht="12.75">
      <c r="B960" s="224">
        <f aca="true" t="shared" si="181" ref="B960:B991">B959+1</f>
        <v>531</v>
      </c>
      <c r="C960" s="187"/>
      <c r="D960" s="188"/>
      <c r="E960" s="166"/>
      <c r="F960" s="166" t="s">
        <v>238</v>
      </c>
      <c r="G960" s="292" t="s">
        <v>294</v>
      </c>
      <c r="H960" s="206">
        <f>1200+1300+1000</f>
        <v>3500</v>
      </c>
      <c r="I960" s="206">
        <v>3141</v>
      </c>
      <c r="J960" s="748">
        <f t="shared" si="177"/>
        <v>89.74285714285715</v>
      </c>
      <c r="K960" s="191"/>
      <c r="L960" s="757"/>
      <c r="M960" s="237"/>
      <c r="N960" s="716"/>
      <c r="O960" s="191"/>
      <c r="P960" s="219">
        <f t="shared" si="178"/>
        <v>3500</v>
      </c>
      <c r="Q960" s="219">
        <f t="shared" si="179"/>
        <v>3141</v>
      </c>
      <c r="R960" s="699">
        <f t="shared" si="180"/>
        <v>89.74285714285715</v>
      </c>
    </row>
    <row r="961" spans="2:18" ht="12.75">
      <c r="B961" s="224">
        <f t="shared" si="181"/>
        <v>532</v>
      </c>
      <c r="C961" s="187"/>
      <c r="D961" s="188"/>
      <c r="E961" s="166"/>
      <c r="F961" s="166" t="s">
        <v>253</v>
      </c>
      <c r="G961" s="292" t="s">
        <v>311</v>
      </c>
      <c r="H961" s="206">
        <v>4530</v>
      </c>
      <c r="I961" s="206">
        <v>4037</v>
      </c>
      <c r="J961" s="748">
        <f t="shared" si="177"/>
        <v>89.11699779249447</v>
      </c>
      <c r="K961" s="191"/>
      <c r="L961" s="757"/>
      <c r="M961" s="237"/>
      <c r="N961" s="716"/>
      <c r="O961" s="191"/>
      <c r="P961" s="219">
        <f t="shared" si="178"/>
        <v>4530</v>
      </c>
      <c r="Q961" s="219">
        <f t="shared" si="179"/>
        <v>4037</v>
      </c>
      <c r="R961" s="699">
        <f t="shared" si="180"/>
        <v>89.11699779249447</v>
      </c>
    </row>
    <row r="962" spans="2:18" ht="12.75">
      <c r="B962" s="224">
        <f t="shared" si="181"/>
        <v>533</v>
      </c>
      <c r="C962" s="187"/>
      <c r="D962" s="188"/>
      <c r="E962" s="166"/>
      <c r="F962" s="166" t="s">
        <v>255</v>
      </c>
      <c r="G962" s="292" t="s">
        <v>295</v>
      </c>
      <c r="H962" s="206">
        <v>2030</v>
      </c>
      <c r="I962" s="206">
        <v>1613</v>
      </c>
      <c r="J962" s="748">
        <f t="shared" si="177"/>
        <v>79.45812807881774</v>
      </c>
      <c r="K962" s="191"/>
      <c r="L962" s="757"/>
      <c r="M962" s="237"/>
      <c r="N962" s="716"/>
      <c r="O962" s="191"/>
      <c r="P962" s="219">
        <f t="shared" si="178"/>
        <v>2030</v>
      </c>
      <c r="Q962" s="219">
        <f t="shared" si="179"/>
        <v>1613</v>
      </c>
      <c r="R962" s="699">
        <f t="shared" si="180"/>
        <v>79.45812807881774</v>
      </c>
    </row>
    <row r="963" spans="2:18" ht="12.75">
      <c r="B963" s="224">
        <f t="shared" si="181"/>
        <v>534</v>
      </c>
      <c r="C963" s="187"/>
      <c r="D963" s="188"/>
      <c r="E963" s="166"/>
      <c r="F963" s="188" t="s">
        <v>256</v>
      </c>
      <c r="G963" s="307" t="s">
        <v>464</v>
      </c>
      <c r="H963" s="207">
        <v>200</v>
      </c>
      <c r="I963" s="207">
        <v>242</v>
      </c>
      <c r="J963" s="748">
        <f t="shared" si="177"/>
        <v>121</v>
      </c>
      <c r="K963" s="191"/>
      <c r="L963" s="757"/>
      <c r="M963" s="237"/>
      <c r="N963" s="716"/>
      <c r="O963" s="191"/>
      <c r="P963" s="218">
        <f t="shared" si="178"/>
        <v>200</v>
      </c>
      <c r="Q963" s="218">
        <f t="shared" si="179"/>
        <v>242</v>
      </c>
      <c r="R963" s="699">
        <f t="shared" si="180"/>
        <v>121</v>
      </c>
    </row>
    <row r="964" spans="2:18" ht="15">
      <c r="B964" s="224">
        <f t="shared" si="181"/>
        <v>535</v>
      </c>
      <c r="C964" s="187"/>
      <c r="D964" s="398" t="s">
        <v>602</v>
      </c>
      <c r="E964" s="240" t="s">
        <v>501</v>
      </c>
      <c r="F964" s="194" t="s">
        <v>475</v>
      </c>
      <c r="G964" s="366"/>
      <c r="H964" s="232">
        <f>H965+H966+H967+H972</f>
        <v>54500</v>
      </c>
      <c r="I964" s="232">
        <f>I965+I966+I967+I972</f>
        <v>59034</v>
      </c>
      <c r="J964" s="748">
        <f t="shared" si="177"/>
        <v>108.31926605504587</v>
      </c>
      <c r="K964" s="191"/>
      <c r="L964" s="783"/>
      <c r="M964" s="784"/>
      <c r="N964" s="716"/>
      <c r="O964" s="191"/>
      <c r="P964" s="395">
        <f t="shared" si="178"/>
        <v>54500</v>
      </c>
      <c r="Q964" s="395">
        <f t="shared" si="179"/>
        <v>59034</v>
      </c>
      <c r="R964" s="699">
        <f t="shared" si="180"/>
        <v>108.31926605504587</v>
      </c>
    </row>
    <row r="965" spans="2:18" ht="12.75">
      <c r="B965" s="224">
        <f t="shared" si="181"/>
        <v>536</v>
      </c>
      <c r="C965" s="187"/>
      <c r="D965" s="188"/>
      <c r="E965" s="166"/>
      <c r="F965" s="188" t="s">
        <v>250</v>
      </c>
      <c r="G965" s="307" t="s">
        <v>291</v>
      </c>
      <c r="H965" s="207">
        <v>28871</v>
      </c>
      <c r="I965" s="207">
        <v>27679</v>
      </c>
      <c r="J965" s="748">
        <f t="shared" si="177"/>
        <v>95.87128952928545</v>
      </c>
      <c r="K965" s="191"/>
      <c r="L965" s="757"/>
      <c r="M965" s="237"/>
      <c r="N965" s="716"/>
      <c r="O965" s="191"/>
      <c r="P965" s="218">
        <f t="shared" si="178"/>
        <v>28871</v>
      </c>
      <c r="Q965" s="218">
        <f t="shared" si="179"/>
        <v>27679</v>
      </c>
      <c r="R965" s="699">
        <f t="shared" si="180"/>
        <v>95.87128952928545</v>
      </c>
    </row>
    <row r="966" spans="2:18" ht="12.75">
      <c r="B966" s="224">
        <f t="shared" si="181"/>
        <v>537</v>
      </c>
      <c r="C966" s="187"/>
      <c r="D966" s="188"/>
      <c r="E966" s="166"/>
      <c r="F966" s="188" t="s">
        <v>251</v>
      </c>
      <c r="G966" s="307" t="s">
        <v>292</v>
      </c>
      <c r="H966" s="207">
        <f>10164-348</f>
        <v>9816</v>
      </c>
      <c r="I966" s="207">
        <v>10206</v>
      </c>
      <c r="J966" s="748">
        <f t="shared" si="177"/>
        <v>103.97310513447434</v>
      </c>
      <c r="K966" s="191"/>
      <c r="L966" s="757"/>
      <c r="M966" s="237"/>
      <c r="N966" s="716"/>
      <c r="O966" s="191"/>
      <c r="P966" s="218">
        <f t="shared" si="178"/>
        <v>9816</v>
      </c>
      <c r="Q966" s="218">
        <f t="shared" si="179"/>
        <v>10206</v>
      </c>
      <c r="R966" s="699">
        <f t="shared" si="180"/>
        <v>103.97310513447434</v>
      </c>
    </row>
    <row r="967" spans="2:18" ht="12.75">
      <c r="B967" s="224">
        <f t="shared" si="181"/>
        <v>538</v>
      </c>
      <c r="C967" s="187"/>
      <c r="D967" s="188"/>
      <c r="E967" s="166"/>
      <c r="F967" s="188" t="s">
        <v>257</v>
      </c>
      <c r="G967" s="307" t="s">
        <v>428</v>
      </c>
      <c r="H967" s="207">
        <f>H968+H969+H970+H971</f>
        <v>15693</v>
      </c>
      <c r="I967" s="207">
        <f>I968+I969+I970+I971</f>
        <v>20227</v>
      </c>
      <c r="J967" s="748">
        <f t="shared" si="177"/>
        <v>128.8918626139043</v>
      </c>
      <c r="K967" s="191"/>
      <c r="L967" s="757"/>
      <c r="M967" s="237"/>
      <c r="N967" s="716"/>
      <c r="O967" s="191"/>
      <c r="P967" s="218">
        <f t="shared" si="178"/>
        <v>15693</v>
      </c>
      <c r="Q967" s="218">
        <f t="shared" si="179"/>
        <v>20227</v>
      </c>
      <c r="R967" s="699">
        <f t="shared" si="180"/>
        <v>128.8918626139043</v>
      </c>
    </row>
    <row r="968" spans="2:18" ht="12.75">
      <c r="B968" s="224">
        <f t="shared" si="181"/>
        <v>539</v>
      </c>
      <c r="C968" s="187"/>
      <c r="D968" s="188"/>
      <c r="E968" s="166"/>
      <c r="F968" s="166" t="s">
        <v>237</v>
      </c>
      <c r="G968" s="292" t="s">
        <v>398</v>
      </c>
      <c r="H968" s="206">
        <f>12445+348</f>
        <v>12793</v>
      </c>
      <c r="I968" s="206">
        <v>16813</v>
      </c>
      <c r="J968" s="748">
        <f t="shared" si="177"/>
        <v>131.42343469084656</v>
      </c>
      <c r="K968" s="191"/>
      <c r="L968" s="757"/>
      <c r="M968" s="237"/>
      <c r="N968" s="716"/>
      <c r="O968" s="191"/>
      <c r="P968" s="219">
        <f t="shared" si="178"/>
        <v>12793</v>
      </c>
      <c r="Q968" s="219">
        <f t="shared" si="179"/>
        <v>16813</v>
      </c>
      <c r="R968" s="699">
        <f t="shared" si="180"/>
        <v>131.42343469084656</v>
      </c>
    </row>
    <row r="969" spans="2:18" ht="12.75">
      <c r="B969" s="224">
        <f t="shared" si="181"/>
        <v>540</v>
      </c>
      <c r="C969" s="187"/>
      <c r="D969" s="188"/>
      <c r="E969" s="166"/>
      <c r="F969" s="166" t="s">
        <v>238</v>
      </c>
      <c r="G969" s="292" t="s">
        <v>294</v>
      </c>
      <c r="H969" s="206">
        <v>500</v>
      </c>
      <c r="I969" s="206">
        <v>863</v>
      </c>
      <c r="J969" s="748">
        <f t="shared" si="177"/>
        <v>172.6</v>
      </c>
      <c r="K969" s="191"/>
      <c r="L969" s="757"/>
      <c r="M969" s="237"/>
      <c r="N969" s="716"/>
      <c r="O969" s="191"/>
      <c r="P969" s="219">
        <f t="shared" si="178"/>
        <v>500</v>
      </c>
      <c r="Q969" s="219">
        <f t="shared" si="179"/>
        <v>863</v>
      </c>
      <c r="R969" s="699">
        <f t="shared" si="180"/>
        <v>172.6</v>
      </c>
    </row>
    <row r="970" spans="2:18" ht="12.75">
      <c r="B970" s="224">
        <f t="shared" si="181"/>
        <v>541</v>
      </c>
      <c r="C970" s="187"/>
      <c r="D970" s="188"/>
      <c r="E970" s="166"/>
      <c r="F970" s="166" t="s">
        <v>253</v>
      </c>
      <c r="G970" s="292" t="s">
        <v>311</v>
      </c>
      <c r="H970" s="206">
        <v>500</v>
      </c>
      <c r="I970" s="206">
        <v>500</v>
      </c>
      <c r="J970" s="748">
        <f t="shared" si="177"/>
        <v>100</v>
      </c>
      <c r="K970" s="191"/>
      <c r="L970" s="757"/>
      <c r="M970" s="237"/>
      <c r="N970" s="716"/>
      <c r="O970" s="191"/>
      <c r="P970" s="219">
        <f t="shared" si="178"/>
        <v>500</v>
      </c>
      <c r="Q970" s="219">
        <f t="shared" si="179"/>
        <v>500</v>
      </c>
      <c r="R970" s="699">
        <f t="shared" si="180"/>
        <v>100</v>
      </c>
    </row>
    <row r="971" spans="2:18" ht="12.75">
      <c r="B971" s="224">
        <f t="shared" si="181"/>
        <v>542</v>
      </c>
      <c r="C971" s="187"/>
      <c r="D971" s="188"/>
      <c r="E971" s="166"/>
      <c r="F971" s="166" t="s">
        <v>255</v>
      </c>
      <c r="G971" s="292" t="s">
        <v>295</v>
      </c>
      <c r="H971" s="206">
        <v>1900</v>
      </c>
      <c r="I971" s="206">
        <v>2051</v>
      </c>
      <c r="J971" s="748">
        <f t="shared" si="177"/>
        <v>107.94736842105263</v>
      </c>
      <c r="K971" s="191"/>
      <c r="L971" s="757"/>
      <c r="M971" s="237"/>
      <c r="N971" s="716"/>
      <c r="O971" s="191"/>
      <c r="P971" s="219">
        <f t="shared" si="178"/>
        <v>1900</v>
      </c>
      <c r="Q971" s="219">
        <f t="shared" si="179"/>
        <v>2051</v>
      </c>
      <c r="R971" s="699">
        <f t="shared" si="180"/>
        <v>107.94736842105263</v>
      </c>
    </row>
    <row r="972" spans="2:18" ht="12.75">
      <c r="B972" s="224">
        <f t="shared" si="181"/>
        <v>543</v>
      </c>
      <c r="C972" s="187"/>
      <c r="D972" s="188"/>
      <c r="E972" s="222"/>
      <c r="F972" s="188" t="s">
        <v>256</v>
      </c>
      <c r="G972" s="307" t="s">
        <v>464</v>
      </c>
      <c r="H972" s="207">
        <v>120</v>
      </c>
      <c r="I972" s="207">
        <v>922</v>
      </c>
      <c r="J972" s="748">
        <f t="shared" si="177"/>
        <v>768.3333333333334</v>
      </c>
      <c r="K972" s="191"/>
      <c r="L972" s="757"/>
      <c r="M972" s="237"/>
      <c r="N972" s="716"/>
      <c r="O972" s="191"/>
      <c r="P972" s="218">
        <f t="shared" si="178"/>
        <v>120</v>
      </c>
      <c r="Q972" s="218">
        <f t="shared" si="179"/>
        <v>922</v>
      </c>
      <c r="R972" s="699">
        <f t="shared" si="180"/>
        <v>768.3333333333334</v>
      </c>
    </row>
    <row r="973" spans="2:18" ht="15">
      <c r="B973" s="224">
        <f t="shared" si="181"/>
        <v>544</v>
      </c>
      <c r="C973" s="187"/>
      <c r="D973" s="398" t="s">
        <v>603</v>
      </c>
      <c r="E973" s="240" t="s">
        <v>501</v>
      </c>
      <c r="F973" s="194" t="s">
        <v>476</v>
      </c>
      <c r="G973" s="366"/>
      <c r="H973" s="232">
        <f>H974+H975+H976+H981</f>
        <v>61352</v>
      </c>
      <c r="I973" s="232">
        <f>I974+I975+I976+I981</f>
        <v>61352</v>
      </c>
      <c r="J973" s="748">
        <f t="shared" si="177"/>
        <v>100</v>
      </c>
      <c r="K973" s="191"/>
      <c r="L973" s="783"/>
      <c r="M973" s="784"/>
      <c r="N973" s="716"/>
      <c r="O973" s="191"/>
      <c r="P973" s="395">
        <f t="shared" si="178"/>
        <v>61352</v>
      </c>
      <c r="Q973" s="395">
        <f t="shared" si="179"/>
        <v>61352</v>
      </c>
      <c r="R973" s="699">
        <f t="shared" si="180"/>
        <v>100</v>
      </c>
    </row>
    <row r="974" spans="2:18" ht="12.75">
      <c r="B974" s="224">
        <f t="shared" si="181"/>
        <v>545</v>
      </c>
      <c r="C974" s="187"/>
      <c r="D974" s="188"/>
      <c r="E974" s="166"/>
      <c r="F974" s="188" t="s">
        <v>250</v>
      </c>
      <c r="G974" s="307" t="s">
        <v>291</v>
      </c>
      <c r="H974" s="207">
        <f>37000-1500</f>
        <v>35500</v>
      </c>
      <c r="I974" s="207">
        <v>35500</v>
      </c>
      <c r="J974" s="748">
        <f t="shared" si="177"/>
        <v>100</v>
      </c>
      <c r="K974" s="191"/>
      <c r="L974" s="757"/>
      <c r="M974" s="237"/>
      <c r="N974" s="716"/>
      <c r="O974" s="191"/>
      <c r="P974" s="218">
        <f t="shared" si="178"/>
        <v>35500</v>
      </c>
      <c r="Q974" s="218">
        <f t="shared" si="179"/>
        <v>35500</v>
      </c>
      <c r="R974" s="699">
        <f t="shared" si="180"/>
        <v>100</v>
      </c>
    </row>
    <row r="975" spans="2:18" ht="12.75">
      <c r="B975" s="224">
        <f t="shared" si="181"/>
        <v>546</v>
      </c>
      <c r="C975" s="187"/>
      <c r="D975" s="188"/>
      <c r="E975" s="166"/>
      <c r="F975" s="188" t="s">
        <v>251</v>
      </c>
      <c r="G975" s="307" t="s">
        <v>292</v>
      </c>
      <c r="H975" s="207">
        <f>13052-500</f>
        <v>12552</v>
      </c>
      <c r="I975" s="207">
        <v>12552</v>
      </c>
      <c r="J975" s="748">
        <f t="shared" si="177"/>
        <v>100</v>
      </c>
      <c r="K975" s="191"/>
      <c r="L975" s="757"/>
      <c r="M975" s="237"/>
      <c r="N975" s="716"/>
      <c r="O975" s="191"/>
      <c r="P975" s="218">
        <f t="shared" si="178"/>
        <v>12552</v>
      </c>
      <c r="Q975" s="218">
        <f t="shared" si="179"/>
        <v>12552</v>
      </c>
      <c r="R975" s="699">
        <f t="shared" si="180"/>
        <v>100</v>
      </c>
    </row>
    <row r="976" spans="2:18" ht="12.75">
      <c r="B976" s="224">
        <f t="shared" si="181"/>
        <v>547</v>
      </c>
      <c r="C976" s="187"/>
      <c r="D976" s="188"/>
      <c r="E976" s="166"/>
      <c r="F976" s="188" t="s">
        <v>257</v>
      </c>
      <c r="G976" s="307" t="s">
        <v>428</v>
      </c>
      <c r="H976" s="207">
        <f>H977+H978+H979+H980</f>
        <v>13300</v>
      </c>
      <c r="I976" s="207">
        <f>I977+I978+I979+I980</f>
        <v>13300</v>
      </c>
      <c r="J976" s="748">
        <f t="shared" si="177"/>
        <v>100</v>
      </c>
      <c r="K976" s="191"/>
      <c r="L976" s="757"/>
      <c r="M976" s="237"/>
      <c r="N976" s="716"/>
      <c r="O976" s="191"/>
      <c r="P976" s="218">
        <f t="shared" si="178"/>
        <v>13300</v>
      </c>
      <c r="Q976" s="218">
        <f t="shared" si="179"/>
        <v>13300</v>
      </c>
      <c r="R976" s="699">
        <f t="shared" si="180"/>
        <v>100</v>
      </c>
    </row>
    <row r="977" spans="2:18" ht="12.75">
      <c r="B977" s="224">
        <f t="shared" si="181"/>
        <v>548</v>
      </c>
      <c r="C977" s="187"/>
      <c r="D977" s="188"/>
      <c r="E977" s="166"/>
      <c r="F977" s="166" t="s">
        <v>237</v>
      </c>
      <c r="G977" s="292" t="s">
        <v>398</v>
      </c>
      <c r="H977" s="206">
        <f>9420+400</f>
        <v>9820</v>
      </c>
      <c r="I977" s="206">
        <v>9820</v>
      </c>
      <c r="J977" s="748">
        <f t="shared" si="177"/>
        <v>100</v>
      </c>
      <c r="K977" s="191"/>
      <c r="L977" s="757"/>
      <c r="M977" s="237"/>
      <c r="N977" s="716"/>
      <c r="O977" s="191"/>
      <c r="P977" s="219">
        <f t="shared" si="178"/>
        <v>9820</v>
      </c>
      <c r="Q977" s="219">
        <f t="shared" si="179"/>
        <v>9820</v>
      </c>
      <c r="R977" s="699">
        <f t="shared" si="180"/>
        <v>100</v>
      </c>
    </row>
    <row r="978" spans="2:18" ht="12.75">
      <c r="B978" s="458">
        <f t="shared" si="181"/>
        <v>549</v>
      </c>
      <c r="C978" s="459"/>
      <c r="D978" s="461"/>
      <c r="E978" s="460"/>
      <c r="F978" s="460" t="s">
        <v>238</v>
      </c>
      <c r="G978" s="344" t="s">
        <v>294</v>
      </c>
      <c r="H978" s="247">
        <f>800+2000</f>
        <v>2800</v>
      </c>
      <c r="I978" s="247">
        <v>2800</v>
      </c>
      <c r="J978" s="788">
        <f t="shared" si="177"/>
        <v>100</v>
      </c>
      <c r="K978" s="191"/>
      <c r="L978" s="757"/>
      <c r="M978" s="237"/>
      <c r="N978" s="716"/>
      <c r="O978" s="191"/>
      <c r="P978" s="219">
        <f t="shared" si="178"/>
        <v>2800</v>
      </c>
      <c r="Q978" s="219">
        <f t="shared" si="179"/>
        <v>2800</v>
      </c>
      <c r="R978" s="699">
        <f t="shared" si="180"/>
        <v>100</v>
      </c>
    </row>
    <row r="979" spans="2:18" ht="12.75">
      <c r="B979" s="647">
        <f t="shared" si="181"/>
        <v>550</v>
      </c>
      <c r="C979" s="433"/>
      <c r="D979" s="426"/>
      <c r="E979" s="434"/>
      <c r="F979" s="434" t="s">
        <v>253</v>
      </c>
      <c r="G979" s="310" t="s">
        <v>311</v>
      </c>
      <c r="H979" s="206">
        <v>300</v>
      </c>
      <c r="I979" s="206">
        <v>300</v>
      </c>
      <c r="J979" s="748">
        <f t="shared" si="177"/>
        <v>100</v>
      </c>
      <c r="K979" s="375"/>
      <c r="L979" s="728"/>
      <c r="M979" s="190"/>
      <c r="N979" s="697"/>
      <c r="O979" s="375"/>
      <c r="P979" s="221">
        <f t="shared" si="178"/>
        <v>300</v>
      </c>
      <c r="Q979" s="221">
        <f t="shared" si="179"/>
        <v>300</v>
      </c>
      <c r="R979" s="704">
        <f t="shared" si="180"/>
        <v>100</v>
      </c>
    </row>
    <row r="980" spans="2:18" ht="12.75">
      <c r="B980" s="647">
        <f t="shared" si="181"/>
        <v>551</v>
      </c>
      <c r="C980" s="171"/>
      <c r="D980" s="434"/>
      <c r="E980" s="434"/>
      <c r="F980" s="434" t="s">
        <v>255</v>
      </c>
      <c r="G980" s="310" t="s">
        <v>295</v>
      </c>
      <c r="H980" s="206">
        <v>380</v>
      </c>
      <c r="I980" s="206">
        <v>380</v>
      </c>
      <c r="J980" s="748">
        <f t="shared" si="177"/>
        <v>100</v>
      </c>
      <c r="K980" s="248"/>
      <c r="L980" s="636"/>
      <c r="M980" s="172"/>
      <c r="N980" s="697"/>
      <c r="O980" s="248"/>
      <c r="P980" s="221">
        <f t="shared" si="178"/>
        <v>380</v>
      </c>
      <c r="Q980" s="221">
        <f t="shared" si="179"/>
        <v>380</v>
      </c>
      <c r="R980" s="704">
        <f t="shared" si="180"/>
        <v>100</v>
      </c>
    </row>
    <row r="981" spans="2:18" ht="12.75">
      <c r="B981" s="647">
        <f t="shared" si="181"/>
        <v>552</v>
      </c>
      <c r="C981" s="171"/>
      <c r="D981" s="171"/>
      <c r="E981" s="173"/>
      <c r="F981" s="426" t="s">
        <v>256</v>
      </c>
      <c r="G981" s="311" t="s">
        <v>464</v>
      </c>
      <c r="H981" s="207">
        <v>0</v>
      </c>
      <c r="I981" s="207">
        <v>0</v>
      </c>
      <c r="J981" s="748"/>
      <c r="K981" s="248"/>
      <c r="L981" s="636"/>
      <c r="M981" s="172"/>
      <c r="N981" s="697"/>
      <c r="O981" s="248"/>
      <c r="P981" s="396">
        <f t="shared" si="178"/>
        <v>0</v>
      </c>
      <c r="Q981" s="396">
        <f t="shared" si="179"/>
        <v>0</v>
      </c>
      <c r="R981" s="704"/>
    </row>
    <row r="982" spans="2:18" ht="15">
      <c r="B982" s="647">
        <f t="shared" si="181"/>
        <v>553</v>
      </c>
      <c r="C982" s="171"/>
      <c r="D982" s="662">
        <v>20</v>
      </c>
      <c r="E982" s="240" t="s">
        <v>501</v>
      </c>
      <c r="F982" s="194" t="s">
        <v>477</v>
      </c>
      <c r="G982" s="366"/>
      <c r="H982" s="232">
        <f>H983+H984+H985+H991</f>
        <v>62017</v>
      </c>
      <c r="I982" s="232">
        <f>I983+I984+I985+I991</f>
        <v>63283</v>
      </c>
      <c r="J982" s="697">
        <f>I982/H982*100</f>
        <v>102.04137575180998</v>
      </c>
      <c r="K982" s="248"/>
      <c r="L982" s="762"/>
      <c r="M982" s="763"/>
      <c r="N982" s="697"/>
      <c r="O982" s="248"/>
      <c r="P982" s="397">
        <f t="shared" si="178"/>
        <v>62017</v>
      </c>
      <c r="Q982" s="397">
        <f t="shared" si="179"/>
        <v>63283</v>
      </c>
      <c r="R982" s="704">
        <f>Q982/P982*100</f>
        <v>102.04137575180998</v>
      </c>
    </row>
    <row r="983" spans="2:18" ht="12.75">
      <c r="B983" s="647">
        <f t="shared" si="181"/>
        <v>554</v>
      </c>
      <c r="C983" s="171"/>
      <c r="D983" s="171"/>
      <c r="E983" s="173"/>
      <c r="F983" s="426" t="s">
        <v>250</v>
      </c>
      <c r="G983" s="311" t="s">
        <v>291</v>
      </c>
      <c r="H983" s="207">
        <v>35329</v>
      </c>
      <c r="I983" s="207">
        <v>36965</v>
      </c>
      <c r="J983" s="697">
        <f>I983/H983*100</f>
        <v>104.6307566022248</v>
      </c>
      <c r="K983" s="248"/>
      <c r="L983" s="636"/>
      <c r="M983" s="172"/>
      <c r="N983" s="697"/>
      <c r="O983" s="248"/>
      <c r="P983" s="396">
        <f t="shared" si="178"/>
        <v>35329</v>
      </c>
      <c r="Q983" s="396">
        <f t="shared" si="179"/>
        <v>36965</v>
      </c>
      <c r="R983" s="704">
        <f>Q983/P983*100</f>
        <v>104.6307566022248</v>
      </c>
    </row>
    <row r="984" spans="2:18" ht="12.75">
      <c r="B984" s="647">
        <f t="shared" si="181"/>
        <v>555</v>
      </c>
      <c r="C984" s="165"/>
      <c r="D984" s="165"/>
      <c r="E984" s="170"/>
      <c r="F984" s="188" t="s">
        <v>251</v>
      </c>
      <c r="G984" s="307" t="s">
        <v>292</v>
      </c>
      <c r="H984" s="411">
        <v>13552</v>
      </c>
      <c r="I984" s="411">
        <v>11916</v>
      </c>
      <c r="J984" s="720">
        <f>I984/H984*100</f>
        <v>87.92798110979929</v>
      </c>
      <c r="K984" s="168"/>
      <c r="L984" s="637"/>
      <c r="M984" s="167"/>
      <c r="N984" s="720"/>
      <c r="O984" s="168"/>
      <c r="P984" s="513">
        <f t="shared" si="178"/>
        <v>13552</v>
      </c>
      <c r="Q984" s="513">
        <f t="shared" si="179"/>
        <v>11916</v>
      </c>
      <c r="R984" s="729">
        <f>Q984/P984*100</f>
        <v>87.92798110979929</v>
      </c>
    </row>
    <row r="985" spans="2:18" ht="12.75">
      <c r="B985" s="647">
        <f t="shared" si="181"/>
        <v>556</v>
      </c>
      <c r="C985" s="165"/>
      <c r="D985" s="165"/>
      <c r="E985" s="170"/>
      <c r="F985" s="188" t="s">
        <v>257</v>
      </c>
      <c r="G985" s="307" t="s">
        <v>428</v>
      </c>
      <c r="H985" s="207">
        <f>H987+H988+H989+H990</f>
        <v>11821</v>
      </c>
      <c r="I985" s="207">
        <f>SUM(I986:I990)</f>
        <v>13087</v>
      </c>
      <c r="J985" s="697">
        <f>I985/H985*100</f>
        <v>110.70975382793333</v>
      </c>
      <c r="K985" s="168"/>
      <c r="L985" s="636"/>
      <c r="M985" s="172"/>
      <c r="N985" s="697"/>
      <c r="O985" s="168"/>
      <c r="P985" s="396">
        <f t="shared" si="178"/>
        <v>11821</v>
      </c>
      <c r="Q985" s="396">
        <f t="shared" si="179"/>
        <v>13087</v>
      </c>
      <c r="R985" s="704">
        <f>Q985/P985*100</f>
        <v>110.70975382793333</v>
      </c>
    </row>
    <row r="986" spans="2:18" ht="12.75">
      <c r="B986" s="647">
        <f t="shared" si="181"/>
        <v>557</v>
      </c>
      <c r="C986" s="165"/>
      <c r="D986" s="165"/>
      <c r="E986" s="170"/>
      <c r="F986" s="166" t="s">
        <v>252</v>
      </c>
      <c r="G986" s="292" t="s">
        <v>770</v>
      </c>
      <c r="H986" s="206"/>
      <c r="I986" s="206">
        <v>52</v>
      </c>
      <c r="J986" s="697"/>
      <c r="K986" s="168"/>
      <c r="L986" s="636"/>
      <c r="M986" s="172"/>
      <c r="N986" s="697"/>
      <c r="O986" s="168"/>
      <c r="P986" s="221">
        <f t="shared" si="178"/>
        <v>0</v>
      </c>
      <c r="Q986" s="221">
        <f t="shared" si="179"/>
        <v>52</v>
      </c>
      <c r="R986" s="704"/>
    </row>
    <row r="987" spans="2:18" ht="12.75">
      <c r="B987" s="647">
        <f t="shared" si="181"/>
        <v>558</v>
      </c>
      <c r="C987" s="165"/>
      <c r="D987" s="165"/>
      <c r="E987" s="170"/>
      <c r="F987" s="166" t="s">
        <v>237</v>
      </c>
      <c r="G987" s="292" t="s">
        <v>398</v>
      </c>
      <c r="H987" s="206">
        <f>8615-74</f>
        <v>8541</v>
      </c>
      <c r="I987" s="206">
        <v>8489</v>
      </c>
      <c r="J987" s="697">
        <f aca="true" t="shared" si="182" ref="J987:J1003">I987/H987*100</f>
        <v>99.39117199391173</v>
      </c>
      <c r="K987" s="168"/>
      <c r="L987" s="636"/>
      <c r="M987" s="172"/>
      <c r="N987" s="697"/>
      <c r="O987" s="168"/>
      <c r="P987" s="221">
        <f t="shared" si="178"/>
        <v>8541</v>
      </c>
      <c r="Q987" s="221">
        <f t="shared" si="179"/>
        <v>8489</v>
      </c>
      <c r="R987" s="704">
        <f aca="true" t="shared" si="183" ref="R987:R1003">Q987/P987*100</f>
        <v>99.39117199391173</v>
      </c>
    </row>
    <row r="988" spans="2:18" ht="12.75">
      <c r="B988" s="647">
        <f t="shared" si="181"/>
        <v>559</v>
      </c>
      <c r="C988" s="165"/>
      <c r="D988" s="165"/>
      <c r="E988" s="170"/>
      <c r="F988" s="166" t="s">
        <v>238</v>
      </c>
      <c r="G988" s="292" t="s">
        <v>294</v>
      </c>
      <c r="H988" s="206">
        <v>700</v>
      </c>
      <c r="I988" s="206">
        <f>700+1266</f>
        <v>1966</v>
      </c>
      <c r="J988" s="697">
        <f t="shared" si="182"/>
        <v>280.8571428571429</v>
      </c>
      <c r="K988" s="168"/>
      <c r="L988" s="636"/>
      <c r="M988" s="172"/>
      <c r="N988" s="697"/>
      <c r="O988" s="168"/>
      <c r="P988" s="221">
        <f t="shared" si="178"/>
        <v>700</v>
      </c>
      <c r="Q988" s="221">
        <f t="shared" si="179"/>
        <v>1966</v>
      </c>
      <c r="R988" s="704">
        <f t="shared" si="183"/>
        <v>280.8571428571429</v>
      </c>
    </row>
    <row r="989" spans="2:18" ht="12.75">
      <c r="B989" s="647">
        <f t="shared" si="181"/>
        <v>560</v>
      </c>
      <c r="C989" s="165"/>
      <c r="D989" s="165"/>
      <c r="E989" s="170"/>
      <c r="F989" s="166" t="s">
        <v>253</v>
      </c>
      <c r="G989" s="292" t="s">
        <v>311</v>
      </c>
      <c r="H989" s="206">
        <v>330</v>
      </c>
      <c r="I989" s="206">
        <v>330</v>
      </c>
      <c r="J989" s="697">
        <f t="shared" si="182"/>
        <v>100</v>
      </c>
      <c r="K989" s="168"/>
      <c r="L989" s="636"/>
      <c r="M989" s="172"/>
      <c r="N989" s="697"/>
      <c r="O989" s="168"/>
      <c r="P989" s="221">
        <f t="shared" si="178"/>
        <v>330</v>
      </c>
      <c r="Q989" s="221">
        <f t="shared" si="179"/>
        <v>330</v>
      </c>
      <c r="R989" s="704">
        <f t="shared" si="183"/>
        <v>100</v>
      </c>
    </row>
    <row r="990" spans="2:18" ht="12.75">
      <c r="B990" s="647">
        <f t="shared" si="181"/>
        <v>561</v>
      </c>
      <c r="C990" s="165"/>
      <c r="D990" s="165"/>
      <c r="E990" s="170"/>
      <c r="F990" s="166" t="s">
        <v>255</v>
      </c>
      <c r="G990" s="292" t="s">
        <v>295</v>
      </c>
      <c r="H990" s="206">
        <v>2250</v>
      </c>
      <c r="I990" s="206">
        <v>2250</v>
      </c>
      <c r="J990" s="697">
        <f t="shared" si="182"/>
        <v>100</v>
      </c>
      <c r="K990" s="168"/>
      <c r="L990" s="636"/>
      <c r="M990" s="172"/>
      <c r="N990" s="697"/>
      <c r="O990" s="168"/>
      <c r="P990" s="221">
        <f t="shared" si="178"/>
        <v>2250</v>
      </c>
      <c r="Q990" s="221">
        <f t="shared" si="179"/>
        <v>2250</v>
      </c>
      <c r="R990" s="704">
        <f t="shared" si="183"/>
        <v>100</v>
      </c>
    </row>
    <row r="991" spans="2:18" ht="12.75">
      <c r="B991" s="647">
        <f t="shared" si="181"/>
        <v>562</v>
      </c>
      <c r="C991" s="165"/>
      <c r="D991" s="165"/>
      <c r="E991" s="170"/>
      <c r="F991" s="188" t="s">
        <v>256</v>
      </c>
      <c r="G991" s="307" t="s">
        <v>464</v>
      </c>
      <c r="H991" s="207">
        <f>1241+74</f>
        <v>1315</v>
      </c>
      <c r="I991" s="207">
        <v>1315</v>
      </c>
      <c r="J991" s="697">
        <f t="shared" si="182"/>
        <v>100</v>
      </c>
      <c r="K991" s="168"/>
      <c r="L991" s="636"/>
      <c r="M991" s="172"/>
      <c r="N991" s="697"/>
      <c r="O991" s="168"/>
      <c r="P991" s="396">
        <f t="shared" si="178"/>
        <v>1315</v>
      </c>
      <c r="Q991" s="396">
        <f aca="true" t="shared" si="184" ref="Q991:Q1022">M991+I991</f>
        <v>1315</v>
      </c>
      <c r="R991" s="704">
        <f t="shared" si="183"/>
        <v>100</v>
      </c>
    </row>
    <row r="992" spans="2:18" ht="15">
      <c r="B992" s="647">
        <f aca="true" t="shared" si="185" ref="B992:B1023">B991+1</f>
        <v>563</v>
      </c>
      <c r="C992" s="165"/>
      <c r="D992" s="400">
        <v>21</v>
      </c>
      <c r="E992" s="240" t="s">
        <v>501</v>
      </c>
      <c r="F992" s="194" t="s">
        <v>511</v>
      </c>
      <c r="G992" s="366"/>
      <c r="H992" s="232">
        <f>H993+H994+H995+H1000</f>
        <v>71701</v>
      </c>
      <c r="I992" s="232">
        <f>I993+I994+I995+I1000</f>
        <v>92033</v>
      </c>
      <c r="J992" s="697">
        <f t="shared" si="182"/>
        <v>128.35664774549866</v>
      </c>
      <c r="K992" s="168"/>
      <c r="L992" s="762"/>
      <c r="M992" s="763"/>
      <c r="N992" s="697"/>
      <c r="O992" s="168"/>
      <c r="P992" s="397">
        <f t="shared" si="178"/>
        <v>71701</v>
      </c>
      <c r="Q992" s="397">
        <f t="shared" si="184"/>
        <v>92033</v>
      </c>
      <c r="R992" s="704">
        <f t="shared" si="183"/>
        <v>128.35664774549866</v>
      </c>
    </row>
    <row r="993" spans="2:18" ht="12.75">
      <c r="B993" s="647">
        <f t="shared" si="185"/>
        <v>564</v>
      </c>
      <c r="C993" s="165"/>
      <c r="D993" s="165"/>
      <c r="E993" s="170"/>
      <c r="F993" s="188" t="s">
        <v>250</v>
      </c>
      <c r="G993" s="307" t="s">
        <v>291</v>
      </c>
      <c r="H993" s="207">
        <v>31127</v>
      </c>
      <c r="I993" s="207">
        <v>31057</v>
      </c>
      <c r="J993" s="697">
        <f t="shared" si="182"/>
        <v>99.7751148520577</v>
      </c>
      <c r="K993" s="168"/>
      <c r="L993" s="636"/>
      <c r="M993" s="172"/>
      <c r="N993" s="697"/>
      <c r="O993" s="168"/>
      <c r="P993" s="396">
        <f t="shared" si="178"/>
        <v>31127</v>
      </c>
      <c r="Q993" s="396">
        <f t="shared" si="184"/>
        <v>31057</v>
      </c>
      <c r="R993" s="704">
        <f t="shared" si="183"/>
        <v>99.7751148520577</v>
      </c>
    </row>
    <row r="994" spans="2:18" ht="12.75">
      <c r="B994" s="647">
        <f t="shared" si="185"/>
        <v>565</v>
      </c>
      <c r="C994" s="165"/>
      <c r="D994" s="165"/>
      <c r="E994" s="170"/>
      <c r="F994" s="188" t="s">
        <v>251</v>
      </c>
      <c r="G994" s="307" t="s">
        <v>292</v>
      </c>
      <c r="H994" s="207">
        <f>11376-36</f>
        <v>11340</v>
      </c>
      <c r="I994" s="207">
        <v>11410</v>
      </c>
      <c r="J994" s="697">
        <f t="shared" si="182"/>
        <v>100.61728395061729</v>
      </c>
      <c r="K994" s="168"/>
      <c r="L994" s="636"/>
      <c r="M994" s="172"/>
      <c r="N994" s="697"/>
      <c r="O994" s="168"/>
      <c r="P994" s="396">
        <f t="shared" si="178"/>
        <v>11340</v>
      </c>
      <c r="Q994" s="396">
        <f t="shared" si="184"/>
        <v>11410</v>
      </c>
      <c r="R994" s="704">
        <f t="shared" si="183"/>
        <v>100.61728395061729</v>
      </c>
    </row>
    <row r="995" spans="2:18" ht="12.75">
      <c r="B995" s="647">
        <f t="shared" si="185"/>
        <v>566</v>
      </c>
      <c r="C995" s="165"/>
      <c r="D995" s="165"/>
      <c r="E995" s="170"/>
      <c r="F995" s="188" t="s">
        <v>257</v>
      </c>
      <c r="G995" s="307" t="s">
        <v>428</v>
      </c>
      <c r="H995" s="207">
        <f>H996+H997+H998+H999</f>
        <v>28395</v>
      </c>
      <c r="I995" s="207">
        <f>I996+I997+I998+I999</f>
        <v>48727</v>
      </c>
      <c r="J995" s="697">
        <f t="shared" si="182"/>
        <v>171.60415566120798</v>
      </c>
      <c r="K995" s="168"/>
      <c r="L995" s="636"/>
      <c r="M995" s="172"/>
      <c r="N995" s="697"/>
      <c r="O995" s="168"/>
      <c r="P995" s="396">
        <f t="shared" si="178"/>
        <v>28395</v>
      </c>
      <c r="Q995" s="396">
        <f t="shared" si="184"/>
        <v>48727</v>
      </c>
      <c r="R995" s="704">
        <f t="shared" si="183"/>
        <v>171.60415566120798</v>
      </c>
    </row>
    <row r="996" spans="2:18" ht="12.75">
      <c r="B996" s="647">
        <f t="shared" si="185"/>
        <v>567</v>
      </c>
      <c r="C996" s="165"/>
      <c r="D996" s="165"/>
      <c r="E996" s="170"/>
      <c r="F996" s="166" t="s">
        <v>237</v>
      </c>
      <c r="G996" s="292" t="s">
        <v>398</v>
      </c>
      <c r="H996" s="206">
        <v>22510</v>
      </c>
      <c r="I996" s="206">
        <v>22510</v>
      </c>
      <c r="J996" s="697">
        <f t="shared" si="182"/>
        <v>100</v>
      </c>
      <c r="K996" s="168"/>
      <c r="L996" s="636"/>
      <c r="M996" s="172"/>
      <c r="N996" s="697"/>
      <c r="O996" s="168"/>
      <c r="P996" s="221">
        <f t="shared" si="178"/>
        <v>22510</v>
      </c>
      <c r="Q996" s="221">
        <f t="shared" si="184"/>
        <v>22510</v>
      </c>
      <c r="R996" s="704">
        <f t="shared" si="183"/>
        <v>100</v>
      </c>
    </row>
    <row r="997" spans="2:18" ht="12.75">
      <c r="B997" s="224">
        <f t="shared" si="185"/>
        <v>568</v>
      </c>
      <c r="C997" s="165"/>
      <c r="D997" s="165"/>
      <c r="E997" s="170"/>
      <c r="F997" s="166" t="s">
        <v>238</v>
      </c>
      <c r="G997" s="292" t="s">
        <v>294</v>
      </c>
      <c r="H997" s="206">
        <v>1800</v>
      </c>
      <c r="I997" s="206">
        <f>20332+1800</f>
        <v>22132</v>
      </c>
      <c r="J997" s="990">
        <f t="shared" si="182"/>
        <v>1229.5555555555557</v>
      </c>
      <c r="K997" s="168"/>
      <c r="L997" s="636"/>
      <c r="M997" s="172"/>
      <c r="N997" s="697"/>
      <c r="O997" s="168"/>
      <c r="P997" s="221">
        <f t="shared" si="178"/>
        <v>1800</v>
      </c>
      <c r="Q997" s="221">
        <f t="shared" si="184"/>
        <v>22132</v>
      </c>
      <c r="R997" s="704">
        <f t="shared" si="183"/>
        <v>1229.5555555555557</v>
      </c>
    </row>
    <row r="998" spans="2:18" ht="12.75">
      <c r="B998" s="224">
        <f t="shared" si="185"/>
        <v>569</v>
      </c>
      <c r="C998" s="165"/>
      <c r="D998" s="165"/>
      <c r="E998" s="170"/>
      <c r="F998" s="166" t="s">
        <v>253</v>
      </c>
      <c r="G998" s="292" t="s">
        <v>311</v>
      </c>
      <c r="H998" s="206">
        <v>170</v>
      </c>
      <c r="I998" s="206">
        <v>170</v>
      </c>
      <c r="J998" s="697">
        <f t="shared" si="182"/>
        <v>100</v>
      </c>
      <c r="K998" s="168"/>
      <c r="L998" s="636"/>
      <c r="M998" s="172"/>
      <c r="N998" s="697"/>
      <c r="O998" s="168"/>
      <c r="P998" s="221">
        <f t="shared" si="178"/>
        <v>170</v>
      </c>
      <c r="Q998" s="221">
        <f t="shared" si="184"/>
        <v>170</v>
      </c>
      <c r="R998" s="704">
        <f t="shared" si="183"/>
        <v>100</v>
      </c>
    </row>
    <row r="999" spans="2:18" ht="12.75">
      <c r="B999" s="224">
        <f t="shared" si="185"/>
        <v>570</v>
      </c>
      <c r="C999" s="165"/>
      <c r="D999" s="165"/>
      <c r="E999" s="170"/>
      <c r="F999" s="166" t="s">
        <v>255</v>
      </c>
      <c r="G999" s="292" t="s">
        <v>295</v>
      </c>
      <c r="H999" s="206">
        <v>3915</v>
      </c>
      <c r="I999" s="206">
        <v>3915</v>
      </c>
      <c r="J999" s="697">
        <f t="shared" si="182"/>
        <v>100</v>
      </c>
      <c r="K999" s="168"/>
      <c r="L999" s="636"/>
      <c r="M999" s="172"/>
      <c r="N999" s="697"/>
      <c r="O999" s="168"/>
      <c r="P999" s="221">
        <f t="shared" si="178"/>
        <v>3915</v>
      </c>
      <c r="Q999" s="221">
        <f t="shared" si="184"/>
        <v>3915</v>
      </c>
      <c r="R999" s="704">
        <f t="shared" si="183"/>
        <v>100</v>
      </c>
    </row>
    <row r="1000" spans="2:18" ht="12.75">
      <c r="B1000" s="224">
        <f t="shared" si="185"/>
        <v>571</v>
      </c>
      <c r="C1000" s="165"/>
      <c r="D1000" s="165"/>
      <c r="E1000" s="170"/>
      <c r="F1000" s="188" t="s">
        <v>256</v>
      </c>
      <c r="G1000" s="307" t="s">
        <v>464</v>
      </c>
      <c r="H1000" s="207">
        <f>803+36</f>
        <v>839</v>
      </c>
      <c r="I1000" s="207">
        <v>839</v>
      </c>
      <c r="J1000" s="697">
        <f t="shared" si="182"/>
        <v>100</v>
      </c>
      <c r="K1000" s="168"/>
      <c r="L1000" s="636"/>
      <c r="M1000" s="172"/>
      <c r="N1000" s="697"/>
      <c r="O1000" s="168"/>
      <c r="P1000" s="396">
        <f t="shared" si="178"/>
        <v>839</v>
      </c>
      <c r="Q1000" s="396">
        <f t="shared" si="184"/>
        <v>839</v>
      </c>
      <c r="R1000" s="704">
        <f t="shared" si="183"/>
        <v>100</v>
      </c>
    </row>
    <row r="1001" spans="2:18" ht="15">
      <c r="B1001" s="224">
        <f t="shared" si="185"/>
        <v>572</v>
      </c>
      <c r="C1001" s="165"/>
      <c r="D1001" s="399">
        <v>22</v>
      </c>
      <c r="E1001" s="240" t="s">
        <v>501</v>
      </c>
      <c r="F1001" s="194" t="s">
        <v>512</v>
      </c>
      <c r="G1001" s="366"/>
      <c r="H1001" s="232">
        <f>H1002</f>
        <v>105035</v>
      </c>
      <c r="I1001" s="232">
        <f>I1002</f>
        <v>105035</v>
      </c>
      <c r="J1001" s="697">
        <f t="shared" si="182"/>
        <v>100</v>
      </c>
      <c r="K1001" s="168"/>
      <c r="L1001" s="762"/>
      <c r="M1001" s="763"/>
      <c r="N1001" s="697"/>
      <c r="O1001" s="168"/>
      <c r="P1001" s="397">
        <f t="shared" si="178"/>
        <v>105035</v>
      </c>
      <c r="Q1001" s="397">
        <f t="shared" si="184"/>
        <v>105035</v>
      </c>
      <c r="R1001" s="704">
        <f t="shared" si="183"/>
        <v>100</v>
      </c>
    </row>
    <row r="1002" spans="2:18" ht="12.75">
      <c r="B1002" s="224">
        <f t="shared" si="185"/>
        <v>573</v>
      </c>
      <c r="C1002" s="165"/>
      <c r="D1002" s="165"/>
      <c r="E1002" s="170"/>
      <c r="F1002" s="188" t="s">
        <v>257</v>
      </c>
      <c r="G1002" s="307" t="s">
        <v>428</v>
      </c>
      <c r="H1002" s="207">
        <v>105035</v>
      </c>
      <c r="I1002" s="207">
        <f>I1003</f>
        <v>105035</v>
      </c>
      <c r="J1002" s="697">
        <f t="shared" si="182"/>
        <v>100</v>
      </c>
      <c r="K1002" s="168"/>
      <c r="L1002" s="636"/>
      <c r="M1002" s="172"/>
      <c r="N1002" s="697"/>
      <c r="O1002" s="168"/>
      <c r="P1002" s="221">
        <f t="shared" si="178"/>
        <v>105035</v>
      </c>
      <c r="Q1002" s="221">
        <f t="shared" si="184"/>
        <v>105035</v>
      </c>
      <c r="R1002" s="704">
        <f t="shared" si="183"/>
        <v>100</v>
      </c>
    </row>
    <row r="1003" spans="2:18" ht="12.75">
      <c r="B1003" s="224">
        <f t="shared" si="185"/>
        <v>574</v>
      </c>
      <c r="C1003" s="165"/>
      <c r="D1003" s="165"/>
      <c r="E1003" s="170"/>
      <c r="F1003" s="166" t="s">
        <v>255</v>
      </c>
      <c r="G1003" s="292" t="s">
        <v>513</v>
      </c>
      <c r="H1003" s="206">
        <v>105035</v>
      </c>
      <c r="I1003" s="206">
        <v>105035</v>
      </c>
      <c r="J1003" s="697">
        <f t="shared" si="182"/>
        <v>100</v>
      </c>
      <c r="K1003" s="168"/>
      <c r="L1003" s="636"/>
      <c r="M1003" s="172"/>
      <c r="N1003" s="697"/>
      <c r="O1003" s="168"/>
      <c r="P1003" s="221">
        <f t="shared" si="178"/>
        <v>105035</v>
      </c>
      <c r="Q1003" s="221">
        <f t="shared" si="184"/>
        <v>105035</v>
      </c>
      <c r="R1003" s="704">
        <f t="shared" si="183"/>
        <v>100</v>
      </c>
    </row>
    <row r="1004" spans="2:18" ht="12.75">
      <c r="B1004" s="224">
        <f t="shared" si="185"/>
        <v>575</v>
      </c>
      <c r="C1004" s="165"/>
      <c r="D1004" s="165"/>
      <c r="E1004" s="170"/>
      <c r="F1004" s="170"/>
      <c r="G1004" s="307"/>
      <c r="H1004" s="206"/>
      <c r="I1004" s="206"/>
      <c r="J1004" s="697"/>
      <c r="K1004" s="168"/>
      <c r="L1004" s="636"/>
      <c r="M1004" s="172"/>
      <c r="N1004" s="697"/>
      <c r="O1004" s="168"/>
      <c r="P1004" s="221"/>
      <c r="Q1004" s="221">
        <f t="shared" si="184"/>
        <v>0</v>
      </c>
      <c r="R1004" s="704"/>
    </row>
    <row r="1005" spans="2:18" ht="12.75">
      <c r="B1005" s="224">
        <f t="shared" si="185"/>
        <v>576</v>
      </c>
      <c r="C1005" s="165"/>
      <c r="D1005" s="165"/>
      <c r="E1005" s="170"/>
      <c r="F1005" s="427"/>
      <c r="G1005" s="428" t="s">
        <v>468</v>
      </c>
      <c r="H1005" s="429">
        <v>23570</v>
      </c>
      <c r="I1005" s="429">
        <v>23570</v>
      </c>
      <c r="J1005" s="697">
        <f>I1005/H1005*100</f>
        <v>100</v>
      </c>
      <c r="K1005" s="168"/>
      <c r="L1005" s="779"/>
      <c r="M1005" s="780"/>
      <c r="N1005" s="697"/>
      <c r="O1005" s="168"/>
      <c r="P1005" s="430">
        <f>H1005+L1005</f>
        <v>23570</v>
      </c>
      <c r="Q1005" s="430">
        <f t="shared" si="184"/>
        <v>23570</v>
      </c>
      <c r="R1005" s="704">
        <f>Q1005/P1005*100</f>
        <v>100</v>
      </c>
    </row>
    <row r="1006" spans="2:18" ht="12.75">
      <c r="B1006" s="224">
        <f t="shared" si="185"/>
        <v>577</v>
      </c>
      <c r="C1006" s="165"/>
      <c r="D1006" s="165"/>
      <c r="E1006" s="170"/>
      <c r="F1006" s="427"/>
      <c r="G1006" s="428" t="s">
        <v>469</v>
      </c>
      <c r="H1006" s="429">
        <v>18410</v>
      </c>
      <c r="I1006" s="429">
        <v>18410</v>
      </c>
      <c r="J1006" s="697">
        <f>I1006/H1006*100</f>
        <v>100</v>
      </c>
      <c r="K1006" s="168"/>
      <c r="L1006" s="779"/>
      <c r="M1006" s="780"/>
      <c r="N1006" s="697"/>
      <c r="O1006" s="168"/>
      <c r="P1006" s="430">
        <f>H1006+L1006</f>
        <v>18410</v>
      </c>
      <c r="Q1006" s="430">
        <f t="shared" si="184"/>
        <v>18410</v>
      </c>
      <c r="R1006" s="704">
        <f>Q1006/P1006*100</f>
        <v>100</v>
      </c>
    </row>
    <row r="1007" spans="2:18" ht="12.75">
      <c r="B1007" s="224">
        <f t="shared" si="185"/>
        <v>578</v>
      </c>
      <c r="C1007" s="165"/>
      <c r="D1007" s="165"/>
      <c r="E1007" s="170"/>
      <c r="F1007" s="427"/>
      <c r="G1007" s="428" t="s">
        <v>470</v>
      </c>
      <c r="H1007" s="429">
        <v>4715</v>
      </c>
      <c r="I1007" s="429">
        <v>4715</v>
      </c>
      <c r="J1007" s="697">
        <f>I1007/H1007*100</f>
        <v>100</v>
      </c>
      <c r="K1007" s="168"/>
      <c r="L1007" s="779"/>
      <c r="M1007" s="780"/>
      <c r="N1007" s="697"/>
      <c r="O1007" s="168"/>
      <c r="P1007" s="430">
        <f>H1007+L1007</f>
        <v>4715</v>
      </c>
      <c r="Q1007" s="430">
        <f t="shared" si="184"/>
        <v>4715</v>
      </c>
      <c r="R1007" s="704">
        <f>Q1007/P1007*100</f>
        <v>100</v>
      </c>
    </row>
    <row r="1008" spans="2:18" ht="12.75">
      <c r="B1008" s="224">
        <f t="shared" si="185"/>
        <v>579</v>
      </c>
      <c r="C1008" s="165"/>
      <c r="D1008" s="165"/>
      <c r="E1008" s="170"/>
      <c r="F1008" s="427"/>
      <c r="G1008" s="428" t="s">
        <v>471</v>
      </c>
      <c r="H1008" s="429">
        <v>2920</v>
      </c>
      <c r="I1008" s="429">
        <v>2920</v>
      </c>
      <c r="J1008" s="697">
        <f>I1008/H1008*100</f>
        <v>100</v>
      </c>
      <c r="K1008" s="168"/>
      <c r="L1008" s="779"/>
      <c r="M1008" s="780"/>
      <c r="N1008" s="697"/>
      <c r="O1008" s="168"/>
      <c r="P1008" s="430">
        <f>H1008+L1008</f>
        <v>2920</v>
      </c>
      <c r="Q1008" s="430">
        <f t="shared" si="184"/>
        <v>2920</v>
      </c>
      <c r="R1008" s="704">
        <f>Q1008/P1008*100</f>
        <v>100</v>
      </c>
    </row>
    <row r="1009" spans="2:18" ht="12.75">
      <c r="B1009" s="224">
        <f t="shared" si="185"/>
        <v>580</v>
      </c>
      <c r="C1009" s="165"/>
      <c r="D1009" s="165"/>
      <c r="E1009" s="170"/>
      <c r="F1009" s="170"/>
      <c r="G1009" s="307"/>
      <c r="H1009" s="206"/>
      <c r="I1009" s="206"/>
      <c r="J1009" s="697"/>
      <c r="K1009" s="168"/>
      <c r="L1009" s="636"/>
      <c r="M1009" s="172"/>
      <c r="N1009" s="697"/>
      <c r="O1009" s="168"/>
      <c r="P1009" s="221"/>
      <c r="Q1009" s="221">
        <f t="shared" si="184"/>
        <v>0</v>
      </c>
      <c r="R1009" s="704"/>
    </row>
    <row r="1010" spans="2:18" ht="15.75">
      <c r="B1010" s="224">
        <f t="shared" si="185"/>
        <v>581</v>
      </c>
      <c r="C1010" s="27">
        <v>5</v>
      </c>
      <c r="D1010" s="160" t="s">
        <v>262</v>
      </c>
      <c r="E1010" s="28"/>
      <c r="F1010" s="28"/>
      <c r="G1010" s="291"/>
      <c r="H1010" s="233">
        <f>H1011+H1023+H1025</f>
        <v>217370</v>
      </c>
      <c r="I1010" s="617">
        <f>I1011+I1023+I1025</f>
        <v>215312</v>
      </c>
      <c r="J1010" s="684">
        <f aca="true" t="shared" si="186" ref="J1010:J1035">I1010/H1010*100</f>
        <v>99.05322721626719</v>
      </c>
      <c r="K1010" s="96"/>
      <c r="L1010" s="633"/>
      <c r="M1010" s="664"/>
      <c r="N1010" s="717"/>
      <c r="O1010" s="96"/>
      <c r="P1010" s="299">
        <f aca="true" t="shared" si="187" ref="P1010:P1035">H1010+L1010</f>
        <v>217370</v>
      </c>
      <c r="Q1010" s="608">
        <f t="shared" si="184"/>
        <v>215312</v>
      </c>
      <c r="R1010" s="696">
        <f aca="true" t="shared" si="188" ref="R1010:R1035">Q1010/P1010*100</f>
        <v>99.05322721626719</v>
      </c>
    </row>
    <row r="1011" spans="2:18" ht="12.75">
      <c r="B1011" s="224">
        <f t="shared" si="185"/>
        <v>582</v>
      </c>
      <c r="C1011" s="187"/>
      <c r="D1011" s="241"/>
      <c r="E1011" s="356" t="s">
        <v>303</v>
      </c>
      <c r="F1011" s="356" t="s">
        <v>304</v>
      </c>
      <c r="G1011" s="357"/>
      <c r="H1011" s="347">
        <f>H1012+H1013+H1014+H1022</f>
        <v>174495</v>
      </c>
      <c r="I1011" s="347">
        <f>I1012+I1013+I1014+I1022</f>
        <v>176225</v>
      </c>
      <c r="J1011" s="697">
        <f t="shared" si="186"/>
        <v>100.99143241926703</v>
      </c>
      <c r="K1011" s="199"/>
      <c r="L1011" s="775"/>
      <c r="M1011" s="776"/>
      <c r="N1011" s="716"/>
      <c r="O1011" s="199"/>
      <c r="P1011" s="220">
        <f t="shared" si="187"/>
        <v>174495</v>
      </c>
      <c r="Q1011" s="220">
        <f t="shared" si="184"/>
        <v>176225</v>
      </c>
      <c r="R1011" s="699">
        <f t="shared" si="188"/>
        <v>100.99143241926703</v>
      </c>
    </row>
    <row r="1012" spans="2:18" ht="12.75">
      <c r="B1012" s="224">
        <f t="shared" si="185"/>
        <v>583</v>
      </c>
      <c r="C1012" s="187"/>
      <c r="D1012" s="188"/>
      <c r="E1012" s="188"/>
      <c r="F1012" s="188" t="s">
        <v>250</v>
      </c>
      <c r="G1012" s="307" t="s">
        <v>291</v>
      </c>
      <c r="H1012" s="207">
        <v>101066</v>
      </c>
      <c r="I1012" s="207">
        <v>100110</v>
      </c>
      <c r="J1012" s="697">
        <f t="shared" si="186"/>
        <v>99.05408347020759</v>
      </c>
      <c r="K1012" s="191"/>
      <c r="L1012" s="757"/>
      <c r="M1012" s="237"/>
      <c r="N1012" s="716"/>
      <c r="O1012" s="191"/>
      <c r="P1012" s="218">
        <f t="shared" si="187"/>
        <v>101066</v>
      </c>
      <c r="Q1012" s="218">
        <f t="shared" si="184"/>
        <v>100110</v>
      </c>
      <c r="R1012" s="699">
        <f t="shared" si="188"/>
        <v>99.05408347020759</v>
      </c>
    </row>
    <row r="1013" spans="2:18" ht="12.75">
      <c r="B1013" s="224">
        <f t="shared" si="185"/>
        <v>584</v>
      </c>
      <c r="C1013" s="187"/>
      <c r="D1013" s="188"/>
      <c r="E1013" s="188"/>
      <c r="F1013" s="188" t="s">
        <v>251</v>
      </c>
      <c r="G1013" s="307" t="s">
        <v>292</v>
      </c>
      <c r="H1013" s="207">
        <v>35576</v>
      </c>
      <c r="I1013" s="207">
        <v>36533</v>
      </c>
      <c r="J1013" s="697">
        <f t="shared" si="186"/>
        <v>102.69001574094897</v>
      </c>
      <c r="K1013" s="191"/>
      <c r="L1013" s="757"/>
      <c r="M1013" s="237"/>
      <c r="N1013" s="716"/>
      <c r="O1013" s="191"/>
      <c r="P1013" s="218">
        <f t="shared" si="187"/>
        <v>35576</v>
      </c>
      <c r="Q1013" s="218">
        <f t="shared" si="184"/>
        <v>36533</v>
      </c>
      <c r="R1013" s="699">
        <f t="shared" si="188"/>
        <v>102.69001574094897</v>
      </c>
    </row>
    <row r="1014" spans="2:18" ht="12.75">
      <c r="B1014" s="224">
        <f t="shared" si="185"/>
        <v>585</v>
      </c>
      <c r="C1014" s="187"/>
      <c r="D1014" s="188"/>
      <c r="E1014" s="188"/>
      <c r="F1014" s="188" t="s">
        <v>257</v>
      </c>
      <c r="G1014" s="307" t="s">
        <v>297</v>
      </c>
      <c r="H1014" s="207">
        <f>H1015+H1016+H1017+H1018+H1019+H1020+H1021</f>
        <v>37110</v>
      </c>
      <c r="I1014" s="207">
        <f>SUM(I1015:I1021)</f>
        <v>38839</v>
      </c>
      <c r="J1014" s="697">
        <f t="shared" si="186"/>
        <v>104.65912153058474</v>
      </c>
      <c r="K1014" s="191"/>
      <c r="L1014" s="757"/>
      <c r="M1014" s="237"/>
      <c r="N1014" s="716"/>
      <c r="O1014" s="191"/>
      <c r="P1014" s="218">
        <f t="shared" si="187"/>
        <v>37110</v>
      </c>
      <c r="Q1014" s="218">
        <f t="shared" si="184"/>
        <v>38839</v>
      </c>
      <c r="R1014" s="699">
        <f t="shared" si="188"/>
        <v>104.65912153058474</v>
      </c>
    </row>
    <row r="1015" spans="2:18" ht="12.75">
      <c r="B1015" s="224">
        <f t="shared" si="185"/>
        <v>586</v>
      </c>
      <c r="C1015" s="187"/>
      <c r="D1015" s="188"/>
      <c r="E1015" s="188"/>
      <c r="F1015" s="166" t="s">
        <v>252</v>
      </c>
      <c r="G1015" s="292" t="s">
        <v>305</v>
      </c>
      <c r="H1015" s="206">
        <f>100+5</f>
        <v>105</v>
      </c>
      <c r="I1015" s="206">
        <v>105</v>
      </c>
      <c r="J1015" s="697">
        <f t="shared" si="186"/>
        <v>100</v>
      </c>
      <c r="K1015" s="191"/>
      <c r="L1015" s="757"/>
      <c r="M1015" s="237"/>
      <c r="N1015" s="716"/>
      <c r="O1015" s="191"/>
      <c r="P1015" s="219">
        <f t="shared" si="187"/>
        <v>105</v>
      </c>
      <c r="Q1015" s="219">
        <f t="shared" si="184"/>
        <v>105</v>
      </c>
      <c r="R1015" s="699">
        <f t="shared" si="188"/>
        <v>100</v>
      </c>
    </row>
    <row r="1016" spans="2:18" ht="12.75">
      <c r="B1016" s="224">
        <f t="shared" si="185"/>
        <v>587</v>
      </c>
      <c r="C1016" s="187"/>
      <c r="D1016" s="188"/>
      <c r="E1016" s="188"/>
      <c r="F1016" s="166" t="s">
        <v>237</v>
      </c>
      <c r="G1016" s="292" t="s">
        <v>293</v>
      </c>
      <c r="H1016" s="206">
        <v>2750</v>
      </c>
      <c r="I1016" s="206">
        <v>2742</v>
      </c>
      <c r="J1016" s="697">
        <f t="shared" si="186"/>
        <v>99.70909090909092</v>
      </c>
      <c r="K1016" s="191"/>
      <c r="L1016" s="757"/>
      <c r="M1016" s="237"/>
      <c r="N1016" s="716"/>
      <c r="O1016" s="191"/>
      <c r="P1016" s="219">
        <f t="shared" si="187"/>
        <v>2750</v>
      </c>
      <c r="Q1016" s="219">
        <f t="shared" si="184"/>
        <v>2742</v>
      </c>
      <c r="R1016" s="699">
        <f t="shared" si="188"/>
        <v>99.70909090909092</v>
      </c>
    </row>
    <row r="1017" spans="2:18" ht="12.75">
      <c r="B1017" s="224">
        <f t="shared" si="185"/>
        <v>588</v>
      </c>
      <c r="C1017" s="187"/>
      <c r="D1017" s="188"/>
      <c r="E1017" s="188"/>
      <c r="F1017" s="166" t="s">
        <v>238</v>
      </c>
      <c r="G1017" s="292" t="s">
        <v>306</v>
      </c>
      <c r="H1017" s="211">
        <f>3457-121</f>
        <v>3336</v>
      </c>
      <c r="I1017" s="211">
        <v>4858</v>
      </c>
      <c r="J1017" s="720">
        <f t="shared" si="186"/>
        <v>145.62350119904076</v>
      </c>
      <c r="K1017" s="191"/>
      <c r="L1017" s="757"/>
      <c r="M1017" s="237"/>
      <c r="N1017" s="716"/>
      <c r="O1017" s="567"/>
      <c r="P1017" s="219">
        <f t="shared" si="187"/>
        <v>3336</v>
      </c>
      <c r="Q1017" s="219">
        <f t="shared" si="184"/>
        <v>4858</v>
      </c>
      <c r="R1017" s="699">
        <f t="shared" si="188"/>
        <v>145.62350119904076</v>
      </c>
    </row>
    <row r="1018" spans="2:18" ht="12.75">
      <c r="B1018" s="224">
        <f t="shared" si="185"/>
        <v>589</v>
      </c>
      <c r="C1018" s="165"/>
      <c r="D1018" s="166"/>
      <c r="E1018" s="166"/>
      <c r="F1018" s="166" t="s">
        <v>239</v>
      </c>
      <c r="G1018" s="292" t="s">
        <v>310</v>
      </c>
      <c r="H1018" s="206">
        <f>5894+160</f>
        <v>6054</v>
      </c>
      <c r="I1018" s="206">
        <v>6200</v>
      </c>
      <c r="J1018" s="697">
        <f t="shared" si="186"/>
        <v>102.41162867525604</v>
      </c>
      <c r="K1018" s="168"/>
      <c r="L1018" s="634"/>
      <c r="M1018" s="238"/>
      <c r="N1018" s="716"/>
      <c r="O1018" s="168"/>
      <c r="P1018" s="219">
        <f t="shared" si="187"/>
        <v>6054</v>
      </c>
      <c r="Q1018" s="219">
        <f t="shared" si="184"/>
        <v>6200</v>
      </c>
      <c r="R1018" s="699">
        <f t="shared" si="188"/>
        <v>102.41162867525604</v>
      </c>
    </row>
    <row r="1019" spans="2:18" ht="12.75">
      <c r="B1019" s="224">
        <f t="shared" si="185"/>
        <v>590</v>
      </c>
      <c r="C1019" s="165"/>
      <c r="D1019" s="166"/>
      <c r="E1019" s="166"/>
      <c r="F1019" s="166" t="s">
        <v>253</v>
      </c>
      <c r="G1019" s="292" t="s">
        <v>408</v>
      </c>
      <c r="H1019" s="206">
        <v>680</v>
      </c>
      <c r="I1019" s="206">
        <v>680</v>
      </c>
      <c r="J1019" s="697">
        <f t="shared" si="186"/>
        <v>100</v>
      </c>
      <c r="K1019" s="168"/>
      <c r="L1019" s="634"/>
      <c r="M1019" s="238"/>
      <c r="N1019" s="716"/>
      <c r="O1019" s="168"/>
      <c r="P1019" s="219">
        <f t="shared" si="187"/>
        <v>680</v>
      </c>
      <c r="Q1019" s="219">
        <f t="shared" si="184"/>
        <v>680</v>
      </c>
      <c r="R1019" s="699">
        <f t="shared" si="188"/>
        <v>100</v>
      </c>
    </row>
    <row r="1020" spans="2:18" ht="12.75">
      <c r="B1020" s="224">
        <f t="shared" si="185"/>
        <v>591</v>
      </c>
      <c r="C1020" s="165"/>
      <c r="D1020" s="166"/>
      <c r="E1020" s="166"/>
      <c r="F1020" s="166" t="s">
        <v>254</v>
      </c>
      <c r="G1020" s="292" t="s">
        <v>409</v>
      </c>
      <c r="H1020" s="206">
        <f>300+102</f>
        <v>402</v>
      </c>
      <c r="I1020" s="206">
        <v>401</v>
      </c>
      <c r="J1020" s="697">
        <f t="shared" si="186"/>
        <v>99.75124378109453</v>
      </c>
      <c r="K1020" s="168"/>
      <c r="L1020" s="634"/>
      <c r="M1020" s="238"/>
      <c r="N1020" s="716"/>
      <c r="O1020" s="168"/>
      <c r="P1020" s="219">
        <f t="shared" si="187"/>
        <v>402</v>
      </c>
      <c r="Q1020" s="219">
        <f t="shared" si="184"/>
        <v>401</v>
      </c>
      <c r="R1020" s="699">
        <f t="shared" si="188"/>
        <v>99.75124378109453</v>
      </c>
    </row>
    <row r="1021" spans="2:18" ht="12.75">
      <c r="B1021" s="224">
        <f t="shared" si="185"/>
        <v>592</v>
      </c>
      <c r="C1021" s="165"/>
      <c r="D1021" s="166"/>
      <c r="E1021" s="166"/>
      <c r="F1021" s="166" t="s">
        <v>255</v>
      </c>
      <c r="G1021" s="292" t="s">
        <v>295</v>
      </c>
      <c r="H1021" s="206">
        <f>23862-79</f>
        <v>23783</v>
      </c>
      <c r="I1021" s="206">
        <v>23853</v>
      </c>
      <c r="J1021" s="697">
        <f t="shared" si="186"/>
        <v>100.29432788125972</v>
      </c>
      <c r="K1021" s="168"/>
      <c r="L1021" s="634"/>
      <c r="M1021" s="238"/>
      <c r="N1021" s="716"/>
      <c r="O1021" s="168"/>
      <c r="P1021" s="219">
        <f t="shared" si="187"/>
        <v>23783</v>
      </c>
      <c r="Q1021" s="219">
        <f t="shared" si="184"/>
        <v>23853</v>
      </c>
      <c r="R1021" s="699">
        <f t="shared" si="188"/>
        <v>100.29432788125972</v>
      </c>
    </row>
    <row r="1022" spans="2:18" ht="12.75">
      <c r="B1022" s="224">
        <f t="shared" si="185"/>
        <v>593</v>
      </c>
      <c r="C1022" s="165"/>
      <c r="D1022" s="166"/>
      <c r="E1022" s="222"/>
      <c r="F1022" s="188" t="s">
        <v>256</v>
      </c>
      <c r="G1022" s="307" t="s">
        <v>464</v>
      </c>
      <c r="H1022" s="207">
        <f>732+11</f>
        <v>743</v>
      </c>
      <c r="I1022" s="207">
        <v>743</v>
      </c>
      <c r="J1022" s="697">
        <f t="shared" si="186"/>
        <v>100</v>
      </c>
      <c r="K1022" s="168"/>
      <c r="L1022" s="636"/>
      <c r="M1022" s="172"/>
      <c r="N1022" s="697"/>
      <c r="O1022" s="168"/>
      <c r="P1022" s="396">
        <f t="shared" si="187"/>
        <v>743</v>
      </c>
      <c r="Q1022" s="396">
        <f t="shared" si="184"/>
        <v>743</v>
      </c>
      <c r="R1022" s="704">
        <f t="shared" si="188"/>
        <v>100</v>
      </c>
    </row>
    <row r="1023" spans="2:18" ht="12.75">
      <c r="B1023" s="224">
        <f t="shared" si="185"/>
        <v>594</v>
      </c>
      <c r="C1023" s="187"/>
      <c r="D1023" s="241"/>
      <c r="E1023" s="194" t="s">
        <v>531</v>
      </c>
      <c r="F1023" s="194" t="s">
        <v>410</v>
      </c>
      <c r="G1023" s="366"/>
      <c r="H1023" s="231">
        <f>SUM(H1024:H1024)</f>
        <v>3500</v>
      </c>
      <c r="I1023" s="231">
        <f>SUM(I1024:I1024)</f>
        <v>1992</v>
      </c>
      <c r="J1023" s="697">
        <f t="shared" si="186"/>
        <v>56.91428571428572</v>
      </c>
      <c r="K1023" s="199"/>
      <c r="L1023" s="783"/>
      <c r="M1023" s="784"/>
      <c r="N1023" s="716"/>
      <c r="O1023" s="191"/>
      <c r="P1023" s="395">
        <f t="shared" si="187"/>
        <v>3500</v>
      </c>
      <c r="Q1023" s="395">
        <f aca="true" t="shared" si="189" ref="Q1023:Q1035">M1023+I1023</f>
        <v>1992</v>
      </c>
      <c r="R1023" s="699">
        <f t="shared" si="188"/>
        <v>56.91428571428572</v>
      </c>
    </row>
    <row r="1024" spans="2:18" ht="12.75">
      <c r="B1024" s="224">
        <f aca="true" t="shared" si="190" ref="B1024:B1035">B1023+1</f>
        <v>595</v>
      </c>
      <c r="C1024" s="165"/>
      <c r="D1024" s="11"/>
      <c r="E1024" s="222"/>
      <c r="F1024" s="434" t="s">
        <v>692</v>
      </c>
      <c r="G1024" s="292" t="s">
        <v>693</v>
      </c>
      <c r="H1024" s="206">
        <v>3500</v>
      </c>
      <c r="I1024" s="206">
        <v>1992</v>
      </c>
      <c r="J1024" s="697">
        <f t="shared" si="186"/>
        <v>56.91428571428572</v>
      </c>
      <c r="K1024" s="168"/>
      <c r="L1024" s="634"/>
      <c r="M1024" s="238"/>
      <c r="N1024" s="716"/>
      <c r="O1024" s="168"/>
      <c r="P1024" s="219">
        <f t="shared" si="187"/>
        <v>3500</v>
      </c>
      <c r="Q1024" s="219">
        <f t="shared" si="189"/>
        <v>1992</v>
      </c>
      <c r="R1024" s="699">
        <f t="shared" si="188"/>
        <v>56.91428571428572</v>
      </c>
    </row>
    <row r="1025" spans="2:18" ht="12.75">
      <c r="B1025" s="224">
        <f t="shared" si="190"/>
        <v>596</v>
      </c>
      <c r="C1025" s="165"/>
      <c r="D1025" s="241"/>
      <c r="E1025" s="194" t="s">
        <v>531</v>
      </c>
      <c r="F1025" s="194" t="s">
        <v>91</v>
      </c>
      <c r="G1025" s="366"/>
      <c r="H1025" s="231">
        <f>H1026+H1027+H1028+H1035</f>
        <v>39375</v>
      </c>
      <c r="I1025" s="231">
        <f>I1026+I1027+I1028+I1035</f>
        <v>37095</v>
      </c>
      <c r="J1025" s="697">
        <f t="shared" si="186"/>
        <v>94.20952380952382</v>
      </c>
      <c r="K1025" s="168"/>
      <c r="L1025" s="758"/>
      <c r="M1025" s="759"/>
      <c r="N1025" s="716"/>
      <c r="O1025" s="168"/>
      <c r="P1025" s="395">
        <f t="shared" si="187"/>
        <v>39375</v>
      </c>
      <c r="Q1025" s="395">
        <f t="shared" si="189"/>
        <v>37095</v>
      </c>
      <c r="R1025" s="699">
        <f t="shared" si="188"/>
        <v>94.20952380952382</v>
      </c>
    </row>
    <row r="1026" spans="2:18" ht="12.75">
      <c r="B1026" s="224">
        <f t="shared" si="190"/>
        <v>597</v>
      </c>
      <c r="C1026" s="165"/>
      <c r="D1026" s="241"/>
      <c r="E1026" s="188"/>
      <c r="F1026" s="188" t="s">
        <v>250</v>
      </c>
      <c r="G1026" s="307" t="s">
        <v>291</v>
      </c>
      <c r="H1026" s="207">
        <v>20610</v>
      </c>
      <c r="I1026" s="207">
        <v>20610</v>
      </c>
      <c r="J1026" s="697">
        <f t="shared" si="186"/>
        <v>100</v>
      </c>
      <c r="K1026" s="168"/>
      <c r="L1026" s="634"/>
      <c r="M1026" s="238"/>
      <c r="N1026" s="716"/>
      <c r="O1026" s="168"/>
      <c r="P1026" s="218">
        <f t="shared" si="187"/>
        <v>20610</v>
      </c>
      <c r="Q1026" s="218">
        <f t="shared" si="189"/>
        <v>20610</v>
      </c>
      <c r="R1026" s="699">
        <f t="shared" si="188"/>
        <v>100</v>
      </c>
    </row>
    <row r="1027" spans="2:18" ht="12.75">
      <c r="B1027" s="224">
        <f t="shared" si="190"/>
        <v>598</v>
      </c>
      <c r="C1027" s="165"/>
      <c r="D1027" s="241"/>
      <c r="E1027" s="188"/>
      <c r="F1027" s="188" t="s">
        <v>251</v>
      </c>
      <c r="G1027" s="307" t="s">
        <v>292</v>
      </c>
      <c r="H1027" s="207">
        <v>7245</v>
      </c>
      <c r="I1027" s="207">
        <v>7245</v>
      </c>
      <c r="J1027" s="697">
        <f t="shared" si="186"/>
        <v>100</v>
      </c>
      <c r="K1027" s="168"/>
      <c r="L1027" s="634"/>
      <c r="M1027" s="238"/>
      <c r="N1027" s="716"/>
      <c r="O1027" s="168"/>
      <c r="P1027" s="218">
        <f t="shared" si="187"/>
        <v>7245</v>
      </c>
      <c r="Q1027" s="218">
        <f t="shared" si="189"/>
        <v>7245</v>
      </c>
      <c r="R1027" s="699">
        <f t="shared" si="188"/>
        <v>100</v>
      </c>
    </row>
    <row r="1028" spans="2:18" ht="12.75">
      <c r="B1028" s="224">
        <f t="shared" si="190"/>
        <v>599</v>
      </c>
      <c r="C1028" s="165"/>
      <c r="D1028" s="188"/>
      <c r="E1028" s="188"/>
      <c r="F1028" s="188" t="s">
        <v>257</v>
      </c>
      <c r="G1028" s="307" t="s">
        <v>297</v>
      </c>
      <c r="H1028" s="207">
        <f>H1029+H1030+H1031+H1034+H1032+H1033</f>
        <v>11316</v>
      </c>
      <c r="I1028" s="207">
        <f>SUM(I1029:I1034)</f>
        <v>9037</v>
      </c>
      <c r="J1028" s="697">
        <f t="shared" si="186"/>
        <v>79.86037469070342</v>
      </c>
      <c r="K1028" s="168"/>
      <c r="L1028" s="634"/>
      <c r="M1028" s="238"/>
      <c r="N1028" s="716"/>
      <c r="O1028" s="168"/>
      <c r="P1028" s="218">
        <f t="shared" si="187"/>
        <v>11316</v>
      </c>
      <c r="Q1028" s="218">
        <f t="shared" si="189"/>
        <v>9037</v>
      </c>
      <c r="R1028" s="699">
        <f t="shared" si="188"/>
        <v>79.86037469070342</v>
      </c>
    </row>
    <row r="1029" spans="2:18" ht="12.75">
      <c r="B1029" s="224">
        <f t="shared" si="190"/>
        <v>600</v>
      </c>
      <c r="C1029" s="165"/>
      <c r="D1029" s="188"/>
      <c r="E1029" s="188"/>
      <c r="F1029" s="166" t="s">
        <v>237</v>
      </c>
      <c r="G1029" s="292" t="s">
        <v>293</v>
      </c>
      <c r="H1029" s="206">
        <v>1000</v>
      </c>
      <c r="I1029" s="206">
        <v>778</v>
      </c>
      <c r="J1029" s="697">
        <f t="shared" si="186"/>
        <v>77.8</v>
      </c>
      <c r="K1029" s="86"/>
      <c r="L1029" s="634"/>
      <c r="M1029" s="238"/>
      <c r="N1029" s="716"/>
      <c r="O1029" s="86"/>
      <c r="P1029" s="219">
        <f t="shared" si="187"/>
        <v>1000</v>
      </c>
      <c r="Q1029" s="219">
        <f t="shared" si="189"/>
        <v>778</v>
      </c>
      <c r="R1029" s="699">
        <f t="shared" si="188"/>
        <v>77.8</v>
      </c>
    </row>
    <row r="1030" spans="2:18" ht="12.75">
      <c r="B1030" s="224">
        <f t="shared" si="190"/>
        <v>601</v>
      </c>
      <c r="C1030" s="165"/>
      <c r="D1030" s="188"/>
      <c r="E1030" s="188"/>
      <c r="F1030" s="166" t="s">
        <v>238</v>
      </c>
      <c r="G1030" s="292" t="s">
        <v>306</v>
      </c>
      <c r="H1030" s="206">
        <v>1925</v>
      </c>
      <c r="I1030" s="206">
        <f>3127-2535</f>
        <v>592</v>
      </c>
      <c r="J1030" s="697">
        <f t="shared" si="186"/>
        <v>30.753246753246756</v>
      </c>
      <c r="K1030" s="86"/>
      <c r="L1030" s="634"/>
      <c r="M1030" s="238"/>
      <c r="N1030" s="716"/>
      <c r="O1030" s="86"/>
      <c r="P1030" s="219">
        <f t="shared" si="187"/>
        <v>1925</v>
      </c>
      <c r="Q1030" s="219">
        <f t="shared" si="189"/>
        <v>592</v>
      </c>
      <c r="R1030" s="699">
        <f t="shared" si="188"/>
        <v>30.753246753246756</v>
      </c>
    </row>
    <row r="1031" spans="2:18" ht="12.75">
      <c r="B1031" s="224">
        <f t="shared" si="190"/>
        <v>602</v>
      </c>
      <c r="C1031" s="165"/>
      <c r="D1031" s="188"/>
      <c r="E1031" s="166"/>
      <c r="F1031" s="166" t="s">
        <v>239</v>
      </c>
      <c r="G1031" s="292" t="s">
        <v>310</v>
      </c>
      <c r="H1031" s="206">
        <v>460</v>
      </c>
      <c r="I1031" s="206">
        <v>334</v>
      </c>
      <c r="J1031" s="697">
        <f t="shared" si="186"/>
        <v>72.60869565217392</v>
      </c>
      <c r="K1031" s="86"/>
      <c r="L1031" s="634"/>
      <c r="M1031" s="238"/>
      <c r="N1031" s="716"/>
      <c r="O1031" s="86"/>
      <c r="P1031" s="219">
        <f t="shared" si="187"/>
        <v>460</v>
      </c>
      <c r="Q1031" s="219">
        <f t="shared" si="189"/>
        <v>334</v>
      </c>
      <c r="R1031" s="699">
        <f t="shared" si="188"/>
        <v>72.60869565217392</v>
      </c>
    </row>
    <row r="1032" spans="2:18" ht="12.75">
      <c r="B1032" s="224">
        <f t="shared" si="190"/>
        <v>603</v>
      </c>
      <c r="C1032" s="165"/>
      <c r="D1032" s="188"/>
      <c r="E1032" s="166"/>
      <c r="F1032" s="166" t="s">
        <v>254</v>
      </c>
      <c r="G1032" s="292" t="s">
        <v>312</v>
      </c>
      <c r="H1032" s="206">
        <f>2500+332</f>
        <v>2832</v>
      </c>
      <c r="I1032" s="206">
        <v>2814</v>
      </c>
      <c r="J1032" s="697">
        <f t="shared" si="186"/>
        <v>99.36440677966102</v>
      </c>
      <c r="K1032" s="86"/>
      <c r="L1032" s="634"/>
      <c r="M1032" s="238"/>
      <c r="N1032" s="716"/>
      <c r="O1032" s="86"/>
      <c r="P1032" s="219">
        <f t="shared" si="187"/>
        <v>2832</v>
      </c>
      <c r="Q1032" s="219">
        <f t="shared" si="189"/>
        <v>2814</v>
      </c>
      <c r="R1032" s="699">
        <f t="shared" si="188"/>
        <v>99.36440677966102</v>
      </c>
    </row>
    <row r="1033" spans="2:18" ht="12.75">
      <c r="B1033" s="224">
        <f t="shared" si="190"/>
        <v>604</v>
      </c>
      <c r="C1033" s="171"/>
      <c r="D1033" s="426"/>
      <c r="E1033" s="434"/>
      <c r="F1033" s="434" t="s">
        <v>238</v>
      </c>
      <c r="G1033" s="310" t="s">
        <v>707</v>
      </c>
      <c r="H1033" s="206">
        <v>2535</v>
      </c>
      <c r="I1033" s="206">
        <v>2535</v>
      </c>
      <c r="J1033" s="697">
        <f t="shared" si="186"/>
        <v>100</v>
      </c>
      <c r="K1033" s="86"/>
      <c r="L1033" s="634"/>
      <c r="M1033" s="238"/>
      <c r="N1033" s="716"/>
      <c r="O1033" s="86"/>
      <c r="P1033" s="219">
        <f t="shared" si="187"/>
        <v>2535</v>
      </c>
      <c r="Q1033" s="219">
        <f t="shared" si="189"/>
        <v>2535</v>
      </c>
      <c r="R1033" s="699">
        <f t="shared" si="188"/>
        <v>100</v>
      </c>
    </row>
    <row r="1034" spans="2:18" ht="12.75">
      <c r="B1034" s="224">
        <f t="shared" si="190"/>
        <v>605</v>
      </c>
      <c r="C1034" s="171"/>
      <c r="D1034" s="426"/>
      <c r="E1034" s="434"/>
      <c r="F1034" s="434" t="s">
        <v>255</v>
      </c>
      <c r="G1034" s="310" t="s">
        <v>295</v>
      </c>
      <c r="H1034" s="247">
        <f>2618-54</f>
        <v>2564</v>
      </c>
      <c r="I1034" s="247">
        <v>1984</v>
      </c>
      <c r="J1034" s="716">
        <f t="shared" si="186"/>
        <v>77.37909516380655</v>
      </c>
      <c r="K1034" s="86"/>
      <c r="L1034" s="634"/>
      <c r="M1034" s="238"/>
      <c r="N1034" s="716"/>
      <c r="O1034" s="86"/>
      <c r="P1034" s="219">
        <f t="shared" si="187"/>
        <v>2564</v>
      </c>
      <c r="Q1034" s="219">
        <f t="shared" si="189"/>
        <v>1984</v>
      </c>
      <c r="R1034" s="699">
        <f t="shared" si="188"/>
        <v>77.37909516380655</v>
      </c>
    </row>
    <row r="1035" spans="2:18" ht="13.5" thickBot="1">
      <c r="B1035" s="538">
        <f t="shared" si="190"/>
        <v>606</v>
      </c>
      <c r="C1035" s="549"/>
      <c r="D1035" s="549"/>
      <c r="E1035" s="547"/>
      <c r="F1035" s="528" t="s">
        <v>256</v>
      </c>
      <c r="G1035" s="548" t="s">
        <v>526</v>
      </c>
      <c r="H1035" s="550">
        <f>150+54</f>
        <v>204</v>
      </c>
      <c r="I1035" s="550">
        <v>203</v>
      </c>
      <c r="J1035" s="714">
        <f t="shared" si="186"/>
        <v>99.50980392156863</v>
      </c>
      <c r="K1035" s="510"/>
      <c r="L1035" s="640"/>
      <c r="M1035" s="184"/>
      <c r="N1035" s="714"/>
      <c r="O1035" s="552"/>
      <c r="P1035" s="551">
        <f t="shared" si="187"/>
        <v>204</v>
      </c>
      <c r="Q1035" s="551">
        <f t="shared" si="189"/>
        <v>203</v>
      </c>
      <c r="R1035" s="789">
        <f t="shared" si="188"/>
        <v>99.50980392156863</v>
      </c>
    </row>
    <row r="1062" spans="2:16" ht="27.75" thickBot="1">
      <c r="B1062" s="379" t="s">
        <v>176</v>
      </c>
      <c r="C1062" s="379"/>
      <c r="D1062" s="379"/>
      <c r="E1062" s="379"/>
      <c r="F1062" s="379"/>
      <c r="G1062" s="379"/>
      <c r="H1062" s="379"/>
      <c r="I1062" s="379"/>
      <c r="J1062" s="689"/>
      <c r="K1062" s="379"/>
      <c r="L1062" s="379"/>
      <c r="M1062" s="379"/>
      <c r="N1062" s="689"/>
      <c r="O1062" s="379"/>
      <c r="P1062" s="379"/>
    </row>
    <row r="1063" spans="2:18" ht="14.25" customHeight="1" thickBot="1">
      <c r="B1063" s="1055" t="s">
        <v>236</v>
      </c>
      <c r="C1063" s="1056"/>
      <c r="D1063" s="1056"/>
      <c r="E1063" s="1056"/>
      <c r="F1063" s="1056"/>
      <c r="G1063" s="1056"/>
      <c r="H1063" s="1056"/>
      <c r="I1063" s="1056"/>
      <c r="J1063" s="1056"/>
      <c r="K1063" s="1056"/>
      <c r="L1063" s="1056"/>
      <c r="M1063" s="1056"/>
      <c r="N1063" s="1057"/>
      <c r="O1063" s="151"/>
      <c r="P1063" s="1052" t="s">
        <v>627</v>
      </c>
      <c r="Q1063" s="1040" t="s">
        <v>772</v>
      </c>
      <c r="R1063" s="1047" t="s">
        <v>774</v>
      </c>
    </row>
    <row r="1064" spans="2:18" ht="22.5" customHeight="1">
      <c r="B1064" s="26"/>
      <c r="C1064" s="1043" t="s">
        <v>613</v>
      </c>
      <c r="D1064" s="1045" t="s">
        <v>612</v>
      </c>
      <c r="E1064" s="1045" t="s">
        <v>610</v>
      </c>
      <c r="F1064" s="1045" t="s">
        <v>611</v>
      </c>
      <c r="G1064" s="288" t="s">
        <v>4</v>
      </c>
      <c r="H1064" s="1027" t="s">
        <v>662</v>
      </c>
      <c r="I1064" s="1033" t="s">
        <v>772</v>
      </c>
      <c r="J1064" s="1035" t="s">
        <v>774</v>
      </c>
      <c r="K1064" s="86"/>
      <c r="L1064" s="1050" t="s">
        <v>663</v>
      </c>
      <c r="M1064" s="1033" t="s">
        <v>772</v>
      </c>
      <c r="N1064" s="1035" t="s">
        <v>774</v>
      </c>
      <c r="O1064" s="86"/>
      <c r="P1064" s="1053"/>
      <c r="Q1064" s="1041"/>
      <c r="R1064" s="1048"/>
    </row>
    <row r="1065" spans="2:18" ht="31.5" customHeight="1" thickBot="1">
      <c r="B1065" s="29"/>
      <c r="C1065" s="1044"/>
      <c r="D1065" s="1044"/>
      <c r="E1065" s="1044"/>
      <c r="F1065" s="1044"/>
      <c r="G1065" s="289"/>
      <c r="H1065" s="1029"/>
      <c r="I1065" s="1034"/>
      <c r="J1065" s="1046"/>
      <c r="K1065" s="86"/>
      <c r="L1065" s="1051"/>
      <c r="M1065" s="1034"/>
      <c r="N1065" s="1046"/>
      <c r="O1065" s="86"/>
      <c r="P1065" s="1054"/>
      <c r="Q1065" s="1042"/>
      <c r="R1065" s="1049"/>
    </row>
    <row r="1066" spans="2:18" ht="19.5" thickBot="1" thickTop="1">
      <c r="B1066" s="174">
        <v>1</v>
      </c>
      <c r="C1066" s="158" t="s">
        <v>263</v>
      </c>
      <c r="D1066" s="125"/>
      <c r="E1066" s="125"/>
      <c r="F1066" s="125"/>
      <c r="G1066" s="290"/>
      <c r="H1066" s="225">
        <f>H1067+H1068+H1072+H1136</f>
        <v>1352026</v>
      </c>
      <c r="I1066" s="593">
        <f>I1067+I1068+I1072+I1136</f>
        <v>1333993</v>
      </c>
      <c r="J1066" s="690">
        <f>I1066/H1066*100</f>
        <v>98.66622387439294</v>
      </c>
      <c r="K1066" s="127"/>
      <c r="L1066" s="295">
        <f>L1067+L1068+L1072+L1136</f>
        <v>1253862</v>
      </c>
      <c r="M1066" s="593">
        <f>M1067+M1068+M1072+M1136</f>
        <v>1225822</v>
      </c>
      <c r="N1066" s="690">
        <f>M1066/L1066*100</f>
        <v>97.76370924391998</v>
      </c>
      <c r="O1066" s="127"/>
      <c r="P1066" s="691">
        <f aca="true" t="shared" si="191" ref="P1066:P1075">H1066+L1066</f>
        <v>2605888</v>
      </c>
      <c r="Q1066" s="692">
        <f aca="true" t="shared" si="192" ref="Q1066:Q1097">M1066+I1066</f>
        <v>2559815</v>
      </c>
      <c r="R1066" s="693">
        <f>Q1066/P1066*100</f>
        <v>98.23196545668885</v>
      </c>
    </row>
    <row r="1067" spans="2:18" ht="16.5" thickTop="1">
      <c r="B1067" s="174">
        <f aca="true" t="shared" si="193" ref="B1067:B1098">B1066+1</f>
        <v>2</v>
      </c>
      <c r="C1067" s="27">
        <v>1</v>
      </c>
      <c r="D1067" s="160" t="s">
        <v>118</v>
      </c>
      <c r="E1067" s="28"/>
      <c r="F1067" s="28"/>
      <c r="G1067" s="291"/>
      <c r="H1067" s="367">
        <v>0</v>
      </c>
      <c r="I1067" s="695">
        <v>0</v>
      </c>
      <c r="J1067" s="683"/>
      <c r="K1067" s="96"/>
      <c r="L1067" s="333">
        <v>0</v>
      </c>
      <c r="M1067" s="695"/>
      <c r="N1067" s="683"/>
      <c r="O1067" s="96"/>
      <c r="P1067" s="299">
        <f t="shared" si="191"/>
        <v>0</v>
      </c>
      <c r="Q1067" s="608">
        <f t="shared" si="192"/>
        <v>0</v>
      </c>
      <c r="R1067" s="696"/>
    </row>
    <row r="1068" spans="2:18" ht="15.75">
      <c r="B1068" s="174">
        <f t="shared" si="193"/>
        <v>3</v>
      </c>
      <c r="C1068" s="24">
        <v>2</v>
      </c>
      <c r="D1068" s="159" t="s">
        <v>119</v>
      </c>
      <c r="E1068" s="25"/>
      <c r="F1068" s="25"/>
      <c r="G1068" s="293"/>
      <c r="H1068" s="233">
        <f>SUM(H1069:H1071)</f>
        <v>25000</v>
      </c>
      <c r="I1068" s="617">
        <f>SUM(I1069:I1071)</f>
        <v>25000</v>
      </c>
      <c r="J1068" s="684">
        <f aca="true" t="shared" si="194" ref="J1068:J1094">I1068/H1068*100</f>
        <v>100</v>
      </c>
      <c r="K1068" s="96"/>
      <c r="L1068" s="638">
        <v>0</v>
      </c>
      <c r="M1068" s="678"/>
      <c r="N1068" s="747"/>
      <c r="O1068" s="126"/>
      <c r="P1068" s="299">
        <f t="shared" si="191"/>
        <v>25000</v>
      </c>
      <c r="Q1068" s="608">
        <f t="shared" si="192"/>
        <v>25000</v>
      </c>
      <c r="R1068" s="696">
        <f aca="true" t="shared" si="195" ref="R1068:R1075">Q1068/P1068*100</f>
        <v>100</v>
      </c>
    </row>
    <row r="1069" spans="2:18" ht="12.75">
      <c r="B1069" s="174">
        <f t="shared" si="193"/>
        <v>4</v>
      </c>
      <c r="C1069" s="165"/>
      <c r="D1069" s="165"/>
      <c r="E1069" s="166" t="s">
        <v>300</v>
      </c>
      <c r="F1069" s="170">
        <v>640</v>
      </c>
      <c r="G1069" s="324" t="s">
        <v>301</v>
      </c>
      <c r="H1069" s="206">
        <f>17500+2500-1000</f>
        <v>19000</v>
      </c>
      <c r="I1069" s="206">
        <v>19000</v>
      </c>
      <c r="J1069" s="697">
        <f t="shared" si="194"/>
        <v>100</v>
      </c>
      <c r="K1069" s="168"/>
      <c r="L1069" s="636"/>
      <c r="M1069" s="172"/>
      <c r="N1069" s="748"/>
      <c r="O1069" s="168"/>
      <c r="P1069" s="176">
        <f t="shared" si="191"/>
        <v>19000</v>
      </c>
      <c r="Q1069" s="176">
        <f t="shared" si="192"/>
        <v>19000</v>
      </c>
      <c r="R1069" s="704">
        <f t="shared" si="195"/>
        <v>100</v>
      </c>
    </row>
    <row r="1070" spans="2:18" ht="12.75">
      <c r="B1070" s="174">
        <f t="shared" si="193"/>
        <v>5</v>
      </c>
      <c r="C1070" s="165"/>
      <c r="D1070" s="165"/>
      <c r="E1070" s="166" t="s">
        <v>300</v>
      </c>
      <c r="F1070" s="170">
        <v>640</v>
      </c>
      <c r="G1070" s="324" t="s">
        <v>655</v>
      </c>
      <c r="H1070" s="206">
        <v>2500</v>
      </c>
      <c r="I1070" s="206">
        <v>2500</v>
      </c>
      <c r="J1070" s="697">
        <f t="shared" si="194"/>
        <v>100</v>
      </c>
      <c r="K1070" s="168"/>
      <c r="L1070" s="636"/>
      <c r="M1070" s="172"/>
      <c r="N1070" s="748"/>
      <c r="O1070" s="168"/>
      <c r="P1070" s="176">
        <f t="shared" si="191"/>
        <v>2500</v>
      </c>
      <c r="Q1070" s="176">
        <f t="shared" si="192"/>
        <v>2500</v>
      </c>
      <c r="R1070" s="704">
        <f t="shared" si="195"/>
        <v>100</v>
      </c>
    </row>
    <row r="1071" spans="2:18" ht="12.75">
      <c r="B1071" s="174">
        <f t="shared" si="193"/>
        <v>6</v>
      </c>
      <c r="C1071" s="165"/>
      <c r="D1071" s="165"/>
      <c r="E1071" s="166" t="s">
        <v>300</v>
      </c>
      <c r="F1071" s="170">
        <v>640</v>
      </c>
      <c r="G1071" s="324" t="s">
        <v>302</v>
      </c>
      <c r="H1071" s="206">
        <f>2500+1000</f>
        <v>3500</v>
      </c>
      <c r="I1071" s="206">
        <v>3500</v>
      </c>
      <c r="J1071" s="697">
        <f t="shared" si="194"/>
        <v>100</v>
      </c>
      <c r="K1071" s="168"/>
      <c r="L1071" s="636"/>
      <c r="M1071" s="172"/>
      <c r="N1071" s="748"/>
      <c r="O1071" s="168"/>
      <c r="P1071" s="176">
        <f t="shared" si="191"/>
        <v>3500</v>
      </c>
      <c r="Q1071" s="176">
        <f t="shared" si="192"/>
        <v>3500</v>
      </c>
      <c r="R1071" s="704">
        <f t="shared" si="195"/>
        <v>100</v>
      </c>
    </row>
    <row r="1072" spans="2:18" ht="15.75">
      <c r="B1072" s="174">
        <f t="shared" si="193"/>
        <v>7</v>
      </c>
      <c r="C1072" s="27">
        <v>3</v>
      </c>
      <c r="D1072" s="160" t="s">
        <v>152</v>
      </c>
      <c r="E1072" s="28"/>
      <c r="F1072" s="28"/>
      <c r="G1072" s="291"/>
      <c r="H1072" s="233">
        <f>H1073+H1077+H1084+H1104+H1134</f>
        <v>1318026</v>
      </c>
      <c r="I1072" s="617">
        <f>I1073+I1077+I1084+I1104+I1134</f>
        <v>1300244</v>
      </c>
      <c r="J1072" s="684">
        <f t="shared" si="194"/>
        <v>98.65086121214604</v>
      </c>
      <c r="K1072" s="96"/>
      <c r="L1072" s="638">
        <f>L1073+L1077+L1084+L1104</f>
        <v>1248045</v>
      </c>
      <c r="M1072" s="644">
        <f>M1073+M1077+M1084+M1104</f>
        <v>1220005</v>
      </c>
      <c r="N1072" s="747">
        <f>M1072/L1072*100</f>
        <v>97.75328613952222</v>
      </c>
      <c r="O1072" s="96"/>
      <c r="P1072" s="299">
        <f t="shared" si="191"/>
        <v>2566071</v>
      </c>
      <c r="Q1072" s="608">
        <f t="shared" si="192"/>
        <v>2520249</v>
      </c>
      <c r="R1072" s="696">
        <f t="shared" si="195"/>
        <v>98.21431285416499</v>
      </c>
    </row>
    <row r="1073" spans="2:18" ht="12.75">
      <c r="B1073" s="174">
        <f t="shared" si="193"/>
        <v>8</v>
      </c>
      <c r="C1073" s="165"/>
      <c r="D1073" s="303" t="s">
        <v>5</v>
      </c>
      <c r="E1073" s="331" t="s">
        <v>120</v>
      </c>
      <c r="F1073" s="331"/>
      <c r="G1073" s="332"/>
      <c r="H1073" s="315">
        <f>SUM(H1074:H1076)</f>
        <v>82290</v>
      </c>
      <c r="I1073" s="315">
        <f>SUM(I1074:I1076)</f>
        <v>82283</v>
      </c>
      <c r="J1073" s="697">
        <f t="shared" si="194"/>
        <v>99.9914934986025</v>
      </c>
      <c r="K1073" s="23"/>
      <c r="L1073" s="790">
        <v>0</v>
      </c>
      <c r="M1073" s="791"/>
      <c r="N1073" s="788"/>
      <c r="O1073" s="23"/>
      <c r="P1073" s="318">
        <f t="shared" si="191"/>
        <v>82290</v>
      </c>
      <c r="Q1073" s="318">
        <f t="shared" si="192"/>
        <v>82283</v>
      </c>
      <c r="R1073" s="699">
        <f t="shared" si="195"/>
        <v>99.9914934986025</v>
      </c>
    </row>
    <row r="1074" spans="2:18" ht="12.75">
      <c r="B1074" s="174">
        <f t="shared" si="193"/>
        <v>9</v>
      </c>
      <c r="C1074" s="165"/>
      <c r="D1074" s="165"/>
      <c r="E1074" s="170" t="s">
        <v>313</v>
      </c>
      <c r="F1074" s="173">
        <v>640</v>
      </c>
      <c r="G1074" s="324" t="s">
        <v>333</v>
      </c>
      <c r="H1074" s="206">
        <v>80000</v>
      </c>
      <c r="I1074" s="206">
        <v>80000</v>
      </c>
      <c r="J1074" s="697">
        <f t="shared" si="194"/>
        <v>100</v>
      </c>
      <c r="K1074" s="168"/>
      <c r="L1074" s="636"/>
      <c r="M1074" s="172"/>
      <c r="N1074" s="748"/>
      <c r="O1074" s="168"/>
      <c r="P1074" s="176">
        <f t="shared" si="191"/>
        <v>80000</v>
      </c>
      <c r="Q1074" s="176">
        <f t="shared" si="192"/>
        <v>80000</v>
      </c>
      <c r="R1074" s="704">
        <f t="shared" si="195"/>
        <v>100</v>
      </c>
    </row>
    <row r="1075" spans="2:18" ht="12.75">
      <c r="B1075" s="174">
        <f t="shared" si="193"/>
        <v>10</v>
      </c>
      <c r="C1075" s="165"/>
      <c r="D1075" s="165"/>
      <c r="E1075" s="170" t="s">
        <v>313</v>
      </c>
      <c r="F1075" s="170">
        <v>637</v>
      </c>
      <c r="G1075" s="324" t="s">
        <v>278</v>
      </c>
      <c r="H1075" s="206">
        <v>2010</v>
      </c>
      <c r="I1075" s="206">
        <v>2007</v>
      </c>
      <c r="J1075" s="697">
        <f t="shared" si="194"/>
        <v>99.85074626865672</v>
      </c>
      <c r="K1075" s="168"/>
      <c r="L1075" s="636"/>
      <c r="M1075" s="172"/>
      <c r="N1075" s="748"/>
      <c r="O1075" s="168"/>
      <c r="P1075" s="176">
        <f t="shared" si="191"/>
        <v>2010</v>
      </c>
      <c r="Q1075" s="176">
        <f t="shared" si="192"/>
        <v>2007</v>
      </c>
      <c r="R1075" s="704">
        <f t="shared" si="195"/>
        <v>99.85074626865672</v>
      </c>
    </row>
    <row r="1076" spans="2:18" ht="12.75">
      <c r="B1076" s="174">
        <f t="shared" si="193"/>
        <v>11</v>
      </c>
      <c r="C1076" s="165"/>
      <c r="D1076" s="165"/>
      <c r="E1076" s="213" t="s">
        <v>313</v>
      </c>
      <c r="F1076" s="170">
        <v>635</v>
      </c>
      <c r="G1076" s="324" t="s">
        <v>765</v>
      </c>
      <c r="H1076" s="206">
        <v>280</v>
      </c>
      <c r="I1076" s="206">
        <v>276</v>
      </c>
      <c r="J1076" s="697">
        <f t="shared" si="194"/>
        <v>98.57142857142858</v>
      </c>
      <c r="K1076" s="168"/>
      <c r="L1076" s="634"/>
      <c r="M1076" s="238"/>
      <c r="N1076" s="788"/>
      <c r="O1076" s="168"/>
      <c r="P1076" s="175"/>
      <c r="Q1076" s="175">
        <f t="shared" si="192"/>
        <v>276</v>
      </c>
      <c r="R1076" s="699"/>
    </row>
    <row r="1077" spans="2:18" ht="12.75">
      <c r="B1077" s="174">
        <f t="shared" si="193"/>
        <v>12</v>
      </c>
      <c r="C1077" s="165"/>
      <c r="D1077" s="303" t="s">
        <v>6</v>
      </c>
      <c r="E1077" s="331" t="s">
        <v>121</v>
      </c>
      <c r="F1077" s="331"/>
      <c r="G1077" s="332"/>
      <c r="H1077" s="315">
        <f>SUM(H1078:H1083)</f>
        <v>131848</v>
      </c>
      <c r="I1077" s="315">
        <f>SUM(I1078:I1083)</f>
        <v>131832</v>
      </c>
      <c r="J1077" s="697">
        <f t="shared" si="194"/>
        <v>99.98786481402827</v>
      </c>
      <c r="K1077" s="23"/>
      <c r="L1077" s="790">
        <v>0</v>
      </c>
      <c r="M1077" s="791"/>
      <c r="N1077" s="788"/>
      <c r="O1077" s="23"/>
      <c r="P1077" s="318">
        <f aca="true" t="shared" si="196" ref="P1077:P1094">H1077+L1077</f>
        <v>131848</v>
      </c>
      <c r="Q1077" s="318">
        <f t="shared" si="192"/>
        <v>131832</v>
      </c>
      <c r="R1077" s="699">
        <f aca="true" t="shared" si="197" ref="R1077:R1094">Q1077/P1077*100</f>
        <v>99.98786481402827</v>
      </c>
    </row>
    <row r="1078" spans="2:18" ht="12.75">
      <c r="B1078" s="174">
        <f t="shared" si="193"/>
        <v>13</v>
      </c>
      <c r="C1078" s="165"/>
      <c r="D1078" s="165"/>
      <c r="E1078" s="170" t="s">
        <v>313</v>
      </c>
      <c r="F1078" s="170">
        <v>640</v>
      </c>
      <c r="G1078" s="324" t="s">
        <v>577</v>
      </c>
      <c r="H1078" s="206">
        <v>126641</v>
      </c>
      <c r="I1078" s="206">
        <v>126641</v>
      </c>
      <c r="J1078" s="697">
        <f t="shared" si="194"/>
        <v>100</v>
      </c>
      <c r="K1078" s="168"/>
      <c r="L1078" s="636"/>
      <c r="M1078" s="172"/>
      <c r="N1078" s="748"/>
      <c r="O1078" s="168"/>
      <c r="P1078" s="176">
        <f t="shared" si="196"/>
        <v>126641</v>
      </c>
      <c r="Q1078" s="176">
        <f t="shared" si="192"/>
        <v>126641</v>
      </c>
      <c r="R1078" s="704">
        <f t="shared" si="197"/>
        <v>100</v>
      </c>
    </row>
    <row r="1079" spans="2:18" ht="12.75">
      <c r="B1079" s="174">
        <f t="shared" si="193"/>
        <v>14</v>
      </c>
      <c r="C1079" s="165"/>
      <c r="D1079" s="165"/>
      <c r="E1079" s="170" t="s">
        <v>313</v>
      </c>
      <c r="F1079" s="170">
        <v>637</v>
      </c>
      <c r="G1079" s="324" t="s">
        <v>656</v>
      </c>
      <c r="H1079" s="206">
        <f>1205+310</f>
        <v>1515</v>
      </c>
      <c r="I1079" s="206">
        <v>1499</v>
      </c>
      <c r="J1079" s="697">
        <f t="shared" si="194"/>
        <v>98.94389438943895</v>
      </c>
      <c r="K1079" s="168"/>
      <c r="L1079" s="636"/>
      <c r="M1079" s="172"/>
      <c r="N1079" s="748"/>
      <c r="O1079" s="168"/>
      <c r="P1079" s="176">
        <f t="shared" si="196"/>
        <v>1515</v>
      </c>
      <c r="Q1079" s="176">
        <f t="shared" si="192"/>
        <v>1499</v>
      </c>
      <c r="R1079" s="704">
        <f t="shared" si="197"/>
        <v>98.94389438943895</v>
      </c>
    </row>
    <row r="1080" spans="2:18" ht="12.75">
      <c r="B1080" s="174">
        <f t="shared" si="193"/>
        <v>15</v>
      </c>
      <c r="C1080" s="165"/>
      <c r="D1080" s="165"/>
      <c r="E1080" s="213" t="s">
        <v>313</v>
      </c>
      <c r="F1080" s="173">
        <v>640</v>
      </c>
      <c r="G1080" s="324" t="s">
        <v>712</v>
      </c>
      <c r="H1080" s="206">
        <v>1500</v>
      </c>
      <c r="I1080" s="206">
        <v>1500</v>
      </c>
      <c r="J1080" s="697">
        <f t="shared" si="194"/>
        <v>100</v>
      </c>
      <c r="K1080" s="168"/>
      <c r="L1080" s="634"/>
      <c r="M1080" s="238"/>
      <c r="N1080" s="788"/>
      <c r="O1080" s="168"/>
      <c r="P1080" s="176">
        <f t="shared" si="196"/>
        <v>1500</v>
      </c>
      <c r="Q1080" s="176">
        <f t="shared" si="192"/>
        <v>1500</v>
      </c>
      <c r="R1080" s="704">
        <f t="shared" si="197"/>
        <v>100</v>
      </c>
    </row>
    <row r="1081" spans="2:18" ht="12.75">
      <c r="B1081" s="174">
        <f t="shared" si="193"/>
        <v>16</v>
      </c>
      <c r="C1081" s="165"/>
      <c r="D1081" s="165"/>
      <c r="E1081" s="213" t="s">
        <v>313</v>
      </c>
      <c r="F1081" s="170">
        <v>635</v>
      </c>
      <c r="G1081" s="324" t="s">
        <v>765</v>
      </c>
      <c r="H1081" s="206">
        <v>240</v>
      </c>
      <c r="I1081" s="206">
        <v>240</v>
      </c>
      <c r="J1081" s="697">
        <f t="shared" si="194"/>
        <v>100</v>
      </c>
      <c r="K1081" s="168"/>
      <c r="L1081" s="634"/>
      <c r="M1081" s="238"/>
      <c r="N1081" s="788"/>
      <c r="O1081" s="168"/>
      <c r="P1081" s="176">
        <f t="shared" si="196"/>
        <v>240</v>
      </c>
      <c r="Q1081" s="176">
        <f t="shared" si="192"/>
        <v>240</v>
      </c>
      <c r="R1081" s="704">
        <f t="shared" si="197"/>
        <v>100</v>
      </c>
    </row>
    <row r="1082" spans="2:18" ht="12.75">
      <c r="B1082" s="174">
        <f t="shared" si="193"/>
        <v>17</v>
      </c>
      <c r="C1082" s="165"/>
      <c r="D1082" s="165"/>
      <c r="E1082" s="213" t="s">
        <v>313</v>
      </c>
      <c r="F1082" s="173">
        <v>637</v>
      </c>
      <c r="G1082" s="324" t="s">
        <v>713</v>
      </c>
      <c r="H1082" s="206">
        <v>952</v>
      </c>
      <c r="I1082" s="206">
        <v>952</v>
      </c>
      <c r="J1082" s="697">
        <f t="shared" si="194"/>
        <v>100</v>
      </c>
      <c r="K1082" s="168"/>
      <c r="L1082" s="634"/>
      <c r="M1082" s="238"/>
      <c r="N1082" s="788"/>
      <c r="O1082" s="168"/>
      <c r="P1082" s="176">
        <f t="shared" si="196"/>
        <v>952</v>
      </c>
      <c r="Q1082" s="176">
        <f t="shared" si="192"/>
        <v>952</v>
      </c>
      <c r="R1082" s="704">
        <f t="shared" si="197"/>
        <v>100</v>
      </c>
    </row>
    <row r="1083" spans="2:18" ht="12.75">
      <c r="B1083" s="174">
        <f t="shared" si="193"/>
        <v>18</v>
      </c>
      <c r="C1083" s="165"/>
      <c r="D1083" s="165"/>
      <c r="E1083" s="213" t="s">
        <v>313</v>
      </c>
      <c r="F1083" s="173">
        <v>640</v>
      </c>
      <c r="G1083" s="324" t="s">
        <v>745</v>
      </c>
      <c r="H1083" s="206">
        <v>1000</v>
      </c>
      <c r="I1083" s="206">
        <v>1000</v>
      </c>
      <c r="J1083" s="697">
        <f t="shared" si="194"/>
        <v>100</v>
      </c>
      <c r="K1083" s="168"/>
      <c r="L1083" s="634"/>
      <c r="M1083" s="238"/>
      <c r="N1083" s="788"/>
      <c r="O1083" s="168"/>
      <c r="P1083" s="175">
        <f t="shared" si="196"/>
        <v>1000</v>
      </c>
      <c r="Q1083" s="175">
        <f t="shared" si="192"/>
        <v>1000</v>
      </c>
      <c r="R1083" s="699">
        <f t="shared" si="197"/>
        <v>100</v>
      </c>
    </row>
    <row r="1084" spans="2:18" ht="12.75">
      <c r="B1084" s="174">
        <f t="shared" si="193"/>
        <v>19</v>
      </c>
      <c r="C1084" s="165"/>
      <c r="D1084" s="303" t="s">
        <v>7</v>
      </c>
      <c r="E1084" s="331" t="s">
        <v>78</v>
      </c>
      <c r="F1084" s="331"/>
      <c r="G1084" s="332"/>
      <c r="H1084" s="315">
        <f>H1085+H1096+H1098+H1100</f>
        <v>604230</v>
      </c>
      <c r="I1084" s="315">
        <f>I1085+I1096+I1097+I1098+I1100</f>
        <v>609620</v>
      </c>
      <c r="J1084" s="697">
        <f t="shared" si="194"/>
        <v>100.89204442017112</v>
      </c>
      <c r="K1084" s="23"/>
      <c r="L1084" s="790">
        <f>L1102</f>
        <v>237763</v>
      </c>
      <c r="M1084" s="791">
        <f>M1102</f>
        <v>237763</v>
      </c>
      <c r="N1084" s="788">
        <f>M1084/L1084*100</f>
        <v>100</v>
      </c>
      <c r="O1084" s="23"/>
      <c r="P1084" s="318">
        <f t="shared" si="196"/>
        <v>841993</v>
      </c>
      <c r="Q1084" s="318">
        <f t="shared" si="192"/>
        <v>847383</v>
      </c>
      <c r="R1084" s="699">
        <f t="shared" si="197"/>
        <v>100.64014783970887</v>
      </c>
    </row>
    <row r="1085" spans="2:18" ht="12.75">
      <c r="B1085" s="174">
        <f t="shared" si="193"/>
        <v>20</v>
      </c>
      <c r="C1085" s="165"/>
      <c r="D1085" s="250"/>
      <c r="E1085" s="170" t="s">
        <v>313</v>
      </c>
      <c r="F1085" s="489" t="s">
        <v>572</v>
      </c>
      <c r="G1085" s="490"/>
      <c r="H1085" s="486">
        <f>H1086+H1087+H1088+H1094</f>
        <v>470080</v>
      </c>
      <c r="I1085" s="486">
        <f>I1086+I1087+I1088+I1094</f>
        <v>475523</v>
      </c>
      <c r="J1085" s="697">
        <f t="shared" si="194"/>
        <v>101.15788801906058</v>
      </c>
      <c r="K1085" s="480"/>
      <c r="L1085" s="792"/>
      <c r="M1085" s="793"/>
      <c r="N1085" s="788"/>
      <c r="O1085" s="480"/>
      <c r="P1085" s="491">
        <f t="shared" si="196"/>
        <v>470080</v>
      </c>
      <c r="Q1085" s="491">
        <f t="shared" si="192"/>
        <v>475523</v>
      </c>
      <c r="R1085" s="704">
        <f t="shared" si="197"/>
        <v>101.15788801906058</v>
      </c>
    </row>
    <row r="1086" spans="2:18" ht="12.75">
      <c r="B1086" s="174">
        <f t="shared" si="193"/>
        <v>21</v>
      </c>
      <c r="C1086" s="165"/>
      <c r="D1086" s="165"/>
      <c r="E1086" s="170"/>
      <c r="F1086" s="196">
        <v>610</v>
      </c>
      <c r="G1086" s="307" t="s">
        <v>307</v>
      </c>
      <c r="H1086" s="207">
        <f>85100-1100</f>
        <v>84000</v>
      </c>
      <c r="I1086" s="207">
        <v>83120</v>
      </c>
      <c r="J1086" s="697">
        <f t="shared" si="194"/>
        <v>98.95238095238095</v>
      </c>
      <c r="K1086" s="168"/>
      <c r="L1086" s="636"/>
      <c r="M1086" s="172"/>
      <c r="N1086" s="748"/>
      <c r="O1086" s="168"/>
      <c r="P1086" s="415">
        <f t="shared" si="196"/>
        <v>84000</v>
      </c>
      <c r="Q1086" s="415">
        <f t="shared" si="192"/>
        <v>83120</v>
      </c>
      <c r="R1086" s="704">
        <f t="shared" si="197"/>
        <v>98.95238095238095</v>
      </c>
    </row>
    <row r="1087" spans="2:18" ht="12.75">
      <c r="B1087" s="174">
        <f t="shared" si="193"/>
        <v>22</v>
      </c>
      <c r="C1087" s="165"/>
      <c r="D1087" s="165"/>
      <c r="E1087" s="170"/>
      <c r="F1087" s="196">
        <v>620</v>
      </c>
      <c r="G1087" s="307" t="s">
        <v>309</v>
      </c>
      <c r="H1087" s="207">
        <f>34180-4200-390</f>
        <v>29590</v>
      </c>
      <c r="I1087" s="207">
        <v>28287</v>
      </c>
      <c r="J1087" s="697">
        <f t="shared" si="194"/>
        <v>95.59648529908753</v>
      </c>
      <c r="K1087" s="168"/>
      <c r="L1087" s="636"/>
      <c r="M1087" s="172"/>
      <c r="N1087" s="748"/>
      <c r="O1087" s="168"/>
      <c r="P1087" s="415">
        <f t="shared" si="196"/>
        <v>29590</v>
      </c>
      <c r="Q1087" s="415">
        <f t="shared" si="192"/>
        <v>28287</v>
      </c>
      <c r="R1087" s="704">
        <f t="shared" si="197"/>
        <v>95.59648529908753</v>
      </c>
    </row>
    <row r="1088" spans="2:18" ht="12.75">
      <c r="B1088" s="174">
        <f t="shared" si="193"/>
        <v>23</v>
      </c>
      <c r="C1088" s="165"/>
      <c r="D1088" s="165"/>
      <c r="E1088" s="170"/>
      <c r="F1088" s="196">
        <v>630</v>
      </c>
      <c r="G1088" s="307" t="s">
        <v>576</v>
      </c>
      <c r="H1088" s="190">
        <f>SUM(H1089:H1093)</f>
        <v>356400</v>
      </c>
      <c r="I1088" s="190">
        <f>SUM(I1089:I1093)</f>
        <v>364030</v>
      </c>
      <c r="J1088" s="697">
        <f t="shared" si="194"/>
        <v>102.14085297418632</v>
      </c>
      <c r="K1088" s="168"/>
      <c r="L1088" s="636"/>
      <c r="M1088" s="172"/>
      <c r="N1088" s="748"/>
      <c r="O1088" s="168"/>
      <c r="P1088" s="415">
        <f t="shared" si="196"/>
        <v>356400</v>
      </c>
      <c r="Q1088" s="415">
        <f t="shared" si="192"/>
        <v>364030</v>
      </c>
      <c r="R1088" s="704">
        <f t="shared" si="197"/>
        <v>102.14085297418632</v>
      </c>
    </row>
    <row r="1089" spans="2:18" ht="12.75">
      <c r="B1089" s="174">
        <f t="shared" si="193"/>
        <v>24</v>
      </c>
      <c r="C1089" s="165"/>
      <c r="D1089" s="165"/>
      <c r="E1089" s="170"/>
      <c r="F1089" s="170">
        <v>632</v>
      </c>
      <c r="G1089" s="324" t="s">
        <v>657</v>
      </c>
      <c r="H1089" s="172">
        <f>111450+80000+15000+18000+10550-7000</f>
        <v>228000</v>
      </c>
      <c r="I1089" s="172">
        <v>238167</v>
      </c>
      <c r="J1089" s="697">
        <f t="shared" si="194"/>
        <v>104.45921052631579</v>
      </c>
      <c r="K1089" s="168"/>
      <c r="L1089" s="636"/>
      <c r="M1089" s="172"/>
      <c r="N1089" s="748"/>
      <c r="O1089" s="168"/>
      <c r="P1089" s="176">
        <f t="shared" si="196"/>
        <v>228000</v>
      </c>
      <c r="Q1089" s="176">
        <f t="shared" si="192"/>
        <v>238167</v>
      </c>
      <c r="R1089" s="704">
        <f t="shared" si="197"/>
        <v>104.45921052631579</v>
      </c>
    </row>
    <row r="1090" spans="2:18" ht="12.75">
      <c r="B1090" s="174">
        <f t="shared" si="193"/>
        <v>25</v>
      </c>
      <c r="C1090" s="165"/>
      <c r="D1090" s="165"/>
      <c r="E1090" s="170"/>
      <c r="F1090" s="204">
        <v>633</v>
      </c>
      <c r="G1090" s="324" t="s">
        <v>294</v>
      </c>
      <c r="H1090" s="172">
        <f>10000-2000</f>
        <v>8000</v>
      </c>
      <c r="I1090" s="172">
        <v>7991</v>
      </c>
      <c r="J1090" s="697">
        <f t="shared" si="194"/>
        <v>99.88749999999999</v>
      </c>
      <c r="K1090" s="168"/>
      <c r="L1090" s="636"/>
      <c r="M1090" s="172"/>
      <c r="N1090" s="748"/>
      <c r="O1090" s="168"/>
      <c r="P1090" s="176">
        <f t="shared" si="196"/>
        <v>8000</v>
      </c>
      <c r="Q1090" s="176">
        <f t="shared" si="192"/>
        <v>7991</v>
      </c>
      <c r="R1090" s="704">
        <f t="shared" si="197"/>
        <v>99.88749999999999</v>
      </c>
    </row>
    <row r="1091" spans="2:18" ht="12.75">
      <c r="B1091" s="174">
        <f t="shared" si="193"/>
        <v>26</v>
      </c>
      <c r="C1091" s="165"/>
      <c r="D1091" s="165"/>
      <c r="E1091" s="170"/>
      <c r="F1091" s="204">
        <v>634</v>
      </c>
      <c r="G1091" s="324" t="s">
        <v>310</v>
      </c>
      <c r="H1091" s="172">
        <f>1000-600</f>
        <v>400</v>
      </c>
      <c r="I1091" s="172">
        <v>236</v>
      </c>
      <c r="J1091" s="697">
        <f t="shared" si="194"/>
        <v>59</v>
      </c>
      <c r="K1091" s="168"/>
      <c r="L1091" s="636"/>
      <c r="M1091" s="172"/>
      <c r="N1091" s="748"/>
      <c r="O1091" s="168"/>
      <c r="P1091" s="176">
        <f t="shared" si="196"/>
        <v>400</v>
      </c>
      <c r="Q1091" s="176">
        <f t="shared" si="192"/>
        <v>236</v>
      </c>
      <c r="R1091" s="704">
        <f t="shared" si="197"/>
        <v>59</v>
      </c>
    </row>
    <row r="1092" spans="2:18" ht="12.75">
      <c r="B1092" s="174">
        <f t="shared" si="193"/>
        <v>27</v>
      </c>
      <c r="C1092" s="165"/>
      <c r="D1092" s="165"/>
      <c r="E1092" s="170"/>
      <c r="F1092" s="170">
        <v>635</v>
      </c>
      <c r="G1092" s="324" t="s">
        <v>311</v>
      </c>
      <c r="H1092" s="172">
        <f>5000+33000+11800</f>
        <v>49800</v>
      </c>
      <c r="I1092" s="172">
        <v>49159</v>
      </c>
      <c r="J1092" s="697">
        <f t="shared" si="194"/>
        <v>98.71285140562249</v>
      </c>
      <c r="K1092" s="168"/>
      <c r="L1092" s="636"/>
      <c r="M1092" s="172"/>
      <c r="N1092" s="748"/>
      <c r="O1092" s="168"/>
      <c r="P1092" s="176">
        <f t="shared" si="196"/>
        <v>49800</v>
      </c>
      <c r="Q1092" s="176">
        <f t="shared" si="192"/>
        <v>49159</v>
      </c>
      <c r="R1092" s="704">
        <f t="shared" si="197"/>
        <v>98.71285140562249</v>
      </c>
    </row>
    <row r="1093" spans="2:18" ht="12.75">
      <c r="B1093" s="174">
        <f t="shared" si="193"/>
        <v>28</v>
      </c>
      <c r="C1093" s="165"/>
      <c r="D1093" s="165"/>
      <c r="E1093" s="170"/>
      <c r="F1093" s="170">
        <v>637</v>
      </c>
      <c r="G1093" s="324" t="s">
        <v>658</v>
      </c>
      <c r="H1093" s="172">
        <f>4000+38000+12270+25000+6730-11800-4000</f>
        <v>70200</v>
      </c>
      <c r="I1093" s="172">
        <v>68477</v>
      </c>
      <c r="J1093" s="697">
        <f t="shared" si="194"/>
        <v>97.54558404558405</v>
      </c>
      <c r="K1093" s="168"/>
      <c r="L1093" s="636"/>
      <c r="M1093" s="172"/>
      <c r="N1093" s="748"/>
      <c r="O1093" s="168"/>
      <c r="P1093" s="176">
        <f t="shared" si="196"/>
        <v>70200</v>
      </c>
      <c r="Q1093" s="176">
        <f t="shared" si="192"/>
        <v>68477</v>
      </c>
      <c r="R1093" s="704">
        <f t="shared" si="197"/>
        <v>97.54558404558405</v>
      </c>
    </row>
    <row r="1094" spans="2:18" ht="12.75">
      <c r="B1094" s="174">
        <f t="shared" si="193"/>
        <v>29</v>
      </c>
      <c r="C1094" s="165"/>
      <c r="D1094" s="165"/>
      <c r="E1094" s="213"/>
      <c r="F1094" s="196">
        <v>630</v>
      </c>
      <c r="G1094" s="307" t="s">
        <v>320</v>
      </c>
      <c r="H1094" s="190">
        <f>120-30</f>
        <v>90</v>
      </c>
      <c r="I1094" s="190">
        <v>86</v>
      </c>
      <c r="J1094" s="697">
        <f t="shared" si="194"/>
        <v>95.55555555555556</v>
      </c>
      <c r="K1094" s="168"/>
      <c r="L1094" s="636"/>
      <c r="M1094" s="172"/>
      <c r="N1094" s="748"/>
      <c r="O1094" s="168"/>
      <c r="P1094" s="415">
        <f t="shared" si="196"/>
        <v>90</v>
      </c>
      <c r="Q1094" s="415">
        <f t="shared" si="192"/>
        <v>86</v>
      </c>
      <c r="R1094" s="704">
        <f t="shared" si="197"/>
        <v>95.55555555555556</v>
      </c>
    </row>
    <row r="1095" spans="2:18" ht="12.75">
      <c r="B1095" s="174">
        <f t="shared" si="193"/>
        <v>30</v>
      </c>
      <c r="C1095" s="165"/>
      <c r="D1095" s="165"/>
      <c r="E1095" s="213"/>
      <c r="F1095" s="204"/>
      <c r="G1095" s="324"/>
      <c r="H1095" s="172"/>
      <c r="I1095" s="172"/>
      <c r="J1095" s="697"/>
      <c r="K1095" s="168"/>
      <c r="L1095" s="634"/>
      <c r="M1095" s="238"/>
      <c r="N1095" s="788"/>
      <c r="O1095" s="168"/>
      <c r="P1095" s="175"/>
      <c r="Q1095" s="175">
        <f t="shared" si="192"/>
        <v>0</v>
      </c>
      <c r="R1095" s="699"/>
    </row>
    <row r="1096" spans="2:18" ht="12.75">
      <c r="B1096" s="174">
        <f t="shared" si="193"/>
        <v>31</v>
      </c>
      <c r="C1096" s="165"/>
      <c r="D1096" s="165"/>
      <c r="E1096" s="213"/>
      <c r="F1096" s="204">
        <v>637</v>
      </c>
      <c r="G1096" s="324" t="s">
        <v>377</v>
      </c>
      <c r="H1096" s="172">
        <v>4150</v>
      </c>
      <c r="I1096" s="172">
        <v>4097</v>
      </c>
      <c r="J1096" s="697">
        <f>I1096/H1096*100</f>
        <v>98.72289156626506</v>
      </c>
      <c r="K1096" s="168"/>
      <c r="L1096" s="634"/>
      <c r="M1096" s="238"/>
      <c r="N1096" s="788"/>
      <c r="O1096" s="168"/>
      <c r="P1096" s="175">
        <f>H1096</f>
        <v>4150</v>
      </c>
      <c r="Q1096" s="175">
        <f t="shared" si="192"/>
        <v>4097</v>
      </c>
      <c r="R1096" s="699">
        <f>Q1096/P1096*100</f>
        <v>98.72289156626506</v>
      </c>
    </row>
    <row r="1097" spans="2:18" ht="12.75">
      <c r="B1097" s="174">
        <f t="shared" si="193"/>
        <v>32</v>
      </c>
      <c r="C1097" s="165"/>
      <c r="D1097" s="165"/>
      <c r="E1097" s="213"/>
      <c r="F1097" s="204"/>
      <c r="G1097" s="324"/>
      <c r="H1097" s="172"/>
      <c r="I1097" s="172"/>
      <c r="J1097" s="697"/>
      <c r="K1097" s="168"/>
      <c r="L1097" s="634"/>
      <c r="M1097" s="238"/>
      <c r="N1097" s="788"/>
      <c r="O1097" s="168"/>
      <c r="P1097" s="175"/>
      <c r="Q1097" s="175">
        <f t="shared" si="192"/>
        <v>0</v>
      </c>
      <c r="R1097" s="699"/>
    </row>
    <row r="1098" spans="2:18" ht="12.75">
      <c r="B1098" s="174">
        <f t="shared" si="193"/>
        <v>33</v>
      </c>
      <c r="C1098" s="165"/>
      <c r="D1098" s="165"/>
      <c r="E1098" s="170" t="s">
        <v>313</v>
      </c>
      <c r="F1098" s="346">
        <v>640</v>
      </c>
      <c r="G1098" s="345" t="s">
        <v>728</v>
      </c>
      <c r="H1098" s="360">
        <f>60000</f>
        <v>60000</v>
      </c>
      <c r="I1098" s="360">
        <v>60000</v>
      </c>
      <c r="J1098" s="697">
        <f>I1098/H1098*100</f>
        <v>100</v>
      </c>
      <c r="K1098" s="168"/>
      <c r="L1098" s="634"/>
      <c r="M1098" s="238"/>
      <c r="N1098" s="788"/>
      <c r="O1098" s="168"/>
      <c r="P1098" s="414">
        <f>H1098+L1098</f>
        <v>60000</v>
      </c>
      <c r="Q1098" s="414">
        <f aca="true" t="shared" si="198" ref="Q1098:Q1129">M1098+I1098</f>
        <v>60000</v>
      </c>
      <c r="R1098" s="699">
        <f>Q1098/P1098*100</f>
        <v>100</v>
      </c>
    </row>
    <row r="1099" spans="2:18" ht="12.75">
      <c r="B1099" s="174">
        <f aca="true" t="shared" si="199" ref="B1099:B1130">B1098+1</f>
        <v>34</v>
      </c>
      <c r="C1099" s="165"/>
      <c r="D1099" s="165"/>
      <c r="E1099" s="213"/>
      <c r="F1099" s="204"/>
      <c r="G1099" s="324"/>
      <c r="H1099" s="172"/>
      <c r="I1099" s="172"/>
      <c r="J1099" s="697"/>
      <c r="K1099" s="168"/>
      <c r="L1099" s="634"/>
      <c r="M1099" s="238"/>
      <c r="N1099" s="788"/>
      <c r="O1099" s="168"/>
      <c r="P1099" s="175"/>
      <c r="Q1099" s="175">
        <f t="shared" si="198"/>
        <v>0</v>
      </c>
      <c r="R1099" s="699"/>
    </row>
    <row r="1100" spans="2:18" ht="12.75">
      <c r="B1100" s="174">
        <f t="shared" si="199"/>
        <v>35</v>
      </c>
      <c r="C1100" s="165"/>
      <c r="D1100" s="165"/>
      <c r="E1100" s="170" t="s">
        <v>313</v>
      </c>
      <c r="F1100" s="346">
        <v>640</v>
      </c>
      <c r="G1100" s="345" t="s">
        <v>727</v>
      </c>
      <c r="H1100" s="360">
        <v>70000</v>
      </c>
      <c r="I1100" s="360">
        <v>70000</v>
      </c>
      <c r="J1100" s="697">
        <f>I1100/H1100*100</f>
        <v>100</v>
      </c>
      <c r="K1100" s="168"/>
      <c r="L1100" s="634"/>
      <c r="M1100" s="238"/>
      <c r="N1100" s="788"/>
      <c r="O1100" s="168"/>
      <c r="P1100" s="414">
        <f>H1100+L1100</f>
        <v>70000</v>
      </c>
      <c r="Q1100" s="414">
        <f t="shared" si="198"/>
        <v>70000</v>
      </c>
      <c r="R1100" s="699">
        <f>Q1100/P1100*100</f>
        <v>100</v>
      </c>
    </row>
    <row r="1101" spans="2:18" ht="12.75">
      <c r="B1101" s="174">
        <f t="shared" si="199"/>
        <v>36</v>
      </c>
      <c r="C1101" s="165"/>
      <c r="D1101" s="165"/>
      <c r="E1101" s="213"/>
      <c r="F1101" s="519"/>
      <c r="G1101" s="324"/>
      <c r="H1101" s="172"/>
      <c r="I1101" s="172"/>
      <c r="J1101" s="697"/>
      <c r="K1101" s="168"/>
      <c r="L1101" s="634"/>
      <c r="M1101" s="238"/>
      <c r="N1101" s="788"/>
      <c r="O1101" s="168"/>
      <c r="P1101" s="175"/>
      <c r="Q1101" s="175">
        <f t="shared" si="198"/>
        <v>0</v>
      </c>
      <c r="R1101" s="699"/>
    </row>
    <row r="1102" spans="2:18" ht="12.75">
      <c r="B1102" s="174">
        <f t="shared" si="199"/>
        <v>37</v>
      </c>
      <c r="C1102" s="165"/>
      <c r="D1102" s="165"/>
      <c r="E1102" s="213"/>
      <c r="F1102" s="519">
        <v>717</v>
      </c>
      <c r="G1102" s="525" t="s">
        <v>685</v>
      </c>
      <c r="H1102" s="172"/>
      <c r="I1102" s="172"/>
      <c r="J1102" s="697"/>
      <c r="K1102" s="168"/>
      <c r="L1102" s="634">
        <v>237763</v>
      </c>
      <c r="M1102" s="238">
        <v>237763</v>
      </c>
      <c r="N1102" s="788">
        <f>M1102/L1102*100</f>
        <v>100</v>
      </c>
      <c r="O1102" s="168"/>
      <c r="P1102" s="175">
        <f>L1102</f>
        <v>237763</v>
      </c>
      <c r="Q1102" s="175">
        <f t="shared" si="198"/>
        <v>237763</v>
      </c>
      <c r="R1102" s="699">
        <f>Q1102/P1102*100</f>
        <v>100</v>
      </c>
    </row>
    <row r="1103" spans="2:18" ht="12.75">
      <c r="B1103" s="174">
        <f t="shared" si="199"/>
        <v>38</v>
      </c>
      <c r="C1103" s="165"/>
      <c r="D1103" s="165"/>
      <c r="E1103" s="213"/>
      <c r="F1103" s="519"/>
      <c r="G1103" s="526"/>
      <c r="H1103" s="172"/>
      <c r="I1103" s="172"/>
      <c r="J1103" s="697"/>
      <c r="K1103" s="168"/>
      <c r="L1103" s="634"/>
      <c r="M1103" s="238"/>
      <c r="N1103" s="788"/>
      <c r="O1103" s="168"/>
      <c r="P1103" s="175"/>
      <c r="Q1103" s="175">
        <f t="shared" si="198"/>
        <v>0</v>
      </c>
      <c r="R1103" s="699"/>
    </row>
    <row r="1104" spans="2:18" ht="12.75">
      <c r="B1104" s="174">
        <f t="shared" si="199"/>
        <v>39</v>
      </c>
      <c r="C1104" s="165"/>
      <c r="D1104" s="303" t="s">
        <v>8</v>
      </c>
      <c r="E1104" s="330" t="s">
        <v>313</v>
      </c>
      <c r="F1104" s="331" t="s">
        <v>122</v>
      </c>
      <c r="G1104" s="332"/>
      <c r="H1104" s="435">
        <f>H1105+H1108+H1118+H1106</f>
        <v>499458</v>
      </c>
      <c r="I1104" s="435">
        <f>I1105+I1106+I1108+I1118</f>
        <v>476318</v>
      </c>
      <c r="J1104" s="697">
        <f>I1104/H1104*100</f>
        <v>95.36697780393946</v>
      </c>
      <c r="K1104" s="23"/>
      <c r="L1104" s="794">
        <f>SUM(L1105:L1132)</f>
        <v>1010282</v>
      </c>
      <c r="M1104" s="795">
        <f>M1127+M1128+M1129+M1130+M1131+M1132</f>
        <v>982242</v>
      </c>
      <c r="N1104" s="788">
        <f>M1104/L1104*100</f>
        <v>97.22453730740526</v>
      </c>
      <c r="O1104" s="23"/>
      <c r="P1104" s="318">
        <f>H1104+L1104</f>
        <v>1509740</v>
      </c>
      <c r="Q1104" s="318">
        <f t="shared" si="198"/>
        <v>1458560</v>
      </c>
      <c r="R1104" s="699">
        <f>Q1104/P1104*100</f>
        <v>96.61001232000211</v>
      </c>
    </row>
    <row r="1105" spans="2:18" ht="12.75">
      <c r="B1105" s="174">
        <f t="shared" si="199"/>
        <v>40</v>
      </c>
      <c r="C1105" s="165"/>
      <c r="D1105" s="165"/>
      <c r="E1105" s="170" t="s">
        <v>313</v>
      </c>
      <c r="F1105" s="170">
        <v>637</v>
      </c>
      <c r="G1105" s="324" t="s">
        <v>521</v>
      </c>
      <c r="H1105" s="172">
        <f>2865+570</f>
        <v>3435</v>
      </c>
      <c r="I1105" s="172">
        <v>3427</v>
      </c>
      <c r="J1105" s="697">
        <f>I1105/H1105*100</f>
        <v>99.76710334788937</v>
      </c>
      <c r="K1105" s="168"/>
      <c r="L1105" s="636"/>
      <c r="M1105" s="172"/>
      <c r="N1105" s="748"/>
      <c r="O1105" s="168"/>
      <c r="P1105" s="176">
        <f>H1105+L1105</f>
        <v>3435</v>
      </c>
      <c r="Q1105" s="176">
        <f t="shared" si="198"/>
        <v>3427</v>
      </c>
      <c r="R1105" s="704">
        <f>Q1105/P1105*100</f>
        <v>99.76710334788937</v>
      </c>
    </row>
    <row r="1106" spans="2:18" ht="12.75">
      <c r="B1106" s="174">
        <f t="shared" si="199"/>
        <v>41</v>
      </c>
      <c r="C1106" s="165"/>
      <c r="D1106" s="165"/>
      <c r="E1106" s="170"/>
      <c r="F1106" s="170">
        <v>633</v>
      </c>
      <c r="G1106" s="324" t="s">
        <v>674</v>
      </c>
      <c r="H1106" s="172">
        <v>1000</v>
      </c>
      <c r="I1106" s="172">
        <v>995</v>
      </c>
      <c r="J1106" s="697">
        <f>I1106/H1106*100</f>
        <v>99.5</v>
      </c>
      <c r="K1106" s="168"/>
      <c r="L1106" s="636"/>
      <c r="M1106" s="172"/>
      <c r="N1106" s="748"/>
      <c r="O1106" s="168"/>
      <c r="P1106" s="176">
        <f>H1106+L1106</f>
        <v>1000</v>
      </c>
      <c r="Q1106" s="176">
        <f t="shared" si="198"/>
        <v>995</v>
      </c>
      <c r="R1106" s="704">
        <f>Q1106/P1106*100</f>
        <v>99.5</v>
      </c>
    </row>
    <row r="1107" spans="2:18" ht="12.75">
      <c r="B1107" s="174">
        <f t="shared" si="199"/>
        <v>42</v>
      </c>
      <c r="C1107" s="165"/>
      <c r="D1107" s="165"/>
      <c r="E1107" s="170"/>
      <c r="F1107" s="196"/>
      <c r="G1107" s="307"/>
      <c r="H1107" s="190"/>
      <c r="I1107" s="190"/>
      <c r="J1107" s="697"/>
      <c r="K1107" s="168"/>
      <c r="L1107" s="636"/>
      <c r="M1107" s="172"/>
      <c r="N1107" s="748"/>
      <c r="O1107" s="168"/>
      <c r="P1107" s="176"/>
      <c r="Q1107" s="176">
        <f t="shared" si="198"/>
        <v>0</v>
      </c>
      <c r="R1107" s="704"/>
    </row>
    <row r="1108" spans="2:18" ht="12.75">
      <c r="B1108" s="174">
        <f t="shared" si="199"/>
        <v>43</v>
      </c>
      <c r="C1108" s="165"/>
      <c r="D1108" s="165"/>
      <c r="E1108" s="170" t="s">
        <v>313</v>
      </c>
      <c r="F1108" s="478" t="s">
        <v>605</v>
      </c>
      <c r="G1108" s="478"/>
      <c r="H1108" s="492">
        <f>H1109+H1110+H1111+H1117</f>
        <v>411073</v>
      </c>
      <c r="I1108" s="492">
        <f>I1109+I1110+I1111+I1117</f>
        <v>389484</v>
      </c>
      <c r="J1108" s="697">
        <f aca="true" t="shared" si="200" ref="J1108:J1125">I1108/H1108*100</f>
        <v>94.7481347595196</v>
      </c>
      <c r="K1108" s="493"/>
      <c r="L1108" s="796"/>
      <c r="M1108" s="797"/>
      <c r="N1108" s="748"/>
      <c r="O1108" s="493"/>
      <c r="P1108" s="491">
        <f aca="true" t="shared" si="201" ref="P1108:P1116">H1108+L1108</f>
        <v>411073</v>
      </c>
      <c r="Q1108" s="491">
        <f t="shared" si="198"/>
        <v>389484</v>
      </c>
      <c r="R1108" s="704">
        <f aca="true" t="shared" si="202" ref="R1108:R1125">Q1108/P1108*100</f>
        <v>94.7481347595196</v>
      </c>
    </row>
    <row r="1109" spans="2:18" ht="12.75">
      <c r="B1109" s="174">
        <f t="shared" si="199"/>
        <v>44</v>
      </c>
      <c r="C1109" s="165"/>
      <c r="D1109" s="165"/>
      <c r="E1109" s="202"/>
      <c r="F1109" s="196">
        <v>610</v>
      </c>
      <c r="G1109" s="307" t="s">
        <v>522</v>
      </c>
      <c r="H1109" s="190">
        <f>106500+1100</f>
        <v>107600</v>
      </c>
      <c r="I1109" s="190">
        <v>106488</v>
      </c>
      <c r="J1109" s="697">
        <f t="shared" si="200"/>
        <v>98.96654275092936</v>
      </c>
      <c r="K1109" s="191"/>
      <c r="L1109" s="728"/>
      <c r="M1109" s="190"/>
      <c r="N1109" s="748"/>
      <c r="O1109" s="191"/>
      <c r="P1109" s="197">
        <f t="shared" si="201"/>
        <v>107600</v>
      </c>
      <c r="Q1109" s="197">
        <f t="shared" si="198"/>
        <v>106488</v>
      </c>
      <c r="R1109" s="704">
        <f t="shared" si="202"/>
        <v>98.96654275092936</v>
      </c>
    </row>
    <row r="1110" spans="2:18" ht="12.75">
      <c r="B1110" s="174">
        <f t="shared" si="199"/>
        <v>45</v>
      </c>
      <c r="C1110" s="165"/>
      <c r="D1110" s="165"/>
      <c r="E1110" s="202"/>
      <c r="F1110" s="196">
        <v>620</v>
      </c>
      <c r="G1110" s="307" t="s">
        <v>604</v>
      </c>
      <c r="H1110" s="190">
        <f>38020+390</f>
        <v>38410</v>
      </c>
      <c r="I1110" s="190">
        <v>38278</v>
      </c>
      <c r="J1110" s="697">
        <f t="shared" si="200"/>
        <v>99.6563394949232</v>
      </c>
      <c r="K1110" s="191"/>
      <c r="L1110" s="728"/>
      <c r="M1110" s="190"/>
      <c r="N1110" s="748"/>
      <c r="O1110" s="191"/>
      <c r="P1110" s="197">
        <f t="shared" si="201"/>
        <v>38410</v>
      </c>
      <c r="Q1110" s="197">
        <f t="shared" si="198"/>
        <v>38278</v>
      </c>
      <c r="R1110" s="704">
        <f t="shared" si="202"/>
        <v>99.6563394949232</v>
      </c>
    </row>
    <row r="1111" spans="2:18" ht="12.75">
      <c r="B1111" s="174">
        <f t="shared" si="199"/>
        <v>46</v>
      </c>
      <c r="C1111" s="165"/>
      <c r="D1111" s="165"/>
      <c r="E1111" s="170"/>
      <c r="F1111" s="196">
        <v>630</v>
      </c>
      <c r="G1111" s="307" t="s">
        <v>276</v>
      </c>
      <c r="H1111" s="190">
        <f>SUM(H1112:H1116)</f>
        <v>264933</v>
      </c>
      <c r="I1111" s="190">
        <f>SUM(I1112:I1116)</f>
        <v>244529</v>
      </c>
      <c r="J1111" s="697">
        <f t="shared" si="200"/>
        <v>92.2984301691371</v>
      </c>
      <c r="K1111" s="168"/>
      <c r="L1111" s="636"/>
      <c r="M1111" s="172"/>
      <c r="N1111" s="748"/>
      <c r="O1111" s="168"/>
      <c r="P1111" s="197">
        <f t="shared" si="201"/>
        <v>264933</v>
      </c>
      <c r="Q1111" s="197">
        <f t="shared" si="198"/>
        <v>244529</v>
      </c>
      <c r="R1111" s="704">
        <f t="shared" si="202"/>
        <v>92.2984301691371</v>
      </c>
    </row>
    <row r="1112" spans="2:18" ht="12.75">
      <c r="B1112" s="174">
        <f t="shared" si="199"/>
        <v>47</v>
      </c>
      <c r="C1112" s="165"/>
      <c r="D1112" s="165"/>
      <c r="E1112" s="170"/>
      <c r="F1112" s="170">
        <v>632</v>
      </c>
      <c r="G1112" s="324" t="s">
        <v>293</v>
      </c>
      <c r="H1112" s="172">
        <f>200035-952-3080-11170</f>
        <v>184833</v>
      </c>
      <c r="I1112" s="172">
        <v>173507</v>
      </c>
      <c r="J1112" s="697">
        <f t="shared" si="200"/>
        <v>93.87230635222066</v>
      </c>
      <c r="K1112" s="168"/>
      <c r="L1112" s="636"/>
      <c r="M1112" s="172"/>
      <c r="N1112" s="748"/>
      <c r="O1112" s="168"/>
      <c r="P1112" s="176">
        <f t="shared" si="201"/>
        <v>184833</v>
      </c>
      <c r="Q1112" s="176">
        <f t="shared" si="198"/>
        <v>173507</v>
      </c>
      <c r="R1112" s="704">
        <f t="shared" si="202"/>
        <v>93.87230635222066</v>
      </c>
    </row>
    <row r="1113" spans="2:18" ht="12.75">
      <c r="B1113" s="174">
        <f t="shared" si="199"/>
        <v>48</v>
      </c>
      <c r="C1113" s="165"/>
      <c r="D1113" s="165"/>
      <c r="E1113" s="170"/>
      <c r="F1113" s="170">
        <v>633</v>
      </c>
      <c r="G1113" s="324" t="s">
        <v>294</v>
      </c>
      <c r="H1113" s="172">
        <v>14630</v>
      </c>
      <c r="I1113" s="172">
        <v>14554</v>
      </c>
      <c r="J1113" s="697">
        <f t="shared" si="200"/>
        <v>99.48051948051948</v>
      </c>
      <c r="K1113" s="168"/>
      <c r="L1113" s="636"/>
      <c r="M1113" s="172"/>
      <c r="N1113" s="748"/>
      <c r="O1113" s="168"/>
      <c r="P1113" s="176">
        <f t="shared" si="201"/>
        <v>14630</v>
      </c>
      <c r="Q1113" s="176">
        <f t="shared" si="198"/>
        <v>14554</v>
      </c>
      <c r="R1113" s="704">
        <f t="shared" si="202"/>
        <v>99.48051948051948</v>
      </c>
    </row>
    <row r="1114" spans="2:18" ht="12.75">
      <c r="B1114" s="174">
        <f t="shared" si="199"/>
        <v>49</v>
      </c>
      <c r="C1114" s="165"/>
      <c r="D1114" s="165"/>
      <c r="E1114" s="170"/>
      <c r="F1114" s="170">
        <v>635</v>
      </c>
      <c r="G1114" s="324" t="s">
        <v>311</v>
      </c>
      <c r="H1114" s="172">
        <v>14200</v>
      </c>
      <c r="I1114" s="172">
        <v>12141</v>
      </c>
      <c r="J1114" s="697">
        <f t="shared" si="200"/>
        <v>85.5</v>
      </c>
      <c r="K1114" s="168"/>
      <c r="L1114" s="636"/>
      <c r="M1114" s="172"/>
      <c r="N1114" s="748"/>
      <c r="O1114" s="168"/>
      <c r="P1114" s="176">
        <f t="shared" si="201"/>
        <v>14200</v>
      </c>
      <c r="Q1114" s="176">
        <f t="shared" si="198"/>
        <v>12141</v>
      </c>
      <c r="R1114" s="704">
        <f t="shared" si="202"/>
        <v>85.5</v>
      </c>
    </row>
    <row r="1115" spans="2:18" ht="12.75">
      <c r="B1115" s="174">
        <f t="shared" si="199"/>
        <v>50</v>
      </c>
      <c r="C1115" s="165"/>
      <c r="D1115" s="165"/>
      <c r="E1115" s="170"/>
      <c r="F1115" s="170">
        <v>636</v>
      </c>
      <c r="G1115" s="324" t="s">
        <v>312</v>
      </c>
      <c r="H1115" s="172">
        <v>2000</v>
      </c>
      <c r="I1115" s="172">
        <v>0</v>
      </c>
      <c r="J1115" s="697">
        <f t="shared" si="200"/>
        <v>0</v>
      </c>
      <c r="K1115" s="168"/>
      <c r="L1115" s="636"/>
      <c r="M1115" s="172"/>
      <c r="N1115" s="748"/>
      <c r="O1115" s="168"/>
      <c r="P1115" s="176">
        <f t="shared" si="201"/>
        <v>2000</v>
      </c>
      <c r="Q1115" s="176">
        <f t="shared" si="198"/>
        <v>0</v>
      </c>
      <c r="R1115" s="704">
        <f t="shared" si="202"/>
        <v>0</v>
      </c>
    </row>
    <row r="1116" spans="2:18" ht="12.75">
      <c r="B1116" s="174">
        <f t="shared" si="199"/>
        <v>51</v>
      </c>
      <c r="C1116" s="165"/>
      <c r="D1116" s="165"/>
      <c r="E1116" s="170"/>
      <c r="F1116" s="170">
        <v>637</v>
      </c>
      <c r="G1116" s="324" t="s">
        <v>295</v>
      </c>
      <c r="H1116" s="172">
        <v>49270</v>
      </c>
      <c r="I1116" s="172">
        <v>44327</v>
      </c>
      <c r="J1116" s="697">
        <f t="shared" si="200"/>
        <v>89.96752587781612</v>
      </c>
      <c r="K1116" s="168"/>
      <c r="L1116" s="636"/>
      <c r="M1116" s="172"/>
      <c r="N1116" s="748"/>
      <c r="O1116" s="168"/>
      <c r="P1116" s="176">
        <f t="shared" si="201"/>
        <v>49270</v>
      </c>
      <c r="Q1116" s="176">
        <f t="shared" si="198"/>
        <v>44327</v>
      </c>
      <c r="R1116" s="704">
        <f t="shared" si="202"/>
        <v>89.96752587781612</v>
      </c>
    </row>
    <row r="1117" spans="2:18" ht="12.75">
      <c r="B1117" s="174">
        <f t="shared" si="199"/>
        <v>52</v>
      </c>
      <c r="C1117" s="165"/>
      <c r="D1117" s="165"/>
      <c r="E1117" s="170"/>
      <c r="F1117" s="202">
        <v>640</v>
      </c>
      <c r="G1117" s="307" t="s">
        <v>320</v>
      </c>
      <c r="H1117" s="190">
        <f>200-70</f>
        <v>130</v>
      </c>
      <c r="I1117" s="190">
        <v>189</v>
      </c>
      <c r="J1117" s="697">
        <f t="shared" si="200"/>
        <v>145.3846153846154</v>
      </c>
      <c r="K1117" s="168"/>
      <c r="L1117" s="636"/>
      <c r="M1117" s="172"/>
      <c r="N1117" s="748"/>
      <c r="O1117" s="168"/>
      <c r="P1117" s="197">
        <f>H1117</f>
        <v>130</v>
      </c>
      <c r="Q1117" s="197">
        <f t="shared" si="198"/>
        <v>189</v>
      </c>
      <c r="R1117" s="704">
        <f t="shared" si="202"/>
        <v>145.3846153846154</v>
      </c>
    </row>
    <row r="1118" spans="2:18" ht="12.75">
      <c r="B1118" s="174">
        <f t="shared" si="199"/>
        <v>53</v>
      </c>
      <c r="C1118" s="165"/>
      <c r="D1118" s="165"/>
      <c r="E1118" s="170" t="s">
        <v>313</v>
      </c>
      <c r="F1118" s="478" t="s">
        <v>605</v>
      </c>
      <c r="G1118" s="478"/>
      <c r="H1118" s="492">
        <f>H1120+H1119</f>
        <v>83950</v>
      </c>
      <c r="I1118" s="492">
        <f>I1119+I1120</f>
        <v>82412</v>
      </c>
      <c r="J1118" s="697">
        <f t="shared" si="200"/>
        <v>98.16795711733175</v>
      </c>
      <c r="K1118" s="480"/>
      <c r="L1118" s="727"/>
      <c r="M1118" s="487"/>
      <c r="N1118" s="748"/>
      <c r="O1118" s="480"/>
      <c r="P1118" s="491">
        <f aca="true" t="shared" si="203" ref="P1118:P1125">H1118+L1118</f>
        <v>83950</v>
      </c>
      <c r="Q1118" s="491">
        <f t="shared" si="198"/>
        <v>82412</v>
      </c>
      <c r="R1118" s="704">
        <f t="shared" si="202"/>
        <v>98.16795711733175</v>
      </c>
    </row>
    <row r="1119" spans="2:18" ht="12.75">
      <c r="B1119" s="174">
        <f t="shared" si="199"/>
        <v>54</v>
      </c>
      <c r="C1119" s="165"/>
      <c r="D1119" s="165"/>
      <c r="E1119" s="170"/>
      <c r="F1119" s="196">
        <v>620</v>
      </c>
      <c r="G1119" s="307" t="s">
        <v>604</v>
      </c>
      <c r="H1119" s="190">
        <v>150</v>
      </c>
      <c r="I1119" s="190">
        <v>136</v>
      </c>
      <c r="J1119" s="697">
        <f t="shared" si="200"/>
        <v>90.66666666666666</v>
      </c>
      <c r="K1119" s="168"/>
      <c r="L1119" s="636"/>
      <c r="M1119" s="172"/>
      <c r="N1119" s="748"/>
      <c r="O1119" s="168"/>
      <c r="P1119" s="197">
        <f t="shared" si="203"/>
        <v>150</v>
      </c>
      <c r="Q1119" s="197">
        <f t="shared" si="198"/>
        <v>136</v>
      </c>
      <c r="R1119" s="704">
        <f t="shared" si="202"/>
        <v>90.66666666666666</v>
      </c>
    </row>
    <row r="1120" spans="2:18" ht="12.75">
      <c r="B1120" s="174">
        <f t="shared" si="199"/>
        <v>55</v>
      </c>
      <c r="C1120" s="165"/>
      <c r="D1120" s="165"/>
      <c r="E1120" s="170"/>
      <c r="F1120" s="196">
        <v>630</v>
      </c>
      <c r="G1120" s="307" t="s">
        <v>276</v>
      </c>
      <c r="H1120" s="190">
        <f>SUM(H1121:H1125)</f>
        <v>83800</v>
      </c>
      <c r="I1120" s="190">
        <f>SUM(I1121:I1125)</f>
        <v>82276</v>
      </c>
      <c r="J1120" s="697">
        <f t="shared" si="200"/>
        <v>98.18138424821002</v>
      </c>
      <c r="K1120" s="168"/>
      <c r="L1120" s="636"/>
      <c r="M1120" s="172"/>
      <c r="N1120" s="748"/>
      <c r="O1120" s="168"/>
      <c r="P1120" s="197">
        <f t="shared" si="203"/>
        <v>83800</v>
      </c>
      <c r="Q1120" s="197">
        <f t="shared" si="198"/>
        <v>82276</v>
      </c>
      <c r="R1120" s="704">
        <f t="shared" si="202"/>
        <v>98.18138424821002</v>
      </c>
    </row>
    <row r="1121" spans="2:18" ht="12.75">
      <c r="B1121" s="174">
        <f t="shared" si="199"/>
        <v>56</v>
      </c>
      <c r="C1121" s="165"/>
      <c r="D1121" s="165"/>
      <c r="E1121" s="170"/>
      <c r="F1121" s="170">
        <v>632</v>
      </c>
      <c r="G1121" s="324" t="s">
        <v>293</v>
      </c>
      <c r="H1121" s="172">
        <v>45845</v>
      </c>
      <c r="I1121" s="172">
        <v>45445</v>
      </c>
      <c r="J1121" s="697">
        <f t="shared" si="200"/>
        <v>99.1274948195005</v>
      </c>
      <c r="K1121" s="168"/>
      <c r="L1121" s="636"/>
      <c r="M1121" s="172"/>
      <c r="N1121" s="748"/>
      <c r="O1121" s="168"/>
      <c r="P1121" s="176">
        <f t="shared" si="203"/>
        <v>45845</v>
      </c>
      <c r="Q1121" s="176">
        <f t="shared" si="198"/>
        <v>45445</v>
      </c>
      <c r="R1121" s="704">
        <f t="shared" si="202"/>
        <v>99.1274948195005</v>
      </c>
    </row>
    <row r="1122" spans="2:18" ht="12.75">
      <c r="B1122" s="174">
        <f t="shared" si="199"/>
        <v>57</v>
      </c>
      <c r="C1122" s="165"/>
      <c r="D1122" s="165"/>
      <c r="E1122" s="170"/>
      <c r="F1122" s="170">
        <v>633</v>
      </c>
      <c r="G1122" s="324" t="s">
        <v>294</v>
      </c>
      <c r="H1122" s="172">
        <v>8965</v>
      </c>
      <c r="I1122" s="172">
        <v>8859</v>
      </c>
      <c r="J1122" s="697">
        <f t="shared" si="200"/>
        <v>98.8176240936977</v>
      </c>
      <c r="K1122" s="168"/>
      <c r="L1122" s="636"/>
      <c r="M1122" s="172"/>
      <c r="N1122" s="748"/>
      <c r="O1122" s="168"/>
      <c r="P1122" s="176">
        <f t="shared" si="203"/>
        <v>8965</v>
      </c>
      <c r="Q1122" s="176">
        <f t="shared" si="198"/>
        <v>8859</v>
      </c>
      <c r="R1122" s="704">
        <f t="shared" si="202"/>
        <v>98.8176240936977</v>
      </c>
    </row>
    <row r="1123" spans="2:18" ht="12.75">
      <c r="B1123" s="174">
        <f t="shared" si="199"/>
        <v>58</v>
      </c>
      <c r="C1123" s="165"/>
      <c r="D1123" s="165"/>
      <c r="E1123" s="170"/>
      <c r="F1123" s="170">
        <v>635</v>
      </c>
      <c r="G1123" s="324" t="s">
        <v>311</v>
      </c>
      <c r="H1123" s="172">
        <v>5100</v>
      </c>
      <c r="I1123" s="172">
        <v>4588</v>
      </c>
      <c r="J1123" s="697">
        <f t="shared" si="200"/>
        <v>89.9607843137255</v>
      </c>
      <c r="K1123" s="168"/>
      <c r="L1123" s="636"/>
      <c r="M1123" s="172"/>
      <c r="N1123" s="748"/>
      <c r="O1123" s="168"/>
      <c r="P1123" s="176">
        <f t="shared" si="203"/>
        <v>5100</v>
      </c>
      <c r="Q1123" s="176">
        <f t="shared" si="198"/>
        <v>4588</v>
      </c>
      <c r="R1123" s="704">
        <f t="shared" si="202"/>
        <v>89.9607843137255</v>
      </c>
    </row>
    <row r="1124" spans="2:18" ht="12.75">
      <c r="B1124" s="174">
        <f t="shared" si="199"/>
        <v>59</v>
      </c>
      <c r="C1124" s="165"/>
      <c r="D1124" s="165"/>
      <c r="E1124" s="170"/>
      <c r="F1124" s="170">
        <v>636</v>
      </c>
      <c r="G1124" s="324" t="s">
        <v>312</v>
      </c>
      <c r="H1124" s="172">
        <v>340</v>
      </c>
      <c r="I1124" s="172">
        <v>0</v>
      </c>
      <c r="J1124" s="697">
        <f t="shared" si="200"/>
        <v>0</v>
      </c>
      <c r="K1124" s="168"/>
      <c r="L1124" s="636"/>
      <c r="M1124" s="172"/>
      <c r="N1124" s="748"/>
      <c r="O1124" s="168"/>
      <c r="P1124" s="176">
        <f t="shared" si="203"/>
        <v>340</v>
      </c>
      <c r="Q1124" s="176">
        <f t="shared" si="198"/>
        <v>0</v>
      </c>
      <c r="R1124" s="704">
        <f t="shared" si="202"/>
        <v>0</v>
      </c>
    </row>
    <row r="1125" spans="2:18" ht="12.75">
      <c r="B1125" s="174">
        <f t="shared" si="199"/>
        <v>60</v>
      </c>
      <c r="C1125" s="165"/>
      <c r="D1125" s="165"/>
      <c r="E1125" s="170"/>
      <c r="F1125" s="170">
        <v>637</v>
      </c>
      <c r="G1125" s="324" t="s">
        <v>295</v>
      </c>
      <c r="H1125" s="172">
        <v>23550</v>
      </c>
      <c r="I1125" s="172">
        <v>23384</v>
      </c>
      <c r="J1125" s="697">
        <f t="shared" si="200"/>
        <v>99.29511677282377</v>
      </c>
      <c r="K1125" s="168"/>
      <c r="L1125" s="636"/>
      <c r="M1125" s="172"/>
      <c r="N1125" s="748"/>
      <c r="O1125" s="168"/>
      <c r="P1125" s="176">
        <f t="shared" si="203"/>
        <v>23550</v>
      </c>
      <c r="Q1125" s="176">
        <f t="shared" si="198"/>
        <v>23384</v>
      </c>
      <c r="R1125" s="704">
        <f t="shared" si="202"/>
        <v>99.29511677282377</v>
      </c>
    </row>
    <row r="1126" spans="2:18" ht="12.75">
      <c r="B1126" s="174">
        <f t="shared" si="199"/>
        <v>61</v>
      </c>
      <c r="C1126" s="165"/>
      <c r="D1126" s="165"/>
      <c r="E1126" s="213"/>
      <c r="F1126" s="170"/>
      <c r="G1126" s="324"/>
      <c r="H1126" s="172"/>
      <c r="I1126" s="172"/>
      <c r="J1126" s="697"/>
      <c r="K1126" s="168"/>
      <c r="L1126" s="634"/>
      <c r="M1126" s="238"/>
      <c r="N1126" s="788"/>
      <c r="O1126" s="168"/>
      <c r="P1126" s="176"/>
      <c r="Q1126" s="176">
        <f t="shared" si="198"/>
        <v>0</v>
      </c>
      <c r="R1126" s="704"/>
    </row>
    <row r="1127" spans="2:18" ht="12.75">
      <c r="B1127" s="174">
        <f t="shared" si="199"/>
        <v>62</v>
      </c>
      <c r="C1127" s="165"/>
      <c r="D1127" s="165"/>
      <c r="E1127" s="213"/>
      <c r="F1127" s="170">
        <v>717</v>
      </c>
      <c r="G1127" s="324" t="s">
        <v>538</v>
      </c>
      <c r="H1127" s="172"/>
      <c r="I1127" s="172"/>
      <c r="J1127" s="697"/>
      <c r="K1127" s="168"/>
      <c r="L1127" s="634">
        <f>80000-1000-2007-1000</f>
        <v>75993</v>
      </c>
      <c r="M1127" s="238">
        <v>62637</v>
      </c>
      <c r="N1127" s="788">
        <f aca="true" t="shared" si="204" ref="N1127:N1132">M1127/L1127*100</f>
        <v>82.42469701156685</v>
      </c>
      <c r="O1127" s="168"/>
      <c r="P1127" s="176">
        <f aca="true" t="shared" si="205" ref="P1127:P1132">H1127+L1127</f>
        <v>75993</v>
      </c>
      <c r="Q1127" s="176">
        <f t="shared" si="198"/>
        <v>62637</v>
      </c>
      <c r="R1127" s="704">
        <f aca="true" t="shared" si="206" ref="R1127:R1132">Q1127/P1127*100</f>
        <v>82.42469701156685</v>
      </c>
    </row>
    <row r="1128" spans="2:18" ht="12.75">
      <c r="B1128" s="174">
        <f t="shared" si="199"/>
        <v>63</v>
      </c>
      <c r="C1128" s="165"/>
      <c r="D1128" s="165"/>
      <c r="E1128" s="170"/>
      <c r="F1128" s="204">
        <v>717</v>
      </c>
      <c r="G1128" s="324" t="s">
        <v>542</v>
      </c>
      <c r="H1128" s="172"/>
      <c r="I1128" s="172"/>
      <c r="J1128" s="697"/>
      <c r="K1128" s="168"/>
      <c r="L1128" s="636">
        <f>126000+15390+15390+15390</f>
        <v>172170</v>
      </c>
      <c r="M1128" s="172">
        <v>157487</v>
      </c>
      <c r="N1128" s="748">
        <f t="shared" si="204"/>
        <v>91.47180112679328</v>
      </c>
      <c r="O1128" s="168"/>
      <c r="P1128" s="176">
        <f t="shared" si="205"/>
        <v>172170</v>
      </c>
      <c r="Q1128" s="176">
        <f t="shared" si="198"/>
        <v>157487</v>
      </c>
      <c r="R1128" s="704">
        <f t="shared" si="206"/>
        <v>91.47180112679328</v>
      </c>
    </row>
    <row r="1129" spans="2:18" ht="12.75">
      <c r="B1129" s="174">
        <f t="shared" si="199"/>
        <v>64</v>
      </c>
      <c r="C1129" s="165"/>
      <c r="D1129" s="165"/>
      <c r="E1129" s="170"/>
      <c r="F1129" s="204">
        <v>717</v>
      </c>
      <c r="G1129" s="324" t="s">
        <v>541</v>
      </c>
      <c r="H1129" s="172"/>
      <c r="I1129" s="172"/>
      <c r="J1129" s="697"/>
      <c r="K1129" s="168"/>
      <c r="L1129" s="636">
        <f>49118*15</f>
        <v>736770</v>
      </c>
      <c r="M1129" s="172">
        <v>736770</v>
      </c>
      <c r="N1129" s="748">
        <f t="shared" si="204"/>
        <v>100</v>
      </c>
      <c r="O1129" s="168"/>
      <c r="P1129" s="176">
        <f t="shared" si="205"/>
        <v>736770</v>
      </c>
      <c r="Q1129" s="176">
        <f t="shared" si="198"/>
        <v>736770</v>
      </c>
      <c r="R1129" s="704">
        <f t="shared" si="206"/>
        <v>100</v>
      </c>
    </row>
    <row r="1130" spans="2:18" ht="12.75">
      <c r="B1130" s="174">
        <f t="shared" si="199"/>
        <v>65</v>
      </c>
      <c r="C1130" s="165"/>
      <c r="D1130" s="165"/>
      <c r="E1130" s="213"/>
      <c r="F1130" s="204">
        <v>716</v>
      </c>
      <c r="G1130" s="324" t="s">
        <v>729</v>
      </c>
      <c r="H1130" s="172"/>
      <c r="I1130" s="172"/>
      <c r="J1130" s="697"/>
      <c r="K1130" s="168"/>
      <c r="L1130" s="636">
        <f>7725</f>
        <v>7725</v>
      </c>
      <c r="M1130" s="172">
        <v>7725</v>
      </c>
      <c r="N1130" s="748">
        <f t="shared" si="204"/>
        <v>100</v>
      </c>
      <c r="O1130" s="168"/>
      <c r="P1130" s="176">
        <f t="shared" si="205"/>
        <v>7725</v>
      </c>
      <c r="Q1130" s="176">
        <f aca="true" t="shared" si="207" ref="Q1130:Q1145">M1130+I1130</f>
        <v>7725</v>
      </c>
      <c r="R1130" s="704">
        <f t="shared" si="206"/>
        <v>100</v>
      </c>
    </row>
    <row r="1131" spans="2:18" ht="12.75">
      <c r="B1131" s="174">
        <f aca="true" t="shared" si="208" ref="B1131:B1145">B1130+1</f>
        <v>66</v>
      </c>
      <c r="C1131" s="165"/>
      <c r="D1131" s="165"/>
      <c r="E1131" s="213"/>
      <c r="F1131" s="204">
        <v>717</v>
      </c>
      <c r="G1131" s="324" t="s">
        <v>729</v>
      </c>
      <c r="H1131" s="172"/>
      <c r="I1131" s="172"/>
      <c r="J1131" s="697"/>
      <c r="K1131" s="168"/>
      <c r="L1131" s="636">
        <v>14544</v>
      </c>
      <c r="M1131" s="172">
        <v>14544</v>
      </c>
      <c r="N1131" s="748">
        <f t="shared" si="204"/>
        <v>100</v>
      </c>
      <c r="O1131" s="168"/>
      <c r="P1131" s="176">
        <f t="shared" si="205"/>
        <v>14544</v>
      </c>
      <c r="Q1131" s="176">
        <f t="shared" si="207"/>
        <v>14544</v>
      </c>
      <c r="R1131" s="704">
        <f t="shared" si="206"/>
        <v>100</v>
      </c>
    </row>
    <row r="1132" spans="2:18" ht="12.75">
      <c r="B1132" s="174">
        <f t="shared" si="208"/>
        <v>67</v>
      </c>
      <c r="C1132" s="165"/>
      <c r="D1132" s="165"/>
      <c r="E1132" s="213"/>
      <c r="F1132" s="204">
        <v>713</v>
      </c>
      <c r="G1132" s="324" t="s">
        <v>725</v>
      </c>
      <c r="H1132" s="172"/>
      <c r="I1132" s="172"/>
      <c r="J1132" s="697"/>
      <c r="K1132" s="168"/>
      <c r="L1132" s="636">
        <v>3080</v>
      </c>
      <c r="M1132" s="172">
        <v>3079</v>
      </c>
      <c r="N1132" s="748">
        <f t="shared" si="204"/>
        <v>99.96753246753246</v>
      </c>
      <c r="O1132" s="168"/>
      <c r="P1132" s="176">
        <f t="shared" si="205"/>
        <v>3080</v>
      </c>
      <c r="Q1132" s="176">
        <f t="shared" si="207"/>
        <v>3079</v>
      </c>
      <c r="R1132" s="704">
        <f t="shared" si="206"/>
        <v>99.96753246753246</v>
      </c>
    </row>
    <row r="1133" spans="2:18" ht="12.75">
      <c r="B1133" s="174">
        <f t="shared" si="208"/>
        <v>68</v>
      </c>
      <c r="C1133" s="165"/>
      <c r="D1133" s="165"/>
      <c r="E1133" s="213"/>
      <c r="F1133" s="204"/>
      <c r="G1133" s="324"/>
      <c r="H1133" s="172"/>
      <c r="I1133" s="172"/>
      <c r="J1133" s="697"/>
      <c r="K1133" s="168"/>
      <c r="L1133" s="636"/>
      <c r="M1133" s="172"/>
      <c r="N1133" s="748"/>
      <c r="O1133" s="168"/>
      <c r="P1133" s="175"/>
      <c r="Q1133" s="175">
        <f t="shared" si="207"/>
        <v>0</v>
      </c>
      <c r="R1133" s="699"/>
    </row>
    <row r="1134" spans="2:18" ht="12.75">
      <c r="B1134" s="174">
        <f t="shared" si="208"/>
        <v>69</v>
      </c>
      <c r="C1134" s="165"/>
      <c r="D1134" s="303" t="s">
        <v>9</v>
      </c>
      <c r="E1134" s="330" t="s">
        <v>313</v>
      </c>
      <c r="F1134" s="331" t="s">
        <v>378</v>
      </c>
      <c r="G1134" s="332"/>
      <c r="H1134" s="435">
        <v>200</v>
      </c>
      <c r="I1134" s="435">
        <v>191</v>
      </c>
      <c r="J1134" s="697">
        <f>I1134/H1134*100</f>
        <v>95.5</v>
      </c>
      <c r="K1134" s="23"/>
      <c r="L1134" s="798">
        <v>0</v>
      </c>
      <c r="M1134" s="799"/>
      <c r="N1134" s="748"/>
      <c r="O1134" s="23"/>
      <c r="P1134" s="318">
        <f>H1134+L1134</f>
        <v>200</v>
      </c>
      <c r="Q1134" s="318">
        <f t="shared" si="207"/>
        <v>191</v>
      </c>
      <c r="R1134" s="699">
        <f>Q1134/P1134*100</f>
        <v>95.5</v>
      </c>
    </row>
    <row r="1135" spans="2:18" ht="12.75">
      <c r="B1135" s="174">
        <f t="shared" si="208"/>
        <v>70</v>
      </c>
      <c r="C1135" s="165"/>
      <c r="D1135" s="165"/>
      <c r="E1135" s="213"/>
      <c r="F1135" s="204"/>
      <c r="G1135" s="324"/>
      <c r="H1135" s="172"/>
      <c r="I1135" s="172"/>
      <c r="J1135" s="697"/>
      <c r="K1135" s="168"/>
      <c r="L1135" s="636"/>
      <c r="M1135" s="172"/>
      <c r="N1135" s="748"/>
      <c r="O1135" s="168"/>
      <c r="P1135" s="175"/>
      <c r="Q1135" s="175">
        <f t="shared" si="207"/>
        <v>0</v>
      </c>
      <c r="R1135" s="699"/>
    </row>
    <row r="1136" spans="2:18" ht="15.75">
      <c r="B1136" s="174">
        <f t="shared" si="208"/>
        <v>71</v>
      </c>
      <c r="C1136" s="27">
        <v>4</v>
      </c>
      <c r="D1136" s="160" t="s">
        <v>600</v>
      </c>
      <c r="E1136" s="28"/>
      <c r="F1136" s="28"/>
      <c r="G1136" s="291"/>
      <c r="H1136" s="800">
        <f>H1137</f>
        <v>9000</v>
      </c>
      <c r="I1136" s="644">
        <f>I1137</f>
        <v>8749</v>
      </c>
      <c r="J1136" s="717">
        <f aca="true" t="shared" si="209" ref="J1136:J1143">I1136/H1136*100</f>
        <v>97.21111111111111</v>
      </c>
      <c r="K1136" s="96"/>
      <c r="L1136" s="638">
        <f>L1145</f>
        <v>5817</v>
      </c>
      <c r="M1136" s="644">
        <f>M1145</f>
        <v>5817</v>
      </c>
      <c r="N1136" s="747">
        <f>M1136/L1136*100</f>
        <v>100</v>
      </c>
      <c r="O1136" s="96"/>
      <c r="P1136" s="300">
        <f aca="true" t="shared" si="210" ref="P1136:P1143">H1136+L1136</f>
        <v>14817</v>
      </c>
      <c r="Q1136" s="609">
        <f t="shared" si="207"/>
        <v>14566</v>
      </c>
      <c r="R1136" s="702">
        <f aca="true" t="shared" si="211" ref="R1136:R1143">Q1136/P1136*100</f>
        <v>98.30599986501991</v>
      </c>
    </row>
    <row r="1137" spans="2:18" ht="12.75">
      <c r="B1137" s="174">
        <f t="shared" si="208"/>
        <v>72</v>
      </c>
      <c r="C1137" s="171"/>
      <c r="D1137" s="171"/>
      <c r="E1137" s="204" t="s">
        <v>313</v>
      </c>
      <c r="F1137" s="478" t="s">
        <v>605</v>
      </c>
      <c r="G1137" s="478"/>
      <c r="H1137" s="492">
        <f>H1138+H1139+H1140</f>
        <v>9000</v>
      </c>
      <c r="I1137" s="492">
        <f>I1138+I1139+I1140</f>
        <v>8749</v>
      </c>
      <c r="J1137" s="697">
        <f t="shared" si="209"/>
        <v>97.21111111111111</v>
      </c>
      <c r="K1137" s="480"/>
      <c r="L1137" s="727"/>
      <c r="M1137" s="487"/>
      <c r="N1137" s="748"/>
      <c r="O1137" s="480"/>
      <c r="P1137" s="491">
        <f t="shared" si="210"/>
        <v>9000</v>
      </c>
      <c r="Q1137" s="491">
        <f t="shared" si="207"/>
        <v>8749</v>
      </c>
      <c r="R1137" s="704">
        <f t="shared" si="211"/>
        <v>97.21111111111111</v>
      </c>
    </row>
    <row r="1138" spans="2:18" ht="12.75">
      <c r="B1138" s="174">
        <f t="shared" si="208"/>
        <v>73</v>
      </c>
      <c r="C1138" s="187"/>
      <c r="D1138" s="187"/>
      <c r="E1138" s="196"/>
      <c r="F1138" s="196">
        <v>610</v>
      </c>
      <c r="G1138" s="307" t="s">
        <v>307</v>
      </c>
      <c r="H1138" s="190">
        <v>4620</v>
      </c>
      <c r="I1138" s="190">
        <v>4593</v>
      </c>
      <c r="J1138" s="697">
        <f t="shared" si="209"/>
        <v>99.41558441558442</v>
      </c>
      <c r="K1138" s="191"/>
      <c r="L1138" s="728"/>
      <c r="M1138" s="190"/>
      <c r="N1138" s="748"/>
      <c r="O1138" s="191"/>
      <c r="P1138" s="197">
        <f t="shared" si="210"/>
        <v>4620</v>
      </c>
      <c r="Q1138" s="197">
        <f t="shared" si="207"/>
        <v>4593</v>
      </c>
      <c r="R1138" s="704">
        <f t="shared" si="211"/>
        <v>99.41558441558442</v>
      </c>
    </row>
    <row r="1139" spans="2:18" ht="12.75">
      <c r="B1139" s="174">
        <f t="shared" si="208"/>
        <v>74</v>
      </c>
      <c r="C1139" s="165"/>
      <c r="D1139" s="165"/>
      <c r="E1139" s="170"/>
      <c r="F1139" s="196">
        <v>620</v>
      </c>
      <c r="G1139" s="307" t="s">
        <v>309</v>
      </c>
      <c r="H1139" s="190">
        <v>1630</v>
      </c>
      <c r="I1139" s="190">
        <v>1629</v>
      </c>
      <c r="J1139" s="697">
        <f t="shared" si="209"/>
        <v>99.93865030674847</v>
      </c>
      <c r="K1139" s="168"/>
      <c r="L1139" s="636"/>
      <c r="M1139" s="172"/>
      <c r="N1139" s="748"/>
      <c r="O1139" s="168"/>
      <c r="P1139" s="197">
        <f t="shared" si="210"/>
        <v>1630</v>
      </c>
      <c r="Q1139" s="197">
        <f t="shared" si="207"/>
        <v>1629</v>
      </c>
      <c r="R1139" s="704">
        <f t="shared" si="211"/>
        <v>99.93865030674847</v>
      </c>
    </row>
    <row r="1140" spans="2:18" ht="12.75">
      <c r="B1140" s="174">
        <f t="shared" si="208"/>
        <v>75</v>
      </c>
      <c r="C1140" s="165"/>
      <c r="D1140" s="165"/>
      <c r="E1140" s="170"/>
      <c r="F1140" s="196">
        <v>630</v>
      </c>
      <c r="G1140" s="307" t="s">
        <v>297</v>
      </c>
      <c r="H1140" s="190">
        <f>SUM(H1141:H1143)</f>
        <v>2750</v>
      </c>
      <c r="I1140" s="190">
        <f>SUM(I1141:I1143)</f>
        <v>2527</v>
      </c>
      <c r="J1140" s="697">
        <f t="shared" si="209"/>
        <v>91.89090909090909</v>
      </c>
      <c r="K1140" s="168"/>
      <c r="L1140" s="636"/>
      <c r="M1140" s="172"/>
      <c r="N1140" s="748"/>
      <c r="O1140" s="168"/>
      <c r="P1140" s="197">
        <f t="shared" si="210"/>
        <v>2750</v>
      </c>
      <c r="Q1140" s="197">
        <f t="shared" si="207"/>
        <v>2527</v>
      </c>
      <c r="R1140" s="704">
        <f t="shared" si="211"/>
        <v>91.89090909090909</v>
      </c>
    </row>
    <row r="1141" spans="2:18" ht="12.75">
      <c r="B1141" s="174">
        <f t="shared" si="208"/>
        <v>76</v>
      </c>
      <c r="C1141" s="165"/>
      <c r="D1141" s="165"/>
      <c r="E1141" s="170"/>
      <c r="F1141" s="170">
        <v>633</v>
      </c>
      <c r="G1141" s="292" t="s">
        <v>294</v>
      </c>
      <c r="H1141" s="172">
        <v>1680</v>
      </c>
      <c r="I1141" s="172">
        <v>1590</v>
      </c>
      <c r="J1141" s="697">
        <f t="shared" si="209"/>
        <v>94.64285714285714</v>
      </c>
      <c r="K1141" s="168"/>
      <c r="L1141" s="636"/>
      <c r="M1141" s="172"/>
      <c r="N1141" s="748"/>
      <c r="O1141" s="168"/>
      <c r="P1141" s="176">
        <f t="shared" si="210"/>
        <v>1680</v>
      </c>
      <c r="Q1141" s="176">
        <f t="shared" si="207"/>
        <v>1590</v>
      </c>
      <c r="R1141" s="704">
        <f t="shared" si="211"/>
        <v>94.64285714285714</v>
      </c>
    </row>
    <row r="1142" spans="2:18" ht="12.75">
      <c r="B1142" s="174">
        <f t="shared" si="208"/>
        <v>77</v>
      </c>
      <c r="C1142" s="165"/>
      <c r="D1142" s="165"/>
      <c r="E1142" s="170"/>
      <c r="F1142" s="170">
        <v>634</v>
      </c>
      <c r="G1142" s="292" t="s">
        <v>310</v>
      </c>
      <c r="H1142" s="172">
        <v>500</v>
      </c>
      <c r="I1142" s="172">
        <v>467</v>
      </c>
      <c r="J1142" s="697">
        <f t="shared" si="209"/>
        <v>93.4</v>
      </c>
      <c r="K1142" s="168"/>
      <c r="L1142" s="636"/>
      <c r="M1142" s="172"/>
      <c r="N1142" s="748"/>
      <c r="O1142" s="168"/>
      <c r="P1142" s="176">
        <f t="shared" si="210"/>
        <v>500</v>
      </c>
      <c r="Q1142" s="176">
        <f t="shared" si="207"/>
        <v>467</v>
      </c>
      <c r="R1142" s="704">
        <f t="shared" si="211"/>
        <v>93.4</v>
      </c>
    </row>
    <row r="1143" spans="2:18" ht="12.75">
      <c r="B1143" s="174">
        <f t="shared" si="208"/>
        <v>78</v>
      </c>
      <c r="C1143" s="165"/>
      <c r="D1143" s="165"/>
      <c r="E1143" s="170"/>
      <c r="F1143" s="170">
        <v>637</v>
      </c>
      <c r="G1143" s="292" t="s">
        <v>295</v>
      </c>
      <c r="H1143" s="172">
        <v>570</v>
      </c>
      <c r="I1143" s="172">
        <v>470</v>
      </c>
      <c r="J1143" s="697">
        <f t="shared" si="209"/>
        <v>82.45614035087719</v>
      </c>
      <c r="K1143" s="168"/>
      <c r="L1143" s="636"/>
      <c r="M1143" s="172"/>
      <c r="N1143" s="748"/>
      <c r="O1143" s="168"/>
      <c r="P1143" s="176">
        <f t="shared" si="210"/>
        <v>570</v>
      </c>
      <c r="Q1143" s="176">
        <f t="shared" si="207"/>
        <v>470</v>
      </c>
      <c r="R1143" s="704">
        <f t="shared" si="211"/>
        <v>82.45614035087719</v>
      </c>
    </row>
    <row r="1144" spans="2:18" ht="12.75">
      <c r="B1144" s="174">
        <f t="shared" si="208"/>
        <v>79</v>
      </c>
      <c r="C1144" s="165"/>
      <c r="D1144" s="165"/>
      <c r="E1144" s="170"/>
      <c r="F1144" s="170"/>
      <c r="G1144" s="307"/>
      <c r="H1144" s="172"/>
      <c r="I1144" s="172"/>
      <c r="J1144" s="697"/>
      <c r="K1144" s="168"/>
      <c r="L1144" s="636"/>
      <c r="M1144" s="172"/>
      <c r="N1144" s="748"/>
      <c r="O1144" s="168"/>
      <c r="P1144" s="176"/>
      <c r="Q1144" s="176">
        <f t="shared" si="207"/>
        <v>0</v>
      </c>
      <c r="R1144" s="704"/>
    </row>
    <row r="1145" spans="2:18" ht="13.5" thickBot="1">
      <c r="B1145" s="544">
        <f t="shared" si="208"/>
        <v>80</v>
      </c>
      <c r="C1145" s="178"/>
      <c r="D1145" s="178"/>
      <c r="E1145" s="334" t="s">
        <v>313</v>
      </c>
      <c r="F1145" s="179">
        <v>717</v>
      </c>
      <c r="G1145" s="369" t="s">
        <v>730</v>
      </c>
      <c r="H1145" s="212"/>
      <c r="I1145" s="212"/>
      <c r="J1145" s="714"/>
      <c r="K1145" s="180"/>
      <c r="L1145" s="640">
        <v>5817</v>
      </c>
      <c r="M1145" s="184">
        <v>5817</v>
      </c>
      <c r="N1145" s="801">
        <f>M1145/L1145*100</f>
        <v>100</v>
      </c>
      <c r="O1145" s="180"/>
      <c r="P1145" s="181">
        <f>H1145+L1145</f>
        <v>5817</v>
      </c>
      <c r="Q1145" s="181">
        <f t="shared" si="207"/>
        <v>5817</v>
      </c>
      <c r="R1145" s="730">
        <f>Q1145/P1145*100</f>
        <v>100</v>
      </c>
    </row>
    <row r="1158" spans="2:18" ht="27.75" thickBot="1">
      <c r="B1158" s="379" t="s">
        <v>184</v>
      </c>
      <c r="C1158" s="379"/>
      <c r="D1158" s="379"/>
      <c r="E1158" s="379"/>
      <c r="F1158" s="379"/>
      <c r="G1158" s="379"/>
      <c r="H1158" s="379"/>
      <c r="I1158" s="379"/>
      <c r="J1158" s="602"/>
      <c r="K1158" s="379"/>
      <c r="L1158" s="379"/>
      <c r="M1158" s="379"/>
      <c r="N1158" s="602"/>
      <c r="O1158" s="379"/>
      <c r="P1158" s="379"/>
      <c r="R1158" s="825"/>
    </row>
    <row r="1159" spans="2:18" ht="13.5" thickBot="1">
      <c r="B1159" s="1037" t="s">
        <v>236</v>
      </c>
      <c r="C1159" s="1038"/>
      <c r="D1159" s="1038"/>
      <c r="E1159" s="1038"/>
      <c r="F1159" s="1038"/>
      <c r="G1159" s="1038"/>
      <c r="H1159" s="1038"/>
      <c r="I1159" s="1038"/>
      <c r="J1159" s="1038"/>
      <c r="K1159" s="1038"/>
      <c r="L1159" s="1038"/>
      <c r="M1159" s="1038"/>
      <c r="N1159" s="1039"/>
      <c r="O1159" s="151"/>
      <c r="P1159" s="1052" t="s">
        <v>627</v>
      </c>
      <c r="Q1159" s="1040" t="s">
        <v>772</v>
      </c>
      <c r="R1159" s="1047" t="s">
        <v>774</v>
      </c>
    </row>
    <row r="1160" spans="2:18" ht="21.75" customHeight="1">
      <c r="B1160" s="665"/>
      <c r="C1160" s="1045" t="s">
        <v>613</v>
      </c>
      <c r="D1160" s="1045" t="s">
        <v>612</v>
      </c>
      <c r="E1160" s="1045" t="s">
        <v>610</v>
      </c>
      <c r="F1160" s="1045" t="s">
        <v>611</v>
      </c>
      <c r="G1160" s="288" t="s">
        <v>4</v>
      </c>
      <c r="H1160" s="1027" t="s">
        <v>662</v>
      </c>
      <c r="I1160" s="1033" t="s">
        <v>772</v>
      </c>
      <c r="J1160" s="1035" t="s">
        <v>774</v>
      </c>
      <c r="K1160" s="86"/>
      <c r="L1160" s="1050" t="s">
        <v>663</v>
      </c>
      <c r="M1160" s="1033" t="s">
        <v>772</v>
      </c>
      <c r="N1160" s="1035" t="s">
        <v>774</v>
      </c>
      <c r="O1160" s="86"/>
      <c r="P1160" s="1053"/>
      <c r="Q1160" s="1041"/>
      <c r="R1160" s="1048"/>
    </row>
    <row r="1161" spans="2:18" ht="26.25" customHeight="1" thickBot="1">
      <c r="B1161" s="29"/>
      <c r="C1161" s="1044"/>
      <c r="D1161" s="1044"/>
      <c r="E1161" s="1044"/>
      <c r="F1161" s="1044"/>
      <c r="G1161" s="289"/>
      <c r="H1161" s="1029"/>
      <c r="I1161" s="1034"/>
      <c r="J1161" s="1046"/>
      <c r="K1161" s="86"/>
      <c r="L1161" s="1051"/>
      <c r="M1161" s="1034"/>
      <c r="N1161" s="1046"/>
      <c r="O1161" s="86"/>
      <c r="P1161" s="1054"/>
      <c r="Q1161" s="1042"/>
      <c r="R1161" s="1049"/>
    </row>
    <row r="1162" spans="2:18" ht="19.5" thickBot="1" thickTop="1">
      <c r="B1162" s="174">
        <v>1</v>
      </c>
      <c r="C1162" s="158" t="s">
        <v>264</v>
      </c>
      <c r="D1162" s="125"/>
      <c r="E1162" s="125"/>
      <c r="F1162" s="125"/>
      <c r="G1162" s="290"/>
      <c r="H1162" s="225">
        <f>H1163+H1188+H1176+H1206+H1207</f>
        <v>305633</v>
      </c>
      <c r="I1162" s="593">
        <f>I1163+I1176+I1188</f>
        <v>290654</v>
      </c>
      <c r="J1162" s="822">
        <f aca="true" t="shared" si="212" ref="J1162:J1185">I1162/H1162*100</f>
        <v>95.09902399282801</v>
      </c>
      <c r="K1162" s="127"/>
      <c r="L1162" s="295">
        <f>L1163+L1188+L1176+L1206+L1207</f>
        <v>106816</v>
      </c>
      <c r="M1162" s="593">
        <f>M1163+M1176+M1188+M1206+M1207</f>
        <v>102462</v>
      </c>
      <c r="N1162" s="822">
        <f>M1162/L1162*100</f>
        <v>95.92383163571002</v>
      </c>
      <c r="O1162" s="127"/>
      <c r="P1162" s="298">
        <f aca="true" t="shared" si="213" ref="P1162:P1194">H1162+L1162</f>
        <v>412449</v>
      </c>
      <c r="Q1162" s="607">
        <f aca="true" t="shared" si="214" ref="Q1162:Q1194">I1162+M1162</f>
        <v>393116</v>
      </c>
      <c r="R1162" s="826">
        <f aca="true" t="shared" si="215" ref="R1162:R1194">Q1162/P1162*100</f>
        <v>95.31263259215079</v>
      </c>
    </row>
    <row r="1163" spans="2:18" ht="16.5" thickTop="1">
      <c r="B1163" s="174">
        <f aca="true" t="shared" si="216" ref="B1163:B1207">B1162+1</f>
        <v>2</v>
      </c>
      <c r="C1163" s="27">
        <v>1</v>
      </c>
      <c r="D1163" s="160" t="s">
        <v>391</v>
      </c>
      <c r="E1163" s="28"/>
      <c r="F1163" s="28"/>
      <c r="G1163" s="291"/>
      <c r="H1163" s="227">
        <f>H1164+H1165</f>
        <v>89000</v>
      </c>
      <c r="I1163" s="594">
        <f>I1164+I1165</f>
        <v>89000</v>
      </c>
      <c r="J1163" s="823">
        <f t="shared" si="212"/>
        <v>100</v>
      </c>
      <c r="K1163" s="96"/>
      <c r="L1163" s="669">
        <f>L1164+L1165</f>
        <v>0</v>
      </c>
      <c r="M1163" s="594">
        <v>0</v>
      </c>
      <c r="N1163" s="823"/>
      <c r="O1163" s="96"/>
      <c r="P1163" s="299">
        <f t="shared" si="213"/>
        <v>89000</v>
      </c>
      <c r="Q1163" s="608">
        <f t="shared" si="214"/>
        <v>89000</v>
      </c>
      <c r="R1163" s="827">
        <f t="shared" si="215"/>
        <v>100</v>
      </c>
    </row>
    <row r="1164" spans="2:18" ht="12.75">
      <c r="B1164" s="174">
        <f t="shared" si="216"/>
        <v>3</v>
      </c>
      <c r="C1164" s="165"/>
      <c r="D1164" s="166"/>
      <c r="E1164" s="166" t="s">
        <v>318</v>
      </c>
      <c r="F1164" s="166" t="s">
        <v>256</v>
      </c>
      <c r="G1164" s="292" t="s">
        <v>350</v>
      </c>
      <c r="H1164" s="206">
        <v>25000</v>
      </c>
      <c r="I1164" s="206">
        <v>25000</v>
      </c>
      <c r="J1164" s="823">
        <f t="shared" si="212"/>
        <v>100</v>
      </c>
      <c r="K1164" s="168"/>
      <c r="L1164" s="186"/>
      <c r="M1164" s="238"/>
      <c r="N1164" s="823"/>
      <c r="O1164" s="168"/>
      <c r="P1164" s="175">
        <f t="shared" si="213"/>
        <v>25000</v>
      </c>
      <c r="Q1164" s="175">
        <f t="shared" si="214"/>
        <v>25000</v>
      </c>
      <c r="R1164" s="827">
        <f t="shared" si="215"/>
        <v>100</v>
      </c>
    </row>
    <row r="1165" spans="2:18" ht="12.75">
      <c r="B1165" s="174">
        <f t="shared" si="216"/>
        <v>4</v>
      </c>
      <c r="C1165" s="165"/>
      <c r="D1165" s="166"/>
      <c r="E1165" s="166" t="s">
        <v>318</v>
      </c>
      <c r="F1165" s="166" t="s">
        <v>256</v>
      </c>
      <c r="G1165" s="292" t="s">
        <v>556</v>
      </c>
      <c r="H1165" s="206">
        <f>SUM(H1166:H1175)</f>
        <v>64000</v>
      </c>
      <c r="I1165" s="206">
        <f>I1166+I1167+I1168+I1169+I1170+I1171+I1172+I1173+I1174+I1175</f>
        <v>64000</v>
      </c>
      <c r="J1165" s="823">
        <f t="shared" si="212"/>
        <v>100</v>
      </c>
      <c r="K1165" s="168"/>
      <c r="L1165" s="186"/>
      <c r="M1165" s="238"/>
      <c r="N1165" s="823"/>
      <c r="O1165" s="168"/>
      <c r="P1165" s="175">
        <f t="shared" si="213"/>
        <v>64000</v>
      </c>
      <c r="Q1165" s="175">
        <f t="shared" si="214"/>
        <v>64000</v>
      </c>
      <c r="R1165" s="827">
        <f t="shared" si="215"/>
        <v>100</v>
      </c>
    </row>
    <row r="1166" spans="2:18" ht="12.75">
      <c r="B1166" s="174">
        <f t="shared" si="216"/>
        <v>5</v>
      </c>
      <c r="C1166" s="165"/>
      <c r="D1166" s="166"/>
      <c r="E1166" s="166"/>
      <c r="F1166" s="166"/>
      <c r="G1166" s="292" t="s">
        <v>392</v>
      </c>
      <c r="H1166" s="206">
        <v>15000</v>
      </c>
      <c r="I1166" s="206">
        <v>15000</v>
      </c>
      <c r="J1166" s="823">
        <f t="shared" si="212"/>
        <v>100</v>
      </c>
      <c r="K1166" s="168"/>
      <c r="L1166" s="186"/>
      <c r="M1166" s="238"/>
      <c r="N1166" s="823"/>
      <c r="O1166" s="168"/>
      <c r="P1166" s="175">
        <f t="shared" si="213"/>
        <v>15000</v>
      </c>
      <c r="Q1166" s="175">
        <f t="shared" si="214"/>
        <v>15000</v>
      </c>
      <c r="R1166" s="827">
        <f t="shared" si="215"/>
        <v>100</v>
      </c>
    </row>
    <row r="1167" spans="2:18" ht="12.75">
      <c r="B1167" s="174">
        <f t="shared" si="216"/>
        <v>6</v>
      </c>
      <c r="C1167" s="165"/>
      <c r="D1167" s="166"/>
      <c r="E1167" s="166"/>
      <c r="F1167" s="166"/>
      <c r="G1167" s="292" t="s">
        <v>519</v>
      </c>
      <c r="H1167" s="206">
        <v>15000</v>
      </c>
      <c r="I1167" s="206">
        <v>15000</v>
      </c>
      <c r="J1167" s="823">
        <f t="shared" si="212"/>
        <v>100</v>
      </c>
      <c r="K1167" s="168"/>
      <c r="L1167" s="186"/>
      <c r="M1167" s="238"/>
      <c r="N1167" s="823"/>
      <c r="O1167" s="168"/>
      <c r="P1167" s="175">
        <f t="shared" si="213"/>
        <v>15000</v>
      </c>
      <c r="Q1167" s="175">
        <f t="shared" si="214"/>
        <v>15000</v>
      </c>
      <c r="R1167" s="827">
        <f t="shared" si="215"/>
        <v>100</v>
      </c>
    </row>
    <row r="1168" spans="2:18" ht="12.75">
      <c r="B1168" s="174">
        <f t="shared" si="216"/>
        <v>7</v>
      </c>
      <c r="C1168" s="165"/>
      <c r="D1168" s="166"/>
      <c r="E1168" s="166"/>
      <c r="F1168" s="166"/>
      <c r="G1168" s="292" t="s">
        <v>393</v>
      </c>
      <c r="H1168" s="206">
        <v>5000</v>
      </c>
      <c r="I1168" s="206">
        <v>5000</v>
      </c>
      <c r="J1168" s="823">
        <f t="shared" si="212"/>
        <v>100</v>
      </c>
      <c r="K1168" s="168"/>
      <c r="L1168" s="186"/>
      <c r="M1168" s="238"/>
      <c r="N1168" s="823"/>
      <c r="O1168" s="168"/>
      <c r="P1168" s="175">
        <f t="shared" si="213"/>
        <v>5000</v>
      </c>
      <c r="Q1168" s="175">
        <f t="shared" si="214"/>
        <v>5000</v>
      </c>
      <c r="R1168" s="827">
        <f t="shared" si="215"/>
        <v>100</v>
      </c>
    </row>
    <row r="1169" spans="2:18" ht="12.75">
      <c r="B1169" s="174">
        <f t="shared" si="216"/>
        <v>8</v>
      </c>
      <c r="C1169" s="165"/>
      <c r="D1169" s="166"/>
      <c r="E1169" s="166"/>
      <c r="F1169" s="166"/>
      <c r="G1169" s="292" t="s">
        <v>394</v>
      </c>
      <c r="H1169" s="206">
        <v>10000</v>
      </c>
      <c r="I1169" s="206">
        <v>10000</v>
      </c>
      <c r="J1169" s="823">
        <f t="shared" si="212"/>
        <v>100</v>
      </c>
      <c r="K1169" s="168"/>
      <c r="L1169" s="186"/>
      <c r="M1169" s="238"/>
      <c r="N1169" s="823"/>
      <c r="O1169" s="168"/>
      <c r="P1169" s="175">
        <f t="shared" si="213"/>
        <v>10000</v>
      </c>
      <c r="Q1169" s="175">
        <f t="shared" si="214"/>
        <v>10000</v>
      </c>
      <c r="R1169" s="827">
        <f t="shared" si="215"/>
        <v>100</v>
      </c>
    </row>
    <row r="1170" spans="2:18" ht="12.75">
      <c r="B1170" s="174">
        <f t="shared" si="216"/>
        <v>9</v>
      </c>
      <c r="C1170" s="165"/>
      <c r="D1170" s="250"/>
      <c r="E1170" s="166"/>
      <c r="F1170" s="166"/>
      <c r="G1170" s="292" t="s">
        <v>568</v>
      </c>
      <c r="H1170" s="206">
        <v>3000</v>
      </c>
      <c r="I1170" s="206">
        <v>3000</v>
      </c>
      <c r="J1170" s="823">
        <f t="shared" si="212"/>
        <v>100</v>
      </c>
      <c r="K1170" s="168"/>
      <c r="L1170" s="186"/>
      <c r="M1170" s="238"/>
      <c r="N1170" s="823"/>
      <c r="O1170" s="168"/>
      <c r="P1170" s="175">
        <f t="shared" si="213"/>
        <v>3000</v>
      </c>
      <c r="Q1170" s="175">
        <f t="shared" si="214"/>
        <v>3000</v>
      </c>
      <c r="R1170" s="827">
        <f t="shared" si="215"/>
        <v>100</v>
      </c>
    </row>
    <row r="1171" spans="2:18" ht="12.75">
      <c r="B1171" s="174">
        <f t="shared" si="216"/>
        <v>10</v>
      </c>
      <c r="C1171" s="165"/>
      <c r="D1171" s="250"/>
      <c r="E1171" s="166"/>
      <c r="F1171" s="166"/>
      <c r="G1171" s="292" t="s">
        <v>559</v>
      </c>
      <c r="H1171" s="206">
        <v>3000</v>
      </c>
      <c r="I1171" s="206">
        <v>3000</v>
      </c>
      <c r="J1171" s="823">
        <f t="shared" si="212"/>
        <v>100</v>
      </c>
      <c r="K1171" s="168"/>
      <c r="L1171" s="186"/>
      <c r="M1171" s="238"/>
      <c r="N1171" s="823"/>
      <c r="O1171" s="168"/>
      <c r="P1171" s="175">
        <f t="shared" si="213"/>
        <v>3000</v>
      </c>
      <c r="Q1171" s="175">
        <f t="shared" si="214"/>
        <v>3000</v>
      </c>
      <c r="R1171" s="827">
        <f t="shared" si="215"/>
        <v>100</v>
      </c>
    </row>
    <row r="1172" spans="2:18" ht="12.75">
      <c r="B1172" s="174">
        <f t="shared" si="216"/>
        <v>11</v>
      </c>
      <c r="C1172" s="165"/>
      <c r="D1172" s="250"/>
      <c r="E1172" s="166"/>
      <c r="F1172" s="166"/>
      <c r="G1172" s="292" t="s">
        <v>557</v>
      </c>
      <c r="H1172" s="206">
        <f>3000+500+500</f>
        <v>4000</v>
      </c>
      <c r="I1172" s="206">
        <v>4000</v>
      </c>
      <c r="J1172" s="823">
        <f t="shared" si="212"/>
        <v>100</v>
      </c>
      <c r="K1172" s="168"/>
      <c r="L1172" s="186"/>
      <c r="M1172" s="238"/>
      <c r="N1172" s="823"/>
      <c r="O1172" s="168"/>
      <c r="P1172" s="175">
        <f t="shared" si="213"/>
        <v>4000</v>
      </c>
      <c r="Q1172" s="175">
        <f t="shared" si="214"/>
        <v>4000</v>
      </c>
      <c r="R1172" s="827">
        <f t="shared" si="215"/>
        <v>100</v>
      </c>
    </row>
    <row r="1173" spans="2:18" ht="12.75">
      <c r="B1173" s="174">
        <f t="shared" si="216"/>
        <v>12</v>
      </c>
      <c r="C1173" s="165"/>
      <c r="D1173" s="250"/>
      <c r="E1173" s="166"/>
      <c r="F1173" s="166"/>
      <c r="G1173" s="292" t="s">
        <v>558</v>
      </c>
      <c r="H1173" s="206">
        <v>3000</v>
      </c>
      <c r="I1173" s="206">
        <v>3000</v>
      </c>
      <c r="J1173" s="823">
        <f t="shared" si="212"/>
        <v>100</v>
      </c>
      <c r="K1173" s="168"/>
      <c r="L1173" s="182"/>
      <c r="M1173" s="172"/>
      <c r="N1173" s="823"/>
      <c r="O1173" s="168"/>
      <c r="P1173" s="175">
        <f t="shared" si="213"/>
        <v>3000</v>
      </c>
      <c r="Q1173" s="175">
        <f t="shared" si="214"/>
        <v>3000</v>
      </c>
      <c r="R1173" s="827">
        <f t="shared" si="215"/>
        <v>100</v>
      </c>
    </row>
    <row r="1174" spans="2:18" ht="12.75">
      <c r="B1174" s="174">
        <f t="shared" si="216"/>
        <v>13</v>
      </c>
      <c r="C1174" s="165"/>
      <c r="D1174" s="244"/>
      <c r="E1174" s="434"/>
      <c r="F1174" s="434"/>
      <c r="G1174" s="292" t="s">
        <v>724</v>
      </c>
      <c r="H1174" s="206">
        <f>3000+2000-500</f>
        <v>4500</v>
      </c>
      <c r="I1174" s="206">
        <v>4500</v>
      </c>
      <c r="J1174" s="823">
        <f t="shared" si="212"/>
        <v>100</v>
      </c>
      <c r="K1174" s="168"/>
      <c r="L1174" s="208"/>
      <c r="M1174" s="167"/>
      <c r="N1174" s="823"/>
      <c r="O1174" s="168"/>
      <c r="P1174" s="175">
        <f t="shared" si="213"/>
        <v>4500</v>
      </c>
      <c r="Q1174" s="175">
        <f t="shared" si="214"/>
        <v>4500</v>
      </c>
      <c r="R1174" s="827">
        <f t="shared" si="215"/>
        <v>100</v>
      </c>
    </row>
    <row r="1175" spans="2:18" ht="12.75">
      <c r="B1175" s="174">
        <f t="shared" si="216"/>
        <v>14</v>
      </c>
      <c r="C1175" s="165"/>
      <c r="D1175" s="244"/>
      <c r="E1175" s="434"/>
      <c r="F1175" s="434"/>
      <c r="G1175" s="292" t="s">
        <v>747</v>
      </c>
      <c r="H1175" s="206">
        <v>1500</v>
      </c>
      <c r="I1175" s="206">
        <v>1500</v>
      </c>
      <c r="J1175" s="823">
        <f t="shared" si="212"/>
        <v>100</v>
      </c>
      <c r="K1175" s="168"/>
      <c r="L1175" s="208"/>
      <c r="M1175" s="167"/>
      <c r="N1175" s="823"/>
      <c r="O1175" s="168"/>
      <c r="P1175" s="175">
        <f t="shared" si="213"/>
        <v>1500</v>
      </c>
      <c r="Q1175" s="175">
        <f t="shared" si="214"/>
        <v>1500</v>
      </c>
      <c r="R1175" s="827">
        <f t="shared" si="215"/>
        <v>100</v>
      </c>
    </row>
    <row r="1176" spans="2:18" ht="15.75">
      <c r="B1176" s="174">
        <f t="shared" si="216"/>
        <v>15</v>
      </c>
      <c r="C1176" s="27">
        <v>2</v>
      </c>
      <c r="D1176" s="160" t="s">
        <v>390</v>
      </c>
      <c r="E1176" s="28"/>
      <c r="F1176" s="28"/>
      <c r="G1176" s="291"/>
      <c r="H1176" s="228">
        <f>H1177</f>
        <v>41622</v>
      </c>
      <c r="I1176" s="615">
        <f>I1177</f>
        <v>36944</v>
      </c>
      <c r="J1176" s="823">
        <f t="shared" si="212"/>
        <v>88.76075152563548</v>
      </c>
      <c r="K1176" s="96"/>
      <c r="L1176" s="297">
        <f>SUM(L1186:L1187)</f>
        <v>28286</v>
      </c>
      <c r="M1176" s="644">
        <f>M1186+M1187</f>
        <v>28285</v>
      </c>
      <c r="N1176" s="823">
        <f>M1176/L1176*100</f>
        <v>99.99646468217492</v>
      </c>
      <c r="O1176" s="96"/>
      <c r="P1176" s="300">
        <f t="shared" si="213"/>
        <v>69908</v>
      </c>
      <c r="Q1176" s="609">
        <f t="shared" si="214"/>
        <v>65229</v>
      </c>
      <c r="R1176" s="827">
        <f t="shared" si="215"/>
        <v>93.3069176632145</v>
      </c>
    </row>
    <row r="1177" spans="2:18" ht="12.75">
      <c r="B1177" s="174">
        <f t="shared" si="216"/>
        <v>16</v>
      </c>
      <c r="C1177" s="165"/>
      <c r="D1177" s="165"/>
      <c r="E1177" s="166" t="s">
        <v>318</v>
      </c>
      <c r="F1177" s="166" t="s">
        <v>255</v>
      </c>
      <c r="G1177" s="292" t="s">
        <v>384</v>
      </c>
      <c r="H1177" s="206">
        <f>SUM(H1178:H1185)</f>
        <v>41622</v>
      </c>
      <c r="I1177" s="206">
        <f>SUM(I1178:I1185)</f>
        <v>36944</v>
      </c>
      <c r="J1177" s="823">
        <f t="shared" si="212"/>
        <v>88.76075152563548</v>
      </c>
      <c r="K1177" s="168"/>
      <c r="L1177" s="182"/>
      <c r="M1177" s="172"/>
      <c r="N1177" s="823"/>
      <c r="O1177" s="168"/>
      <c r="P1177" s="176">
        <f t="shared" si="213"/>
        <v>41622</v>
      </c>
      <c r="Q1177" s="176">
        <f t="shared" si="214"/>
        <v>36944</v>
      </c>
      <c r="R1177" s="827">
        <f t="shared" si="215"/>
        <v>88.76075152563548</v>
      </c>
    </row>
    <row r="1178" spans="2:18" ht="12.75">
      <c r="B1178" s="174">
        <f t="shared" si="216"/>
        <v>17</v>
      </c>
      <c r="C1178" s="165"/>
      <c r="D1178" s="166"/>
      <c r="E1178" s="166"/>
      <c r="F1178" s="166" t="s">
        <v>255</v>
      </c>
      <c r="G1178" s="292" t="s">
        <v>385</v>
      </c>
      <c r="H1178" s="206">
        <f>8000-3500</f>
        <v>4500</v>
      </c>
      <c r="I1178" s="840">
        <f>4494</f>
        <v>4494</v>
      </c>
      <c r="J1178" s="823">
        <f t="shared" si="212"/>
        <v>99.86666666666667</v>
      </c>
      <c r="K1178" s="168"/>
      <c r="L1178" s="186"/>
      <c r="M1178" s="238"/>
      <c r="N1178" s="823"/>
      <c r="O1178" s="168"/>
      <c r="P1178" s="175">
        <f t="shared" si="213"/>
        <v>4500</v>
      </c>
      <c r="Q1178" s="175">
        <f t="shared" si="214"/>
        <v>4494</v>
      </c>
      <c r="R1178" s="827">
        <f t="shared" si="215"/>
        <v>99.86666666666667</v>
      </c>
    </row>
    <row r="1179" spans="2:18" ht="12.75">
      <c r="B1179" s="174">
        <f t="shared" si="216"/>
        <v>18</v>
      </c>
      <c r="C1179" s="165"/>
      <c r="D1179" s="166"/>
      <c r="E1179" s="166"/>
      <c r="F1179" s="166" t="s">
        <v>255</v>
      </c>
      <c r="G1179" s="292" t="s">
        <v>386</v>
      </c>
      <c r="H1179" s="206">
        <f>5000+7000</f>
        <v>12000</v>
      </c>
      <c r="I1179" s="840">
        <v>11801</v>
      </c>
      <c r="J1179" s="823">
        <f t="shared" si="212"/>
        <v>98.34166666666667</v>
      </c>
      <c r="K1179" s="168"/>
      <c r="L1179" s="186"/>
      <c r="M1179" s="238"/>
      <c r="N1179" s="823"/>
      <c r="O1179" s="168"/>
      <c r="P1179" s="175">
        <f t="shared" si="213"/>
        <v>12000</v>
      </c>
      <c r="Q1179" s="175">
        <f t="shared" si="214"/>
        <v>11801</v>
      </c>
      <c r="R1179" s="827">
        <f t="shared" si="215"/>
        <v>98.34166666666667</v>
      </c>
    </row>
    <row r="1180" spans="2:18" ht="12.75">
      <c r="B1180" s="174">
        <f t="shared" si="216"/>
        <v>19</v>
      </c>
      <c r="C1180" s="165"/>
      <c r="D1180" s="166"/>
      <c r="E1180" s="166"/>
      <c r="F1180" s="166" t="s">
        <v>255</v>
      </c>
      <c r="G1180" s="292" t="s">
        <v>387</v>
      </c>
      <c r="H1180" s="206">
        <f>5000+3000-200</f>
        <v>7800</v>
      </c>
      <c r="I1180" s="840">
        <f>8076-I1181-76.23</f>
        <v>7801.77</v>
      </c>
      <c r="J1180" s="823">
        <f t="shared" si="212"/>
        <v>100.02269230769232</v>
      </c>
      <c r="K1180" s="168"/>
      <c r="L1180" s="186"/>
      <c r="M1180" s="238"/>
      <c r="N1180" s="823"/>
      <c r="O1180" s="168"/>
      <c r="P1180" s="175">
        <f t="shared" si="213"/>
        <v>7800</v>
      </c>
      <c r="Q1180" s="175">
        <f t="shared" si="214"/>
        <v>7801.77</v>
      </c>
      <c r="R1180" s="827">
        <f t="shared" si="215"/>
        <v>100.02269230769232</v>
      </c>
    </row>
    <row r="1181" spans="2:18" ht="12.75">
      <c r="B1181" s="174">
        <f t="shared" si="216"/>
        <v>20</v>
      </c>
      <c r="C1181" s="165"/>
      <c r="D1181" s="166"/>
      <c r="E1181" s="166"/>
      <c r="F1181" s="166" t="s">
        <v>238</v>
      </c>
      <c r="G1181" s="292" t="s">
        <v>387</v>
      </c>
      <c r="H1181" s="206">
        <v>200</v>
      </c>
      <c r="I1181" s="840">
        <v>198</v>
      </c>
      <c r="J1181" s="823">
        <f t="shared" si="212"/>
        <v>99</v>
      </c>
      <c r="K1181" s="168"/>
      <c r="L1181" s="186"/>
      <c r="M1181" s="238"/>
      <c r="N1181" s="823"/>
      <c r="O1181" s="168"/>
      <c r="P1181" s="175">
        <f t="shared" si="213"/>
        <v>200</v>
      </c>
      <c r="Q1181" s="175">
        <f t="shared" si="214"/>
        <v>198</v>
      </c>
      <c r="R1181" s="827">
        <f t="shared" si="215"/>
        <v>99</v>
      </c>
    </row>
    <row r="1182" spans="2:18" ht="12.75">
      <c r="B1182" s="174">
        <f t="shared" si="216"/>
        <v>21</v>
      </c>
      <c r="C1182" s="165"/>
      <c r="D1182" s="166"/>
      <c r="E1182" s="166"/>
      <c r="F1182" s="166" t="s">
        <v>255</v>
      </c>
      <c r="G1182" s="292" t="s">
        <v>388</v>
      </c>
      <c r="H1182" s="206">
        <f>8922-500+200</f>
        <v>8622</v>
      </c>
      <c r="I1182" s="840">
        <f>6974+300</f>
        <v>7274</v>
      </c>
      <c r="J1182" s="823">
        <f t="shared" si="212"/>
        <v>84.36557643238228</v>
      </c>
      <c r="K1182" s="168"/>
      <c r="L1182" s="186"/>
      <c r="M1182" s="238"/>
      <c r="N1182" s="823"/>
      <c r="O1182" s="168"/>
      <c r="P1182" s="175">
        <f t="shared" si="213"/>
        <v>8622</v>
      </c>
      <c r="Q1182" s="175">
        <f t="shared" si="214"/>
        <v>7274</v>
      </c>
      <c r="R1182" s="827">
        <f t="shared" si="215"/>
        <v>84.36557643238228</v>
      </c>
    </row>
    <row r="1183" spans="2:18" ht="12.75">
      <c r="B1183" s="174">
        <f t="shared" si="216"/>
        <v>22</v>
      </c>
      <c r="C1183" s="165"/>
      <c r="D1183" s="166"/>
      <c r="E1183" s="166"/>
      <c r="F1183" s="166" t="s">
        <v>238</v>
      </c>
      <c r="G1183" s="292" t="s">
        <v>388</v>
      </c>
      <c r="H1183" s="206">
        <v>500</v>
      </c>
      <c r="I1183" s="840">
        <v>0</v>
      </c>
      <c r="J1183" s="823">
        <f t="shared" si="212"/>
        <v>0</v>
      </c>
      <c r="K1183" s="168"/>
      <c r="L1183" s="186"/>
      <c r="M1183" s="238"/>
      <c r="N1183" s="823"/>
      <c r="O1183" s="168"/>
      <c r="P1183" s="175">
        <f t="shared" si="213"/>
        <v>500</v>
      </c>
      <c r="Q1183" s="175">
        <f t="shared" si="214"/>
        <v>0</v>
      </c>
      <c r="R1183" s="827">
        <f t="shared" si="215"/>
        <v>0</v>
      </c>
    </row>
    <row r="1184" spans="2:18" ht="12.75">
      <c r="B1184" s="174">
        <f t="shared" si="216"/>
        <v>23</v>
      </c>
      <c r="C1184" s="165"/>
      <c r="D1184" s="166"/>
      <c r="E1184" s="166"/>
      <c r="F1184" s="166" t="s">
        <v>255</v>
      </c>
      <c r="G1184" s="292" t="s">
        <v>389</v>
      </c>
      <c r="H1184" s="206">
        <v>7500</v>
      </c>
      <c r="I1184" s="840">
        <f>76.23+4151+131+630-113</f>
        <v>4875.23</v>
      </c>
      <c r="J1184" s="823">
        <f t="shared" si="212"/>
        <v>65.00306666666667</v>
      </c>
      <c r="K1184" s="168"/>
      <c r="L1184" s="186"/>
      <c r="M1184" s="238"/>
      <c r="N1184" s="823"/>
      <c r="O1184" s="168"/>
      <c r="P1184" s="175">
        <f t="shared" si="213"/>
        <v>7500</v>
      </c>
      <c r="Q1184" s="175">
        <f t="shared" si="214"/>
        <v>4875.23</v>
      </c>
      <c r="R1184" s="827">
        <f t="shared" si="215"/>
        <v>65.00306666666667</v>
      </c>
    </row>
    <row r="1185" spans="2:18" ht="12.75">
      <c r="B1185" s="174">
        <f t="shared" si="216"/>
        <v>24</v>
      </c>
      <c r="C1185" s="165"/>
      <c r="D1185" s="166"/>
      <c r="E1185" s="166"/>
      <c r="F1185" s="166" t="s">
        <v>255</v>
      </c>
      <c r="G1185" s="292" t="s">
        <v>746</v>
      </c>
      <c r="H1185" s="206">
        <v>500</v>
      </c>
      <c r="I1185" s="840">
        <v>500</v>
      </c>
      <c r="J1185" s="823">
        <f t="shared" si="212"/>
        <v>100</v>
      </c>
      <c r="K1185" s="168"/>
      <c r="L1185" s="186"/>
      <c r="M1185" s="238"/>
      <c r="N1185" s="823"/>
      <c r="O1185" s="168"/>
      <c r="P1185" s="175">
        <f t="shared" si="213"/>
        <v>500</v>
      </c>
      <c r="Q1185" s="175">
        <f t="shared" si="214"/>
        <v>500</v>
      </c>
      <c r="R1185" s="827">
        <f t="shared" si="215"/>
        <v>100</v>
      </c>
    </row>
    <row r="1186" spans="2:18" ht="12.75">
      <c r="B1186" s="174">
        <f t="shared" si="216"/>
        <v>25</v>
      </c>
      <c r="C1186" s="165"/>
      <c r="D1186" s="166"/>
      <c r="E1186" s="166" t="s">
        <v>318</v>
      </c>
      <c r="F1186" s="166" t="s">
        <v>407</v>
      </c>
      <c r="G1186" s="324" t="s">
        <v>543</v>
      </c>
      <c r="H1186" s="206"/>
      <c r="I1186" s="206"/>
      <c r="J1186" s="823"/>
      <c r="K1186" s="168"/>
      <c r="L1186" s="182">
        <v>10696</v>
      </c>
      <c r="M1186" s="172">
        <v>10696</v>
      </c>
      <c r="N1186" s="823">
        <f>M1186/L1186*100</f>
        <v>100</v>
      </c>
      <c r="O1186" s="248"/>
      <c r="P1186" s="176">
        <f t="shared" si="213"/>
        <v>10696</v>
      </c>
      <c r="Q1186" s="176">
        <f t="shared" si="214"/>
        <v>10696</v>
      </c>
      <c r="R1186" s="827">
        <f t="shared" si="215"/>
        <v>100</v>
      </c>
    </row>
    <row r="1187" spans="2:18" ht="12.75">
      <c r="B1187" s="174">
        <f t="shared" si="216"/>
        <v>26</v>
      </c>
      <c r="C1187" s="165"/>
      <c r="D1187" s="166"/>
      <c r="E1187" s="166" t="s">
        <v>318</v>
      </c>
      <c r="F1187" s="166" t="s">
        <v>407</v>
      </c>
      <c r="G1187" s="324" t="s">
        <v>544</v>
      </c>
      <c r="H1187" s="206"/>
      <c r="I1187" s="206"/>
      <c r="J1187" s="823"/>
      <c r="K1187" s="168"/>
      <c r="L1187" s="182">
        <f>14072/12*15</f>
        <v>17590</v>
      </c>
      <c r="M1187" s="172">
        <v>17589</v>
      </c>
      <c r="N1187" s="823">
        <f>M1187/L1187*100</f>
        <v>99.99431495167708</v>
      </c>
      <c r="O1187" s="248"/>
      <c r="P1187" s="176">
        <f t="shared" si="213"/>
        <v>17590</v>
      </c>
      <c r="Q1187" s="176">
        <f t="shared" si="214"/>
        <v>17589</v>
      </c>
      <c r="R1187" s="827">
        <f t="shared" si="215"/>
        <v>99.99431495167708</v>
      </c>
    </row>
    <row r="1188" spans="2:18" ht="15.75">
      <c r="B1188" s="174">
        <f t="shared" si="216"/>
        <v>27</v>
      </c>
      <c r="C1188" s="24">
        <v>3</v>
      </c>
      <c r="D1188" s="159" t="s">
        <v>116</v>
      </c>
      <c r="E1188" s="25"/>
      <c r="F1188" s="25"/>
      <c r="G1188" s="293"/>
      <c r="H1188" s="228">
        <f>H1189+H1196+H1200+H1201+H1202+H1203+H1197+H1198</f>
        <v>175011</v>
      </c>
      <c r="I1188" s="615">
        <f>I1189+I1196+I1197+I1198+I1200+I1201+I1203</f>
        <v>164710</v>
      </c>
      <c r="J1188" s="823">
        <f aca="true" t="shared" si="217" ref="J1188:J1193">I1188/H1188*100</f>
        <v>94.11408425756095</v>
      </c>
      <c r="K1188" s="96"/>
      <c r="L1188" s="297">
        <f>L1189+L1202+L1204</f>
        <v>60210</v>
      </c>
      <c r="M1188" s="644">
        <f>M1189+M1202+M1204</f>
        <v>55865</v>
      </c>
      <c r="N1188" s="823">
        <f>M1188/L1188*100</f>
        <v>92.78359076565354</v>
      </c>
      <c r="O1188" s="126"/>
      <c r="P1188" s="299">
        <f t="shared" si="213"/>
        <v>235221</v>
      </c>
      <c r="Q1188" s="608">
        <f t="shared" si="214"/>
        <v>220575</v>
      </c>
      <c r="R1188" s="827">
        <f t="shared" si="215"/>
        <v>93.77351511982349</v>
      </c>
    </row>
    <row r="1189" spans="2:18" ht="12.75">
      <c r="B1189" s="174">
        <f t="shared" si="216"/>
        <v>28</v>
      </c>
      <c r="C1189" s="165"/>
      <c r="D1189" s="165"/>
      <c r="E1189" s="204" t="s">
        <v>318</v>
      </c>
      <c r="F1189" s="478" t="s">
        <v>605</v>
      </c>
      <c r="G1189" s="478"/>
      <c r="H1189" s="479">
        <f>SUM(H1190:H1193)</f>
        <v>120840</v>
      </c>
      <c r="I1189" s="479">
        <f>SUM(I1190:I1193)</f>
        <v>116106</v>
      </c>
      <c r="J1189" s="823">
        <f t="shared" si="217"/>
        <v>96.08242303872889</v>
      </c>
      <c r="K1189" s="480"/>
      <c r="L1189" s="842">
        <f>SUM(L1190:L1194)</f>
        <v>1865</v>
      </c>
      <c r="M1189" s="797">
        <v>1865</v>
      </c>
      <c r="N1189" s="823">
        <f>M1189/L1189*100</f>
        <v>100</v>
      </c>
      <c r="O1189" s="480"/>
      <c r="P1189" s="491">
        <f t="shared" si="213"/>
        <v>122705</v>
      </c>
      <c r="Q1189" s="491">
        <f t="shared" si="214"/>
        <v>117971</v>
      </c>
      <c r="R1189" s="827">
        <f t="shared" si="215"/>
        <v>96.1419665050324</v>
      </c>
    </row>
    <row r="1190" spans="2:18" ht="12.75">
      <c r="B1190" s="174">
        <f t="shared" si="216"/>
        <v>29</v>
      </c>
      <c r="C1190" s="165"/>
      <c r="D1190" s="165"/>
      <c r="E1190" s="204"/>
      <c r="F1190" s="170">
        <v>632</v>
      </c>
      <c r="G1190" s="292" t="s">
        <v>293</v>
      </c>
      <c r="H1190" s="206">
        <v>109440</v>
      </c>
      <c r="I1190" s="206">
        <v>105442</v>
      </c>
      <c r="J1190" s="823">
        <f t="shared" si="217"/>
        <v>96.3468567251462</v>
      </c>
      <c r="K1190" s="168"/>
      <c r="L1190" s="182"/>
      <c r="M1190" s="172"/>
      <c r="N1190" s="823"/>
      <c r="O1190" s="168"/>
      <c r="P1190" s="176">
        <f t="shared" si="213"/>
        <v>109440</v>
      </c>
      <c r="Q1190" s="176">
        <f t="shared" si="214"/>
        <v>105442</v>
      </c>
      <c r="R1190" s="827">
        <f t="shared" si="215"/>
        <v>96.3468567251462</v>
      </c>
    </row>
    <row r="1191" spans="2:18" ht="12.75">
      <c r="B1191" s="174">
        <f t="shared" si="216"/>
        <v>30</v>
      </c>
      <c r="C1191" s="165"/>
      <c r="D1191" s="165"/>
      <c r="E1191" s="204"/>
      <c r="F1191" s="170">
        <v>633</v>
      </c>
      <c r="G1191" s="292" t="s">
        <v>294</v>
      </c>
      <c r="H1191" s="206">
        <v>600</v>
      </c>
      <c r="I1191" s="206">
        <v>594</v>
      </c>
      <c r="J1191" s="823">
        <f t="shared" si="217"/>
        <v>99</v>
      </c>
      <c r="K1191" s="168"/>
      <c r="L1191" s="182"/>
      <c r="M1191" s="172"/>
      <c r="N1191" s="823"/>
      <c r="O1191" s="168"/>
      <c r="P1191" s="176">
        <f t="shared" si="213"/>
        <v>600</v>
      </c>
      <c r="Q1191" s="176">
        <f t="shared" si="214"/>
        <v>594</v>
      </c>
      <c r="R1191" s="827">
        <f t="shared" si="215"/>
        <v>99</v>
      </c>
    </row>
    <row r="1192" spans="2:18" ht="12.75">
      <c r="B1192" s="174">
        <f t="shared" si="216"/>
        <v>31</v>
      </c>
      <c r="C1192" s="165"/>
      <c r="D1192" s="165"/>
      <c r="E1192" s="204"/>
      <c r="F1192" s="170">
        <v>635</v>
      </c>
      <c r="G1192" s="292" t="s">
        <v>311</v>
      </c>
      <c r="H1192" s="206">
        <v>3300</v>
      </c>
      <c r="I1192" s="206">
        <v>3275</v>
      </c>
      <c r="J1192" s="823">
        <f t="shared" si="217"/>
        <v>99.24242424242425</v>
      </c>
      <c r="K1192" s="168"/>
      <c r="L1192" s="182"/>
      <c r="M1192" s="172"/>
      <c r="N1192" s="823"/>
      <c r="O1192" s="168"/>
      <c r="P1192" s="176">
        <f t="shared" si="213"/>
        <v>3300</v>
      </c>
      <c r="Q1192" s="176">
        <f t="shared" si="214"/>
        <v>3275</v>
      </c>
      <c r="R1192" s="827">
        <f t="shared" si="215"/>
        <v>99.24242424242425</v>
      </c>
    </row>
    <row r="1193" spans="2:18" ht="12.75">
      <c r="B1193" s="174">
        <f t="shared" si="216"/>
        <v>32</v>
      </c>
      <c r="C1193" s="165"/>
      <c r="D1193" s="165"/>
      <c r="E1193" s="204"/>
      <c r="F1193" s="170">
        <v>637</v>
      </c>
      <c r="G1193" s="292" t="s">
        <v>295</v>
      </c>
      <c r="H1193" s="206">
        <v>7500</v>
      </c>
      <c r="I1193" s="206">
        <v>6795</v>
      </c>
      <c r="J1193" s="823">
        <f t="shared" si="217"/>
        <v>90.60000000000001</v>
      </c>
      <c r="K1193" s="168"/>
      <c r="L1193" s="182"/>
      <c r="M1193" s="172"/>
      <c r="N1193" s="823"/>
      <c r="O1193" s="168"/>
      <c r="P1193" s="176">
        <f t="shared" si="213"/>
        <v>7500</v>
      </c>
      <c r="Q1193" s="176">
        <f t="shared" si="214"/>
        <v>6795</v>
      </c>
      <c r="R1193" s="827">
        <f t="shared" si="215"/>
        <v>90.60000000000001</v>
      </c>
    </row>
    <row r="1194" spans="2:18" ht="12.75">
      <c r="B1194" s="174">
        <f t="shared" si="216"/>
        <v>33</v>
      </c>
      <c r="C1194" s="165"/>
      <c r="D1194" s="165"/>
      <c r="E1194" s="204"/>
      <c r="F1194" s="170">
        <v>717</v>
      </c>
      <c r="G1194" s="292" t="s">
        <v>748</v>
      </c>
      <c r="H1194" s="206"/>
      <c r="I1194" s="206"/>
      <c r="J1194" s="823"/>
      <c r="K1194" s="168"/>
      <c r="L1194" s="182">
        <v>1865</v>
      </c>
      <c r="M1194" s="172">
        <v>1865</v>
      </c>
      <c r="N1194" s="823">
        <f>M1194/L1194*100</f>
        <v>100</v>
      </c>
      <c r="O1194" s="168"/>
      <c r="P1194" s="176">
        <f t="shared" si="213"/>
        <v>1865</v>
      </c>
      <c r="Q1194" s="176">
        <f t="shared" si="214"/>
        <v>1865</v>
      </c>
      <c r="R1194" s="827">
        <f t="shared" si="215"/>
        <v>100</v>
      </c>
    </row>
    <row r="1195" spans="2:18" ht="12.75">
      <c r="B1195" s="174">
        <f t="shared" si="216"/>
        <v>34</v>
      </c>
      <c r="C1195" s="165"/>
      <c r="D1195" s="165"/>
      <c r="E1195" s="204"/>
      <c r="F1195" s="170"/>
      <c r="G1195" s="292"/>
      <c r="H1195" s="206"/>
      <c r="I1195" s="206"/>
      <c r="J1195" s="823"/>
      <c r="K1195" s="168"/>
      <c r="L1195" s="182"/>
      <c r="M1195" s="172"/>
      <c r="N1195" s="823"/>
      <c r="O1195" s="168"/>
      <c r="P1195" s="176"/>
      <c r="Q1195" s="176"/>
      <c r="R1195" s="827"/>
    </row>
    <row r="1196" spans="2:18" ht="12.75">
      <c r="B1196" s="174">
        <f t="shared" si="216"/>
        <v>35</v>
      </c>
      <c r="C1196" s="165"/>
      <c r="D1196" s="165"/>
      <c r="E1196" s="204" t="s">
        <v>318</v>
      </c>
      <c r="F1196" s="170">
        <v>637</v>
      </c>
      <c r="G1196" s="307" t="s">
        <v>377</v>
      </c>
      <c r="H1196" s="206">
        <v>1760</v>
      </c>
      <c r="I1196" s="206">
        <v>1614</v>
      </c>
      <c r="J1196" s="823">
        <f>I1196/H1196*100</f>
        <v>91.70454545454545</v>
      </c>
      <c r="K1196" s="168"/>
      <c r="L1196" s="182"/>
      <c r="M1196" s="172"/>
      <c r="N1196" s="823"/>
      <c r="O1196" s="168"/>
      <c r="P1196" s="176">
        <f aca="true" t="shared" si="218" ref="P1196:Q1198">H1196+L1196</f>
        <v>1760</v>
      </c>
      <c r="Q1196" s="176">
        <f t="shared" si="218"/>
        <v>1614</v>
      </c>
      <c r="R1196" s="827">
        <f>Q1196/P1196*100</f>
        <v>91.70454545454545</v>
      </c>
    </row>
    <row r="1197" spans="2:18" ht="12.75">
      <c r="B1197" s="174">
        <f t="shared" si="216"/>
        <v>36</v>
      </c>
      <c r="C1197" s="165"/>
      <c r="D1197" s="165"/>
      <c r="E1197" s="204" t="s">
        <v>318</v>
      </c>
      <c r="F1197" s="170">
        <v>637</v>
      </c>
      <c r="G1197" s="307" t="s">
        <v>714</v>
      </c>
      <c r="H1197" s="206">
        <v>1200</v>
      </c>
      <c r="I1197" s="206">
        <v>1100</v>
      </c>
      <c r="J1197" s="823">
        <f>I1197/H1197*100</f>
        <v>91.66666666666666</v>
      </c>
      <c r="K1197" s="168"/>
      <c r="L1197" s="182"/>
      <c r="M1197" s="172"/>
      <c r="N1197" s="823"/>
      <c r="O1197" s="168"/>
      <c r="P1197" s="176">
        <f t="shared" si="218"/>
        <v>1200</v>
      </c>
      <c r="Q1197" s="176">
        <f t="shared" si="218"/>
        <v>1100</v>
      </c>
      <c r="R1197" s="827">
        <f>Q1197/P1197*100</f>
        <v>91.66666666666666</v>
      </c>
    </row>
    <row r="1198" spans="2:18" ht="12.75">
      <c r="B1198" s="174">
        <f t="shared" si="216"/>
        <v>37</v>
      </c>
      <c r="C1198" s="165"/>
      <c r="D1198" s="165"/>
      <c r="E1198" s="204" t="s">
        <v>318</v>
      </c>
      <c r="F1198" s="170">
        <v>633</v>
      </c>
      <c r="G1198" s="307" t="s">
        <v>715</v>
      </c>
      <c r="H1198" s="206">
        <v>110</v>
      </c>
      <c r="I1198" s="206">
        <v>110</v>
      </c>
      <c r="J1198" s="823">
        <f>I1198/H1198*100</f>
        <v>100</v>
      </c>
      <c r="K1198" s="168"/>
      <c r="L1198" s="182"/>
      <c r="M1198" s="172"/>
      <c r="N1198" s="823"/>
      <c r="O1198" s="168"/>
      <c r="P1198" s="176">
        <f t="shared" si="218"/>
        <v>110</v>
      </c>
      <c r="Q1198" s="176">
        <f t="shared" si="218"/>
        <v>110</v>
      </c>
      <c r="R1198" s="827">
        <f>Q1198/P1198*100</f>
        <v>100</v>
      </c>
    </row>
    <row r="1199" spans="2:18" ht="12.75">
      <c r="B1199" s="174">
        <f t="shared" si="216"/>
        <v>38</v>
      </c>
      <c r="C1199" s="165"/>
      <c r="D1199" s="165"/>
      <c r="E1199" s="204"/>
      <c r="F1199" s="170"/>
      <c r="G1199" s="307"/>
      <c r="H1199" s="206"/>
      <c r="I1199" s="206"/>
      <c r="J1199" s="823"/>
      <c r="K1199" s="168"/>
      <c r="L1199" s="182"/>
      <c r="M1199" s="172"/>
      <c r="N1199" s="823"/>
      <c r="O1199" s="168"/>
      <c r="P1199" s="176"/>
      <c r="Q1199" s="176">
        <f aca="true" t="shared" si="219" ref="Q1199:Q1204">I1199+M1199</f>
        <v>0</v>
      </c>
      <c r="R1199" s="827"/>
    </row>
    <row r="1200" spans="2:18" ht="12.75">
      <c r="B1200" s="174">
        <f t="shared" si="216"/>
        <v>39</v>
      </c>
      <c r="C1200" s="165"/>
      <c r="D1200" s="165"/>
      <c r="E1200" s="204" t="s">
        <v>318</v>
      </c>
      <c r="F1200" s="203">
        <v>630</v>
      </c>
      <c r="G1200" s="345" t="s">
        <v>578</v>
      </c>
      <c r="H1200" s="243">
        <f>12600+830</f>
        <v>13430</v>
      </c>
      <c r="I1200" s="243">
        <v>13297</v>
      </c>
      <c r="J1200" s="823">
        <f>I1200/H1200*100</f>
        <v>99.0096798212956</v>
      </c>
      <c r="K1200" s="168"/>
      <c r="L1200" s="182"/>
      <c r="M1200" s="172"/>
      <c r="N1200" s="823"/>
      <c r="O1200" s="168"/>
      <c r="P1200" s="413">
        <f>H1200+L1200</f>
        <v>13430</v>
      </c>
      <c r="Q1200" s="413">
        <f t="shared" si="219"/>
        <v>13297</v>
      </c>
      <c r="R1200" s="827">
        <f>Q1200/P1200*100</f>
        <v>99.0096798212956</v>
      </c>
    </row>
    <row r="1201" spans="2:18" ht="12.75">
      <c r="B1201" s="174">
        <f t="shared" si="216"/>
        <v>40</v>
      </c>
      <c r="C1201" s="165"/>
      <c r="D1201" s="165"/>
      <c r="E1201" s="204" t="s">
        <v>318</v>
      </c>
      <c r="F1201" s="203">
        <v>630</v>
      </c>
      <c r="G1201" s="345" t="s">
        <v>579</v>
      </c>
      <c r="H1201" s="243">
        <v>36580</v>
      </c>
      <c r="I1201" s="243">
        <f>30870+522</f>
        <v>31392</v>
      </c>
      <c r="J1201" s="823">
        <f>I1201/H1201*100</f>
        <v>85.81738655002734</v>
      </c>
      <c r="K1201" s="168"/>
      <c r="L1201" s="182"/>
      <c r="M1201" s="172"/>
      <c r="N1201" s="823"/>
      <c r="O1201" s="168"/>
      <c r="P1201" s="413">
        <f>H1201+L1201</f>
        <v>36580</v>
      </c>
      <c r="Q1201" s="413">
        <f t="shared" si="219"/>
        <v>31392</v>
      </c>
      <c r="R1201" s="827">
        <f>Q1201/P1201*100</f>
        <v>85.81738655002734</v>
      </c>
    </row>
    <row r="1202" spans="2:18" ht="12.75">
      <c r="B1202" s="174">
        <f t="shared" si="216"/>
        <v>41</v>
      </c>
      <c r="C1202" s="165"/>
      <c r="D1202" s="165"/>
      <c r="E1202" s="204" t="s">
        <v>318</v>
      </c>
      <c r="F1202" s="203">
        <v>717</v>
      </c>
      <c r="G1202" s="345" t="s">
        <v>579</v>
      </c>
      <c r="H1202" s="348">
        <v>0</v>
      </c>
      <c r="I1202" s="348"/>
      <c r="J1202" s="823"/>
      <c r="K1202" s="168"/>
      <c r="L1202" s="670">
        <f>6210-1865</f>
        <v>4345</v>
      </c>
      <c r="M1202" s="565">
        <v>0</v>
      </c>
      <c r="N1202" s="823">
        <f>M1202/L1202*100</f>
        <v>0</v>
      </c>
      <c r="O1202" s="168"/>
      <c r="P1202" s="413">
        <f>H1202+L1202</f>
        <v>4345</v>
      </c>
      <c r="Q1202" s="413">
        <f t="shared" si="219"/>
        <v>0</v>
      </c>
      <c r="R1202" s="827">
        <f>Q1202/P1202*100</f>
        <v>0</v>
      </c>
    </row>
    <row r="1203" spans="2:18" ht="12.75">
      <c r="B1203" s="174">
        <f t="shared" si="216"/>
        <v>42</v>
      </c>
      <c r="C1203" s="165"/>
      <c r="D1203" s="165"/>
      <c r="E1203" s="204" t="s">
        <v>318</v>
      </c>
      <c r="F1203" s="203">
        <v>630</v>
      </c>
      <c r="G1203" s="345" t="s">
        <v>659</v>
      </c>
      <c r="H1203" s="348">
        <v>1091</v>
      </c>
      <c r="I1203" s="348">
        <v>1091</v>
      </c>
      <c r="J1203" s="823">
        <f>I1203/H1203*100</f>
        <v>100</v>
      </c>
      <c r="K1203" s="168"/>
      <c r="L1203" s="208"/>
      <c r="M1203" s="167"/>
      <c r="N1203" s="823"/>
      <c r="O1203" s="168"/>
      <c r="P1203" s="413">
        <f>H1203+L1203</f>
        <v>1091</v>
      </c>
      <c r="Q1203" s="413">
        <f t="shared" si="219"/>
        <v>1091</v>
      </c>
      <c r="R1203" s="827">
        <f>Q1203/P1203*100</f>
        <v>100</v>
      </c>
    </row>
    <row r="1204" spans="2:18" ht="12.75">
      <c r="B1204" s="174">
        <f t="shared" si="216"/>
        <v>43</v>
      </c>
      <c r="C1204" s="165"/>
      <c r="D1204" s="165"/>
      <c r="E1204" s="204" t="s">
        <v>318</v>
      </c>
      <c r="F1204" s="170">
        <v>720</v>
      </c>
      <c r="G1204" s="307" t="s">
        <v>609</v>
      </c>
      <c r="H1204" s="211"/>
      <c r="I1204" s="211"/>
      <c r="J1204" s="823"/>
      <c r="K1204" s="168"/>
      <c r="L1204" s="208">
        <v>54000</v>
      </c>
      <c r="M1204" s="167">
        <v>54000</v>
      </c>
      <c r="N1204" s="823">
        <f>M1204/L1204*100</f>
        <v>100</v>
      </c>
      <c r="O1204" s="168"/>
      <c r="P1204" s="210">
        <f>L1204</f>
        <v>54000</v>
      </c>
      <c r="Q1204" s="210">
        <f t="shared" si="219"/>
        <v>54000</v>
      </c>
      <c r="R1204" s="827">
        <f>Q1204/P1204*100</f>
        <v>100</v>
      </c>
    </row>
    <row r="1205" spans="2:18" ht="12.75">
      <c r="B1205" s="174">
        <f t="shared" si="216"/>
        <v>44</v>
      </c>
      <c r="C1205" s="165"/>
      <c r="D1205" s="165"/>
      <c r="E1205" s="204"/>
      <c r="F1205" s="170"/>
      <c r="G1205" s="307"/>
      <c r="H1205" s="211"/>
      <c r="I1205" s="211"/>
      <c r="J1205" s="823"/>
      <c r="K1205" s="168"/>
      <c r="L1205" s="208"/>
      <c r="M1205" s="167"/>
      <c r="N1205" s="823"/>
      <c r="O1205" s="168"/>
      <c r="P1205" s="210"/>
      <c r="Q1205" s="210"/>
      <c r="R1205" s="827"/>
    </row>
    <row r="1206" spans="2:18" ht="15.75">
      <c r="B1206" s="174">
        <f t="shared" si="216"/>
        <v>45</v>
      </c>
      <c r="C1206" s="27">
        <v>4</v>
      </c>
      <c r="D1206" s="160" t="s">
        <v>117</v>
      </c>
      <c r="E1206" s="28"/>
      <c r="F1206" s="28"/>
      <c r="G1206" s="291"/>
      <c r="H1206" s="230">
        <v>0</v>
      </c>
      <c r="I1206" s="618">
        <v>0</v>
      </c>
      <c r="J1206" s="823"/>
      <c r="K1206" s="96"/>
      <c r="L1206" s="296">
        <v>0</v>
      </c>
      <c r="M1206" s="664">
        <v>0</v>
      </c>
      <c r="N1206" s="823"/>
      <c r="O1206" s="96"/>
      <c r="P1206" s="299">
        <f>H1206+L1206</f>
        <v>0</v>
      </c>
      <c r="Q1206" s="608">
        <v>0</v>
      </c>
      <c r="R1206" s="827"/>
    </row>
    <row r="1207" spans="2:18" ht="16.5" thickBot="1">
      <c r="B1207" s="666">
        <f t="shared" si="216"/>
        <v>46</v>
      </c>
      <c r="C1207" s="32">
        <v>5</v>
      </c>
      <c r="D1207" s="302" t="s">
        <v>265</v>
      </c>
      <c r="E1207" s="33"/>
      <c r="F1207" s="33"/>
      <c r="G1207" s="294"/>
      <c r="H1207" s="667">
        <v>0</v>
      </c>
      <c r="I1207" s="668">
        <v>0</v>
      </c>
      <c r="J1207" s="824"/>
      <c r="K1207" s="96"/>
      <c r="L1207" s="671">
        <v>18320</v>
      </c>
      <c r="M1207" s="668">
        <v>18312</v>
      </c>
      <c r="N1207" s="824">
        <f>M1207/L1207*100</f>
        <v>99.95633187772926</v>
      </c>
      <c r="O1207" s="96"/>
      <c r="P1207" s="301">
        <f>H1207+L1207</f>
        <v>18320</v>
      </c>
      <c r="Q1207" s="613">
        <f>I1207+M1207</f>
        <v>18312</v>
      </c>
      <c r="R1207" s="828">
        <f>Q1207/P1207*100</f>
        <v>99.95633187772926</v>
      </c>
    </row>
    <row r="1255" spans="2:16" ht="27.75" thickBot="1">
      <c r="B1255" s="379" t="s">
        <v>266</v>
      </c>
      <c r="C1255" s="379"/>
      <c r="D1255" s="379"/>
      <c r="E1255" s="379"/>
      <c r="F1255" s="379"/>
      <c r="G1255" s="379"/>
      <c r="H1255" s="379"/>
      <c r="I1255" s="379"/>
      <c r="J1255" s="619"/>
      <c r="K1255" s="602"/>
      <c r="L1255" s="379"/>
      <c r="M1255" s="379"/>
      <c r="N1255" s="619"/>
      <c r="O1255" s="602"/>
      <c r="P1255" s="379"/>
    </row>
    <row r="1256" spans="2:18" ht="13.5" thickBot="1">
      <c r="B1256" s="1037" t="s">
        <v>236</v>
      </c>
      <c r="C1256" s="1038"/>
      <c r="D1256" s="1038"/>
      <c r="E1256" s="1038"/>
      <c r="F1256" s="1038"/>
      <c r="G1256" s="1038"/>
      <c r="H1256" s="1038"/>
      <c r="I1256" s="1038"/>
      <c r="J1256" s="1038"/>
      <c r="K1256" s="1038"/>
      <c r="L1256" s="1038"/>
      <c r="M1256" s="592"/>
      <c r="N1256" s="829"/>
      <c r="O1256" s="673"/>
      <c r="P1256" s="1052" t="s">
        <v>627</v>
      </c>
      <c r="Q1256" s="1040" t="s">
        <v>772</v>
      </c>
      <c r="R1256" s="1047" t="s">
        <v>774</v>
      </c>
    </row>
    <row r="1257" spans="2:18" ht="20.25" customHeight="1">
      <c r="B1257" s="26"/>
      <c r="C1257" s="1043" t="s">
        <v>613</v>
      </c>
      <c r="D1257" s="1045" t="s">
        <v>612</v>
      </c>
      <c r="E1257" s="1045" t="s">
        <v>610</v>
      </c>
      <c r="F1257" s="1045" t="s">
        <v>611</v>
      </c>
      <c r="G1257" s="288" t="s">
        <v>4</v>
      </c>
      <c r="H1257" s="1027" t="s">
        <v>662</v>
      </c>
      <c r="I1257" s="1033" t="s">
        <v>772</v>
      </c>
      <c r="J1257" s="1035" t="s">
        <v>774</v>
      </c>
      <c r="K1257" s="30"/>
      <c r="L1257" s="1050" t="s">
        <v>663</v>
      </c>
      <c r="M1257" s="1033" t="s">
        <v>772</v>
      </c>
      <c r="N1257" s="1035" t="s">
        <v>774</v>
      </c>
      <c r="O1257" s="30"/>
      <c r="P1257" s="1053"/>
      <c r="Q1257" s="1041"/>
      <c r="R1257" s="1048"/>
    </row>
    <row r="1258" spans="2:18" ht="33.75" customHeight="1" thickBot="1">
      <c r="B1258" s="29"/>
      <c r="C1258" s="1044"/>
      <c r="D1258" s="1044"/>
      <c r="E1258" s="1044"/>
      <c r="F1258" s="1044"/>
      <c r="G1258" s="289"/>
      <c r="H1258" s="1029"/>
      <c r="I1258" s="1034"/>
      <c r="J1258" s="1046"/>
      <c r="K1258" s="30"/>
      <c r="L1258" s="1051"/>
      <c r="M1258" s="1034"/>
      <c r="N1258" s="1046"/>
      <c r="O1258" s="30"/>
      <c r="P1258" s="1054"/>
      <c r="Q1258" s="1042"/>
      <c r="R1258" s="1049"/>
    </row>
    <row r="1259" spans="2:18" ht="19.5" thickBot="1" thickTop="1">
      <c r="B1259" s="224">
        <v>1</v>
      </c>
      <c r="C1259" s="158" t="s">
        <v>267</v>
      </c>
      <c r="D1259" s="125"/>
      <c r="E1259" s="125"/>
      <c r="F1259" s="125"/>
      <c r="G1259" s="309"/>
      <c r="H1259" s="225">
        <f>H1260+H1306+H1316+H1319+H1321+H1330</f>
        <v>4407152</v>
      </c>
      <c r="I1259" s="593">
        <f>I1260+I1306+I1316+I1319+I1321+I1330</f>
        <v>4392151</v>
      </c>
      <c r="J1259" s="737">
        <f aca="true" t="shared" si="220" ref="J1259:J1279">I1259/H1259*100</f>
        <v>99.65962145167673</v>
      </c>
      <c r="K1259" s="127"/>
      <c r="L1259" s="295">
        <f>L1260+L1306+L1316+L1319+L1321+L1330</f>
        <v>285390</v>
      </c>
      <c r="M1259" s="593">
        <f>M1260+M1306+M1316+M1319+M1321+M1330</f>
        <v>284911</v>
      </c>
      <c r="N1259" s="822">
        <f>M1259/L1259*100</f>
        <v>99.83215950103367</v>
      </c>
      <c r="O1259" s="127"/>
      <c r="P1259" s="298">
        <f aca="true" t="shared" si="221" ref="P1259:P1279">H1259+L1259</f>
        <v>4692542</v>
      </c>
      <c r="Q1259" s="607">
        <f aca="true" t="shared" si="222" ref="Q1259:Q1279">I1259+M1259</f>
        <v>4677062</v>
      </c>
      <c r="R1259" s="826">
        <f aca="true" t="shared" si="223" ref="R1259:R1289">Q1259/P1259*100</f>
        <v>99.67011483328227</v>
      </c>
    </row>
    <row r="1260" spans="2:18" ht="16.5" thickTop="1">
      <c r="B1260" s="224">
        <f aca="true" t="shared" si="224" ref="B1260:B1291">B1259+1</f>
        <v>2</v>
      </c>
      <c r="C1260" s="27">
        <v>1</v>
      </c>
      <c r="D1260" s="160" t="s">
        <v>1</v>
      </c>
      <c r="E1260" s="28"/>
      <c r="F1260" s="28"/>
      <c r="G1260" s="291"/>
      <c r="H1260" s="226">
        <f>H1261+H1271+H1291+H1301+H1281</f>
        <v>1164307</v>
      </c>
      <c r="I1260" s="594">
        <f>I1261+I1271+I1281+I1291+I1300</f>
        <v>1156219</v>
      </c>
      <c r="J1260" s="822">
        <f t="shared" si="220"/>
        <v>99.3053378533325</v>
      </c>
      <c r="K1260" s="96"/>
      <c r="L1260" s="351">
        <f>L1271+L1303+L1304</f>
        <v>47671</v>
      </c>
      <c r="M1260" s="594">
        <f>M1261+M1271+M1281+M1303+M1304</f>
        <v>47192</v>
      </c>
      <c r="N1260" s="823">
        <f>M1260/L1260*100</f>
        <v>98.99519624090118</v>
      </c>
      <c r="O1260" s="96"/>
      <c r="P1260" s="299">
        <f t="shared" si="221"/>
        <v>1211978</v>
      </c>
      <c r="Q1260" s="608">
        <f t="shared" si="222"/>
        <v>1203411</v>
      </c>
      <c r="R1260" s="827">
        <f t="shared" si="223"/>
        <v>99.293138984371</v>
      </c>
    </row>
    <row r="1261" spans="2:18" ht="12.75">
      <c r="B1261" s="224">
        <f t="shared" si="224"/>
        <v>3</v>
      </c>
      <c r="C1261" s="187"/>
      <c r="D1261" s="494"/>
      <c r="E1261" s="477" t="s">
        <v>319</v>
      </c>
      <c r="F1261" s="478" t="s">
        <v>749</v>
      </c>
      <c r="G1261" s="478"/>
      <c r="H1261" s="479">
        <f>H1262+H1263+H1264</f>
        <v>34555</v>
      </c>
      <c r="I1261" s="479">
        <f>I1262+I1263+I1264+I1270</f>
        <v>32289</v>
      </c>
      <c r="J1261" s="823">
        <f t="shared" si="220"/>
        <v>93.44233830125887</v>
      </c>
      <c r="K1261" s="199"/>
      <c r="L1261" s="495">
        <v>0</v>
      </c>
      <c r="M1261" s="495">
        <v>0</v>
      </c>
      <c r="N1261" s="823"/>
      <c r="O1261" s="199"/>
      <c r="P1261" s="496">
        <f t="shared" si="221"/>
        <v>34555</v>
      </c>
      <c r="Q1261" s="496">
        <f t="shared" si="222"/>
        <v>32289</v>
      </c>
      <c r="R1261" s="827">
        <f t="shared" si="223"/>
        <v>93.44233830125887</v>
      </c>
    </row>
    <row r="1262" spans="2:18" ht="12.75">
      <c r="B1262" s="224">
        <f t="shared" si="224"/>
        <v>4</v>
      </c>
      <c r="C1262" s="187"/>
      <c r="D1262" s="188"/>
      <c r="E1262" s="196"/>
      <c r="F1262" s="196">
        <v>610</v>
      </c>
      <c r="G1262" s="307" t="s">
        <v>307</v>
      </c>
      <c r="H1262" s="207">
        <f>15400+1200</f>
        <v>16600</v>
      </c>
      <c r="I1262" s="207">
        <v>16249</v>
      </c>
      <c r="J1262" s="823">
        <f t="shared" si="220"/>
        <v>97.8855421686747</v>
      </c>
      <c r="K1262" s="199"/>
      <c r="L1262" s="192"/>
      <c r="M1262" s="192"/>
      <c r="N1262" s="823"/>
      <c r="O1262" s="199"/>
      <c r="P1262" s="218">
        <f t="shared" si="221"/>
        <v>16600</v>
      </c>
      <c r="Q1262" s="218">
        <f t="shared" si="222"/>
        <v>16249</v>
      </c>
      <c r="R1262" s="827">
        <f t="shared" si="223"/>
        <v>97.8855421686747</v>
      </c>
    </row>
    <row r="1263" spans="2:18" ht="12.75">
      <c r="B1263" s="224">
        <f t="shared" si="224"/>
        <v>5</v>
      </c>
      <c r="C1263" s="187"/>
      <c r="D1263" s="188"/>
      <c r="E1263" s="170"/>
      <c r="F1263" s="196">
        <v>620</v>
      </c>
      <c r="G1263" s="307" t="s">
        <v>309</v>
      </c>
      <c r="H1263" s="207">
        <f>5690+160</f>
        <v>5850</v>
      </c>
      <c r="I1263" s="207">
        <v>5819</v>
      </c>
      <c r="J1263" s="823">
        <f t="shared" si="220"/>
        <v>99.47008547008546</v>
      </c>
      <c r="K1263" s="199"/>
      <c r="L1263" s="192"/>
      <c r="M1263" s="192"/>
      <c r="N1263" s="823"/>
      <c r="O1263" s="199"/>
      <c r="P1263" s="218">
        <f t="shared" si="221"/>
        <v>5850</v>
      </c>
      <c r="Q1263" s="218">
        <f t="shared" si="222"/>
        <v>5819</v>
      </c>
      <c r="R1263" s="827">
        <f t="shared" si="223"/>
        <v>99.47008547008546</v>
      </c>
    </row>
    <row r="1264" spans="2:18" ht="12.75">
      <c r="B1264" s="224">
        <f t="shared" si="224"/>
        <v>6</v>
      </c>
      <c r="C1264" s="187"/>
      <c r="D1264" s="188"/>
      <c r="E1264" s="170"/>
      <c r="F1264" s="196">
        <v>630</v>
      </c>
      <c r="G1264" s="307" t="s">
        <v>297</v>
      </c>
      <c r="H1264" s="207">
        <f>SUM(H1265:H1270)</f>
        <v>12105</v>
      </c>
      <c r="I1264" s="207">
        <f>SUM(I1265:I1269)</f>
        <v>10120</v>
      </c>
      <c r="J1264" s="823">
        <f t="shared" si="220"/>
        <v>83.60181743081372</v>
      </c>
      <c r="K1264" s="199"/>
      <c r="L1264" s="192"/>
      <c r="M1264" s="192"/>
      <c r="N1264" s="823"/>
      <c r="O1264" s="199"/>
      <c r="P1264" s="218">
        <f t="shared" si="221"/>
        <v>12105</v>
      </c>
      <c r="Q1264" s="218">
        <f t="shared" si="222"/>
        <v>10120</v>
      </c>
      <c r="R1264" s="827">
        <f t="shared" si="223"/>
        <v>83.60181743081372</v>
      </c>
    </row>
    <row r="1265" spans="2:18" ht="12.75">
      <c r="B1265" s="224">
        <f t="shared" si="224"/>
        <v>7</v>
      </c>
      <c r="C1265" s="187"/>
      <c r="D1265" s="188"/>
      <c r="E1265" s="170"/>
      <c r="F1265" s="170">
        <v>632</v>
      </c>
      <c r="G1265" s="292" t="s">
        <v>293</v>
      </c>
      <c r="H1265" s="206">
        <v>2550</v>
      </c>
      <c r="I1265" s="206">
        <v>1644</v>
      </c>
      <c r="J1265" s="823">
        <f t="shared" si="220"/>
        <v>64.47058823529412</v>
      </c>
      <c r="K1265" s="199"/>
      <c r="L1265" s="192"/>
      <c r="M1265" s="192"/>
      <c r="N1265" s="823"/>
      <c r="O1265" s="199"/>
      <c r="P1265" s="219">
        <f t="shared" si="221"/>
        <v>2550</v>
      </c>
      <c r="Q1265" s="219">
        <f t="shared" si="222"/>
        <v>1644</v>
      </c>
      <c r="R1265" s="827">
        <f t="shared" si="223"/>
        <v>64.47058823529412</v>
      </c>
    </row>
    <row r="1266" spans="2:18" ht="12.75">
      <c r="B1266" s="224">
        <f t="shared" si="224"/>
        <v>8</v>
      </c>
      <c r="C1266" s="187"/>
      <c r="D1266" s="188"/>
      <c r="E1266" s="170"/>
      <c r="F1266" s="170">
        <v>633</v>
      </c>
      <c r="G1266" s="292" t="s">
        <v>294</v>
      </c>
      <c r="H1266" s="206">
        <v>2585</v>
      </c>
      <c r="I1266" s="206">
        <v>2510</v>
      </c>
      <c r="J1266" s="823">
        <f t="shared" si="220"/>
        <v>97.09864603481626</v>
      </c>
      <c r="K1266" s="199"/>
      <c r="L1266" s="192"/>
      <c r="M1266" s="192"/>
      <c r="N1266" s="823"/>
      <c r="O1266" s="199"/>
      <c r="P1266" s="219">
        <f t="shared" si="221"/>
        <v>2585</v>
      </c>
      <c r="Q1266" s="219">
        <f t="shared" si="222"/>
        <v>2510</v>
      </c>
      <c r="R1266" s="827">
        <f t="shared" si="223"/>
        <v>97.09864603481626</v>
      </c>
    </row>
    <row r="1267" spans="2:18" ht="12.75">
      <c r="B1267" s="224">
        <f t="shared" si="224"/>
        <v>9</v>
      </c>
      <c r="C1267" s="187"/>
      <c r="D1267" s="188"/>
      <c r="E1267" s="170"/>
      <c r="F1267" s="170">
        <v>634</v>
      </c>
      <c r="G1267" s="292" t="s">
        <v>310</v>
      </c>
      <c r="H1267" s="206">
        <v>900</v>
      </c>
      <c r="I1267" s="206">
        <v>899</v>
      </c>
      <c r="J1267" s="823">
        <f t="shared" si="220"/>
        <v>99.8888888888889</v>
      </c>
      <c r="K1267" s="199"/>
      <c r="L1267" s="192"/>
      <c r="M1267" s="192"/>
      <c r="N1267" s="823"/>
      <c r="O1267" s="199"/>
      <c r="P1267" s="219">
        <f t="shared" si="221"/>
        <v>900</v>
      </c>
      <c r="Q1267" s="219">
        <f t="shared" si="222"/>
        <v>899</v>
      </c>
      <c r="R1267" s="827">
        <f t="shared" si="223"/>
        <v>99.8888888888889</v>
      </c>
    </row>
    <row r="1268" spans="2:18" ht="12.75">
      <c r="B1268" s="224">
        <f t="shared" si="224"/>
        <v>10</v>
      </c>
      <c r="C1268" s="187"/>
      <c r="D1268" s="188"/>
      <c r="E1268" s="188"/>
      <c r="F1268" s="170">
        <v>635</v>
      </c>
      <c r="G1268" s="292" t="s">
        <v>311</v>
      </c>
      <c r="H1268" s="206">
        <v>650</v>
      </c>
      <c r="I1268" s="206">
        <v>402</v>
      </c>
      <c r="J1268" s="823">
        <f t="shared" si="220"/>
        <v>61.846153846153854</v>
      </c>
      <c r="K1268" s="199"/>
      <c r="L1268" s="192"/>
      <c r="M1268" s="192"/>
      <c r="N1268" s="823"/>
      <c r="O1268" s="199"/>
      <c r="P1268" s="219">
        <f t="shared" si="221"/>
        <v>650</v>
      </c>
      <c r="Q1268" s="219">
        <f t="shared" si="222"/>
        <v>402</v>
      </c>
      <c r="R1268" s="827">
        <f t="shared" si="223"/>
        <v>61.846153846153854</v>
      </c>
    </row>
    <row r="1269" spans="2:18" ht="12.75">
      <c r="B1269" s="224">
        <f t="shared" si="224"/>
        <v>11</v>
      </c>
      <c r="C1269" s="187"/>
      <c r="D1269" s="188"/>
      <c r="E1269" s="188"/>
      <c r="F1269" s="170">
        <v>637</v>
      </c>
      <c r="G1269" s="292" t="s">
        <v>295</v>
      </c>
      <c r="H1269" s="206">
        <v>5310</v>
      </c>
      <c r="I1269" s="206">
        <v>4665</v>
      </c>
      <c r="J1269" s="823">
        <f t="shared" si="220"/>
        <v>87.85310734463276</v>
      </c>
      <c r="K1269" s="199"/>
      <c r="L1269" s="192"/>
      <c r="M1269" s="192"/>
      <c r="N1269" s="823"/>
      <c r="O1269" s="199"/>
      <c r="P1269" s="219">
        <f t="shared" si="221"/>
        <v>5310</v>
      </c>
      <c r="Q1269" s="219">
        <f t="shared" si="222"/>
        <v>4665</v>
      </c>
      <c r="R1269" s="827">
        <f t="shared" si="223"/>
        <v>87.85310734463276</v>
      </c>
    </row>
    <row r="1270" spans="2:18" ht="12.75">
      <c r="B1270" s="224">
        <f t="shared" si="224"/>
        <v>12</v>
      </c>
      <c r="C1270" s="187"/>
      <c r="D1270" s="188"/>
      <c r="E1270" s="188"/>
      <c r="F1270" s="196">
        <v>640</v>
      </c>
      <c r="G1270" s="307" t="s">
        <v>320</v>
      </c>
      <c r="H1270" s="207">
        <f>100+10</f>
        <v>110</v>
      </c>
      <c r="I1270" s="207">
        <v>101</v>
      </c>
      <c r="J1270" s="823">
        <f t="shared" si="220"/>
        <v>91.81818181818183</v>
      </c>
      <c r="K1270" s="199"/>
      <c r="L1270" s="192"/>
      <c r="M1270" s="192"/>
      <c r="N1270" s="823"/>
      <c r="O1270" s="199"/>
      <c r="P1270" s="219">
        <f t="shared" si="221"/>
        <v>110</v>
      </c>
      <c r="Q1270" s="219">
        <f t="shared" si="222"/>
        <v>101</v>
      </c>
      <c r="R1270" s="827">
        <f t="shared" si="223"/>
        <v>91.81818181818183</v>
      </c>
    </row>
    <row r="1271" spans="2:18" ht="12.75">
      <c r="B1271" s="224">
        <f t="shared" si="224"/>
        <v>13</v>
      </c>
      <c r="C1271" s="187"/>
      <c r="D1271" s="494"/>
      <c r="E1271" s="477" t="s">
        <v>283</v>
      </c>
      <c r="F1271" s="477"/>
      <c r="G1271" s="478" t="s">
        <v>581</v>
      </c>
      <c r="H1271" s="497">
        <f>H1272+H1273+H1274+H1279</f>
        <v>84160</v>
      </c>
      <c r="I1271" s="497">
        <f>I1272+I1273+I1274+I1279</f>
        <v>80961</v>
      </c>
      <c r="J1271" s="823">
        <f t="shared" si="220"/>
        <v>96.19890684410647</v>
      </c>
      <c r="K1271" s="199"/>
      <c r="L1271" s="495">
        <f>SUM(L1272:L1280)</f>
        <v>9900</v>
      </c>
      <c r="M1271" s="495">
        <f>SUM(M1272:M1280)</f>
        <v>9421</v>
      </c>
      <c r="N1271" s="823">
        <f>M1271/L1271*100</f>
        <v>95.16161616161615</v>
      </c>
      <c r="O1271" s="199"/>
      <c r="P1271" s="496">
        <f t="shared" si="221"/>
        <v>94060</v>
      </c>
      <c r="Q1271" s="496">
        <f t="shared" si="222"/>
        <v>90382</v>
      </c>
      <c r="R1271" s="827">
        <f t="shared" si="223"/>
        <v>96.08972995960026</v>
      </c>
    </row>
    <row r="1272" spans="2:18" ht="12.75">
      <c r="B1272" s="224">
        <f t="shared" si="224"/>
        <v>14</v>
      </c>
      <c r="C1272" s="187"/>
      <c r="D1272" s="188"/>
      <c r="E1272" s="188"/>
      <c r="F1272" s="196">
        <v>610</v>
      </c>
      <c r="G1272" s="307" t="s">
        <v>307</v>
      </c>
      <c r="H1272" s="207">
        <f>19700+1200</f>
        <v>20900</v>
      </c>
      <c r="I1272" s="207">
        <v>20899</v>
      </c>
      <c r="J1272" s="823">
        <f t="shared" si="220"/>
        <v>99.99521531100478</v>
      </c>
      <c r="K1272" s="199"/>
      <c r="L1272" s="192"/>
      <c r="M1272" s="192"/>
      <c r="N1272" s="823"/>
      <c r="O1272" s="199"/>
      <c r="P1272" s="218">
        <f t="shared" si="221"/>
        <v>20900</v>
      </c>
      <c r="Q1272" s="218">
        <f t="shared" si="222"/>
        <v>20899</v>
      </c>
      <c r="R1272" s="827">
        <f t="shared" si="223"/>
        <v>99.99521531100478</v>
      </c>
    </row>
    <row r="1273" spans="2:18" ht="12.75">
      <c r="B1273" s="224">
        <f t="shared" si="224"/>
        <v>15</v>
      </c>
      <c r="C1273" s="187"/>
      <c r="D1273" s="188"/>
      <c r="E1273" s="188"/>
      <c r="F1273" s="196">
        <v>620</v>
      </c>
      <c r="G1273" s="307" t="s">
        <v>309</v>
      </c>
      <c r="H1273" s="207">
        <f>7285+420</f>
        <v>7705</v>
      </c>
      <c r="I1273" s="207">
        <v>7705</v>
      </c>
      <c r="J1273" s="823">
        <f t="shared" si="220"/>
        <v>100</v>
      </c>
      <c r="K1273" s="199"/>
      <c r="L1273" s="192"/>
      <c r="M1273" s="192"/>
      <c r="N1273" s="823"/>
      <c r="O1273" s="199"/>
      <c r="P1273" s="218">
        <f t="shared" si="221"/>
        <v>7705</v>
      </c>
      <c r="Q1273" s="218">
        <f t="shared" si="222"/>
        <v>7705</v>
      </c>
      <c r="R1273" s="827">
        <f t="shared" si="223"/>
        <v>100</v>
      </c>
    </row>
    <row r="1274" spans="2:18" ht="12.75">
      <c r="B1274" s="224">
        <f t="shared" si="224"/>
        <v>16</v>
      </c>
      <c r="C1274" s="187"/>
      <c r="D1274" s="188"/>
      <c r="E1274" s="188"/>
      <c r="F1274" s="196">
        <v>630</v>
      </c>
      <c r="G1274" s="307" t="s">
        <v>297</v>
      </c>
      <c r="H1274" s="207">
        <f>SUM(H1275:H1278)</f>
        <v>55535</v>
      </c>
      <c r="I1274" s="207">
        <f>SUM(I1275:I1278)</f>
        <v>52346</v>
      </c>
      <c r="J1274" s="823">
        <f t="shared" si="220"/>
        <v>94.25767533987576</v>
      </c>
      <c r="K1274" s="199"/>
      <c r="L1274" s="192"/>
      <c r="M1274" s="192"/>
      <c r="N1274" s="823"/>
      <c r="O1274" s="199"/>
      <c r="P1274" s="218">
        <f t="shared" si="221"/>
        <v>55535</v>
      </c>
      <c r="Q1274" s="218">
        <f t="shared" si="222"/>
        <v>52346</v>
      </c>
      <c r="R1274" s="827">
        <f t="shared" si="223"/>
        <v>94.25767533987576</v>
      </c>
    </row>
    <row r="1275" spans="2:18" ht="12.75">
      <c r="B1275" s="224">
        <f t="shared" si="224"/>
        <v>17</v>
      </c>
      <c r="C1275" s="187"/>
      <c r="D1275" s="188"/>
      <c r="E1275" s="188"/>
      <c r="F1275" s="170">
        <v>633</v>
      </c>
      <c r="G1275" s="292" t="s">
        <v>294</v>
      </c>
      <c r="H1275" s="206">
        <v>3650</v>
      </c>
      <c r="I1275" s="206">
        <v>3614</v>
      </c>
      <c r="J1275" s="823">
        <f t="shared" si="220"/>
        <v>99.01369863013699</v>
      </c>
      <c r="K1275" s="199"/>
      <c r="L1275" s="192"/>
      <c r="M1275" s="192"/>
      <c r="N1275" s="823"/>
      <c r="O1275" s="199"/>
      <c r="P1275" s="219">
        <f t="shared" si="221"/>
        <v>3650</v>
      </c>
      <c r="Q1275" s="219">
        <f t="shared" si="222"/>
        <v>3614</v>
      </c>
      <c r="R1275" s="827">
        <f t="shared" si="223"/>
        <v>99.01369863013699</v>
      </c>
    </row>
    <row r="1276" spans="2:18" ht="12.75">
      <c r="B1276" s="224">
        <f t="shared" si="224"/>
        <v>18</v>
      </c>
      <c r="C1276" s="187"/>
      <c r="D1276" s="188"/>
      <c r="E1276" s="188"/>
      <c r="F1276" s="170">
        <v>634</v>
      </c>
      <c r="G1276" s="292" t="s">
        <v>310</v>
      </c>
      <c r="H1276" s="206">
        <f>7700+920</f>
        <v>8620</v>
      </c>
      <c r="I1276" s="206">
        <v>8611</v>
      </c>
      <c r="J1276" s="823">
        <f t="shared" si="220"/>
        <v>99.89559164733178</v>
      </c>
      <c r="K1276" s="199"/>
      <c r="L1276" s="192"/>
      <c r="M1276" s="192"/>
      <c r="N1276" s="823"/>
      <c r="O1276" s="199"/>
      <c r="P1276" s="219">
        <f t="shared" si="221"/>
        <v>8620</v>
      </c>
      <c r="Q1276" s="219">
        <f t="shared" si="222"/>
        <v>8611</v>
      </c>
      <c r="R1276" s="827">
        <f t="shared" si="223"/>
        <v>99.89559164733178</v>
      </c>
    </row>
    <row r="1277" spans="2:18" ht="12.75">
      <c r="B1277" s="224">
        <f t="shared" si="224"/>
        <v>19</v>
      </c>
      <c r="C1277" s="187"/>
      <c r="D1277" s="188"/>
      <c r="E1277" s="188"/>
      <c r="F1277" s="170">
        <v>635</v>
      </c>
      <c r="G1277" s="292" t="s">
        <v>311</v>
      </c>
      <c r="H1277" s="206">
        <v>220</v>
      </c>
      <c r="I1277" s="206">
        <v>202</v>
      </c>
      <c r="J1277" s="823">
        <f t="shared" si="220"/>
        <v>91.81818181818183</v>
      </c>
      <c r="K1277" s="199"/>
      <c r="L1277" s="192"/>
      <c r="M1277" s="192"/>
      <c r="N1277" s="823"/>
      <c r="O1277" s="199"/>
      <c r="P1277" s="219">
        <f t="shared" si="221"/>
        <v>220</v>
      </c>
      <c r="Q1277" s="219">
        <f t="shared" si="222"/>
        <v>202</v>
      </c>
      <c r="R1277" s="827">
        <f t="shared" si="223"/>
        <v>91.81818181818183</v>
      </c>
    </row>
    <row r="1278" spans="2:18" ht="12.75">
      <c r="B1278" s="224">
        <f t="shared" si="224"/>
        <v>20</v>
      </c>
      <c r="C1278" s="187"/>
      <c r="D1278" s="188"/>
      <c r="E1278" s="188"/>
      <c r="F1278" s="170">
        <v>637</v>
      </c>
      <c r="G1278" s="292" t="s">
        <v>295</v>
      </c>
      <c r="H1278" s="206">
        <f>44545-1500</f>
        <v>43045</v>
      </c>
      <c r="I1278" s="206">
        <v>39919</v>
      </c>
      <c r="J1278" s="823">
        <f t="shared" si="220"/>
        <v>92.73783250087119</v>
      </c>
      <c r="K1278" s="199"/>
      <c r="L1278" s="192"/>
      <c r="M1278" s="192"/>
      <c r="N1278" s="823"/>
      <c r="O1278" s="199"/>
      <c r="P1278" s="219">
        <f t="shared" si="221"/>
        <v>43045</v>
      </c>
      <c r="Q1278" s="219">
        <f t="shared" si="222"/>
        <v>39919</v>
      </c>
      <c r="R1278" s="827">
        <f t="shared" si="223"/>
        <v>92.73783250087119</v>
      </c>
    </row>
    <row r="1279" spans="2:18" ht="12.75">
      <c r="B1279" s="224">
        <f t="shared" si="224"/>
        <v>21</v>
      </c>
      <c r="C1279" s="187"/>
      <c r="D1279" s="188"/>
      <c r="E1279" s="188"/>
      <c r="F1279" s="202">
        <v>640</v>
      </c>
      <c r="G1279" s="307" t="s">
        <v>320</v>
      </c>
      <c r="H1279" s="207">
        <v>20</v>
      </c>
      <c r="I1279" s="207">
        <v>11</v>
      </c>
      <c r="J1279" s="823">
        <f t="shared" si="220"/>
        <v>55.00000000000001</v>
      </c>
      <c r="K1279" s="199"/>
      <c r="L1279" s="192"/>
      <c r="M1279" s="192"/>
      <c r="N1279" s="823"/>
      <c r="O1279" s="199"/>
      <c r="P1279" s="219">
        <f t="shared" si="221"/>
        <v>20</v>
      </c>
      <c r="Q1279" s="219">
        <f t="shared" si="222"/>
        <v>11</v>
      </c>
      <c r="R1279" s="827">
        <f t="shared" si="223"/>
        <v>55.00000000000001</v>
      </c>
    </row>
    <row r="1280" spans="2:18" ht="12.75">
      <c r="B1280" s="224">
        <f t="shared" si="224"/>
        <v>22</v>
      </c>
      <c r="C1280" s="187"/>
      <c r="D1280" s="188"/>
      <c r="E1280" s="188"/>
      <c r="F1280" s="522">
        <v>714</v>
      </c>
      <c r="G1280" s="324" t="s">
        <v>678</v>
      </c>
      <c r="H1280" s="206"/>
      <c r="I1280" s="206"/>
      <c r="J1280" s="823"/>
      <c r="K1280" s="199"/>
      <c r="L1280" s="186">
        <v>9900</v>
      </c>
      <c r="M1280" s="186">
        <v>9421</v>
      </c>
      <c r="N1280" s="823">
        <f>M1280/L1280*100</f>
        <v>95.16161616161615</v>
      </c>
      <c r="O1280" s="199"/>
      <c r="P1280" s="219">
        <f>L1280</f>
        <v>9900</v>
      </c>
      <c r="Q1280" s="219">
        <f aca="true" t="shared" si="225" ref="Q1280:Q1311">I1280+M1280</f>
        <v>9421</v>
      </c>
      <c r="R1280" s="827">
        <f t="shared" si="223"/>
        <v>95.16161616161615</v>
      </c>
    </row>
    <row r="1281" spans="2:18" ht="12.75">
      <c r="B1281" s="224">
        <f t="shared" si="224"/>
        <v>23</v>
      </c>
      <c r="C1281" s="187"/>
      <c r="D1281" s="494"/>
      <c r="E1281" s="477" t="s">
        <v>283</v>
      </c>
      <c r="F1281" s="477"/>
      <c r="G1281" s="478" t="s">
        <v>750</v>
      </c>
      <c r="H1281" s="497">
        <f>H1282+H1283+H1284</f>
        <v>2950</v>
      </c>
      <c r="I1281" s="497">
        <f>I1282+I1284+I1283</f>
        <v>2601</v>
      </c>
      <c r="J1281" s="823">
        <f aca="true" t="shared" si="226" ref="J1281:J1289">I1281/H1281*100</f>
        <v>88.16949152542372</v>
      </c>
      <c r="K1281" s="199"/>
      <c r="L1281" s="495">
        <f>SUM(L1282:L1290)</f>
        <v>0</v>
      </c>
      <c r="M1281" s="495"/>
      <c r="N1281" s="823"/>
      <c r="O1281" s="199"/>
      <c r="P1281" s="496">
        <f aca="true" t="shared" si="227" ref="P1281:P1289">H1281+L1281</f>
        <v>2950</v>
      </c>
      <c r="Q1281" s="496">
        <f t="shared" si="225"/>
        <v>2601</v>
      </c>
      <c r="R1281" s="827">
        <f t="shared" si="223"/>
        <v>88.16949152542372</v>
      </c>
    </row>
    <row r="1282" spans="2:18" ht="12.75">
      <c r="B1282" s="224">
        <f t="shared" si="224"/>
        <v>24</v>
      </c>
      <c r="C1282" s="187"/>
      <c r="D1282" s="188"/>
      <c r="E1282" s="188"/>
      <c r="F1282" s="196">
        <v>610</v>
      </c>
      <c r="G1282" s="307" t="s">
        <v>307</v>
      </c>
      <c r="H1282" s="207">
        <v>1350</v>
      </c>
      <c r="I1282" s="207">
        <v>1349</v>
      </c>
      <c r="J1282" s="823">
        <f t="shared" si="226"/>
        <v>99.92592592592592</v>
      </c>
      <c r="K1282" s="199"/>
      <c r="L1282" s="192"/>
      <c r="M1282" s="192"/>
      <c r="N1282" s="823"/>
      <c r="O1282" s="199"/>
      <c r="P1282" s="218">
        <f t="shared" si="227"/>
        <v>1350</v>
      </c>
      <c r="Q1282" s="218">
        <f t="shared" si="225"/>
        <v>1349</v>
      </c>
      <c r="R1282" s="827">
        <f t="shared" si="223"/>
        <v>99.92592592592592</v>
      </c>
    </row>
    <row r="1283" spans="2:18" ht="12.75">
      <c r="B1283" s="224">
        <f t="shared" si="224"/>
        <v>25</v>
      </c>
      <c r="C1283" s="187"/>
      <c r="D1283" s="188"/>
      <c r="E1283" s="188"/>
      <c r="F1283" s="196">
        <v>620</v>
      </c>
      <c r="G1283" s="307" t="s">
        <v>309</v>
      </c>
      <c r="H1283" s="207">
        <v>450</v>
      </c>
      <c r="I1283" s="207">
        <v>447</v>
      </c>
      <c r="J1283" s="823">
        <f t="shared" si="226"/>
        <v>99.33333333333333</v>
      </c>
      <c r="K1283" s="199"/>
      <c r="L1283" s="192"/>
      <c r="M1283" s="192"/>
      <c r="N1283" s="823"/>
      <c r="O1283" s="199"/>
      <c r="P1283" s="218">
        <f t="shared" si="227"/>
        <v>450</v>
      </c>
      <c r="Q1283" s="218">
        <f t="shared" si="225"/>
        <v>447</v>
      </c>
      <c r="R1283" s="827">
        <f t="shared" si="223"/>
        <v>99.33333333333333</v>
      </c>
    </row>
    <row r="1284" spans="2:18" ht="12.75">
      <c r="B1284" s="224">
        <f t="shared" si="224"/>
        <v>26</v>
      </c>
      <c r="C1284" s="187"/>
      <c r="D1284" s="188"/>
      <c r="E1284" s="188"/>
      <c r="F1284" s="196">
        <v>630</v>
      </c>
      <c r="G1284" s="307" t="s">
        <v>297</v>
      </c>
      <c r="H1284" s="207">
        <f>SUM(H1285:H1289)</f>
        <v>1150</v>
      </c>
      <c r="I1284" s="207">
        <f>SUM(I1285:I1289)</f>
        <v>805</v>
      </c>
      <c r="J1284" s="823">
        <f t="shared" si="226"/>
        <v>70</v>
      </c>
      <c r="K1284" s="199"/>
      <c r="L1284" s="192"/>
      <c r="M1284" s="192"/>
      <c r="N1284" s="823"/>
      <c r="O1284" s="199"/>
      <c r="P1284" s="218">
        <f t="shared" si="227"/>
        <v>1150</v>
      </c>
      <c r="Q1284" s="218">
        <f t="shared" si="225"/>
        <v>805</v>
      </c>
      <c r="R1284" s="827">
        <f t="shared" si="223"/>
        <v>70</v>
      </c>
    </row>
    <row r="1285" spans="2:18" ht="12.75">
      <c r="B1285" s="224">
        <f t="shared" si="224"/>
        <v>27</v>
      </c>
      <c r="C1285" s="187"/>
      <c r="D1285" s="188"/>
      <c r="E1285" s="188"/>
      <c r="F1285" s="170">
        <v>632</v>
      </c>
      <c r="G1285" s="292" t="s">
        <v>628</v>
      </c>
      <c r="H1285" s="206">
        <v>50</v>
      </c>
      <c r="I1285" s="206">
        <v>0</v>
      </c>
      <c r="J1285" s="823">
        <f t="shared" si="226"/>
        <v>0</v>
      </c>
      <c r="K1285" s="199"/>
      <c r="L1285" s="192"/>
      <c r="M1285" s="192"/>
      <c r="N1285" s="823"/>
      <c r="O1285" s="199"/>
      <c r="P1285" s="219">
        <f t="shared" si="227"/>
        <v>50</v>
      </c>
      <c r="Q1285" s="219">
        <f t="shared" si="225"/>
        <v>0</v>
      </c>
      <c r="R1285" s="827">
        <f t="shared" si="223"/>
        <v>0</v>
      </c>
    </row>
    <row r="1286" spans="2:18" ht="12.75">
      <c r="B1286" s="224">
        <f t="shared" si="224"/>
        <v>28</v>
      </c>
      <c r="C1286" s="187"/>
      <c r="D1286" s="188"/>
      <c r="E1286" s="188"/>
      <c r="F1286" s="170">
        <v>633</v>
      </c>
      <c r="G1286" s="292" t="s">
        <v>294</v>
      </c>
      <c r="H1286" s="206">
        <v>400</v>
      </c>
      <c r="I1286" s="206">
        <v>261</v>
      </c>
      <c r="J1286" s="823">
        <f t="shared" si="226"/>
        <v>65.25</v>
      </c>
      <c r="K1286" s="199"/>
      <c r="L1286" s="192"/>
      <c r="M1286" s="192"/>
      <c r="N1286" s="823"/>
      <c r="O1286" s="199"/>
      <c r="P1286" s="219">
        <f t="shared" si="227"/>
        <v>400</v>
      </c>
      <c r="Q1286" s="219">
        <f t="shared" si="225"/>
        <v>261</v>
      </c>
      <c r="R1286" s="827">
        <f t="shared" si="223"/>
        <v>65.25</v>
      </c>
    </row>
    <row r="1287" spans="2:18" ht="12.75">
      <c r="B1287" s="224">
        <f t="shared" si="224"/>
        <v>29</v>
      </c>
      <c r="C1287" s="187"/>
      <c r="D1287" s="188"/>
      <c r="E1287" s="188"/>
      <c r="F1287" s="170">
        <v>634</v>
      </c>
      <c r="G1287" s="292" t="s">
        <v>310</v>
      </c>
      <c r="H1287" s="206">
        <v>200</v>
      </c>
      <c r="I1287" s="206">
        <v>199</v>
      </c>
      <c r="J1287" s="823">
        <f t="shared" si="226"/>
        <v>99.5</v>
      </c>
      <c r="K1287" s="199"/>
      <c r="L1287" s="192"/>
      <c r="M1287" s="192"/>
      <c r="N1287" s="823"/>
      <c r="O1287" s="199"/>
      <c r="P1287" s="219">
        <f t="shared" si="227"/>
        <v>200</v>
      </c>
      <c r="Q1287" s="219">
        <f t="shared" si="225"/>
        <v>199</v>
      </c>
      <c r="R1287" s="827">
        <f t="shared" si="223"/>
        <v>99.5</v>
      </c>
    </row>
    <row r="1288" spans="2:18" ht="12.75">
      <c r="B1288" s="224">
        <f t="shared" si="224"/>
        <v>30</v>
      </c>
      <c r="C1288" s="187"/>
      <c r="D1288" s="188"/>
      <c r="E1288" s="188"/>
      <c r="F1288" s="170">
        <v>635</v>
      </c>
      <c r="G1288" s="292" t="s">
        <v>311</v>
      </c>
      <c r="H1288" s="206">
        <v>100</v>
      </c>
      <c r="I1288" s="206">
        <v>0</v>
      </c>
      <c r="J1288" s="823">
        <f t="shared" si="226"/>
        <v>0</v>
      </c>
      <c r="K1288" s="199"/>
      <c r="L1288" s="192"/>
      <c r="M1288" s="192"/>
      <c r="N1288" s="823"/>
      <c r="O1288" s="199"/>
      <c r="P1288" s="219">
        <f t="shared" si="227"/>
        <v>100</v>
      </c>
      <c r="Q1288" s="219">
        <f t="shared" si="225"/>
        <v>0</v>
      </c>
      <c r="R1288" s="827">
        <f t="shared" si="223"/>
        <v>0</v>
      </c>
    </row>
    <row r="1289" spans="2:18" ht="12.75">
      <c r="B1289" s="224">
        <f t="shared" si="224"/>
        <v>31</v>
      </c>
      <c r="C1289" s="187"/>
      <c r="D1289" s="188"/>
      <c r="E1289" s="188"/>
      <c r="F1289" s="170">
        <v>637</v>
      </c>
      <c r="G1289" s="292" t="s">
        <v>295</v>
      </c>
      <c r="H1289" s="206">
        <v>400</v>
      </c>
      <c r="I1289" s="206">
        <v>345</v>
      </c>
      <c r="J1289" s="823">
        <f t="shared" si="226"/>
        <v>86.25</v>
      </c>
      <c r="K1289" s="199"/>
      <c r="L1289" s="192"/>
      <c r="M1289" s="192"/>
      <c r="N1289" s="823"/>
      <c r="O1289" s="199"/>
      <c r="P1289" s="219">
        <f t="shared" si="227"/>
        <v>400</v>
      </c>
      <c r="Q1289" s="219">
        <f t="shared" si="225"/>
        <v>345</v>
      </c>
      <c r="R1289" s="827">
        <f t="shared" si="223"/>
        <v>86.25</v>
      </c>
    </row>
    <row r="1290" spans="2:18" ht="12.75">
      <c r="B1290" s="224">
        <f t="shared" si="224"/>
        <v>32</v>
      </c>
      <c r="C1290" s="187"/>
      <c r="D1290" s="188"/>
      <c r="E1290" s="188"/>
      <c r="F1290" s="522"/>
      <c r="G1290" s="324"/>
      <c r="H1290" s="206"/>
      <c r="I1290" s="206"/>
      <c r="J1290" s="823"/>
      <c r="K1290" s="199"/>
      <c r="L1290" s="186"/>
      <c r="M1290" s="186"/>
      <c r="N1290" s="823"/>
      <c r="O1290" s="199"/>
      <c r="P1290" s="219"/>
      <c r="Q1290" s="219">
        <f t="shared" si="225"/>
        <v>0</v>
      </c>
      <c r="R1290" s="827"/>
    </row>
    <row r="1291" spans="2:18" ht="12.75">
      <c r="B1291" s="224">
        <f t="shared" si="224"/>
        <v>33</v>
      </c>
      <c r="C1291" s="187"/>
      <c r="D1291" s="188"/>
      <c r="E1291" s="203" t="s">
        <v>283</v>
      </c>
      <c r="F1291" s="203"/>
      <c r="G1291" s="345" t="s">
        <v>1</v>
      </c>
      <c r="H1291" s="229">
        <f>SUM(H1292:H1299)</f>
        <v>1032642</v>
      </c>
      <c r="I1291" s="229">
        <f>SUM(I1292:I1299)</f>
        <v>1030666</v>
      </c>
      <c r="J1291" s="823">
        <f aca="true" t="shared" si="228" ref="J1291:J1297">I1291/H1291*100</f>
        <v>99.80864617166453</v>
      </c>
      <c r="K1291" s="199"/>
      <c r="L1291" s="192"/>
      <c r="M1291" s="192"/>
      <c r="N1291" s="823"/>
      <c r="O1291" s="199"/>
      <c r="P1291" s="363">
        <f aca="true" t="shared" si="229" ref="P1291:P1297">H1291+L1291</f>
        <v>1032642</v>
      </c>
      <c r="Q1291" s="363">
        <f t="shared" si="225"/>
        <v>1030666</v>
      </c>
      <c r="R1291" s="827">
        <f aca="true" t="shared" si="230" ref="R1291:R1297">Q1291/P1291*100</f>
        <v>99.80864617166453</v>
      </c>
    </row>
    <row r="1292" spans="2:18" ht="12.75">
      <c r="B1292" s="224">
        <f aca="true" t="shared" si="231" ref="B1292:B1323">B1291+1</f>
        <v>34</v>
      </c>
      <c r="C1292" s="165"/>
      <c r="D1292" s="166"/>
      <c r="E1292" s="166"/>
      <c r="F1292" s="166" t="s">
        <v>253</v>
      </c>
      <c r="G1292" s="292" t="s">
        <v>336</v>
      </c>
      <c r="H1292" s="206">
        <f>130000-6600+67036+10000</f>
        <v>200436</v>
      </c>
      <c r="I1292" s="206">
        <v>199623</v>
      </c>
      <c r="J1292" s="823">
        <f t="shared" si="228"/>
        <v>99.59438424235168</v>
      </c>
      <c r="K1292" s="23"/>
      <c r="L1292" s="192"/>
      <c r="M1292" s="192"/>
      <c r="N1292" s="823"/>
      <c r="O1292" s="23"/>
      <c r="P1292" s="219">
        <f t="shared" si="229"/>
        <v>200436</v>
      </c>
      <c r="Q1292" s="219">
        <f t="shared" si="225"/>
        <v>199623</v>
      </c>
      <c r="R1292" s="827">
        <f t="shared" si="230"/>
        <v>99.59438424235168</v>
      </c>
    </row>
    <row r="1293" spans="2:18" ht="12.75">
      <c r="B1293" s="224">
        <f t="shared" si="231"/>
        <v>35</v>
      </c>
      <c r="C1293" s="165"/>
      <c r="D1293" s="166"/>
      <c r="E1293" s="166"/>
      <c r="F1293" s="166" t="s">
        <v>253</v>
      </c>
      <c r="G1293" s="292" t="s">
        <v>337</v>
      </c>
      <c r="H1293" s="206">
        <f>111050-12325</f>
        <v>98725</v>
      </c>
      <c r="I1293" s="206">
        <v>97215</v>
      </c>
      <c r="J1293" s="823">
        <f t="shared" si="228"/>
        <v>98.470498860471</v>
      </c>
      <c r="K1293" s="23"/>
      <c r="L1293" s="192"/>
      <c r="M1293" s="192"/>
      <c r="N1293" s="823"/>
      <c r="O1293" s="23"/>
      <c r="P1293" s="219">
        <f t="shared" si="229"/>
        <v>98725</v>
      </c>
      <c r="Q1293" s="219">
        <f t="shared" si="225"/>
        <v>97215</v>
      </c>
      <c r="R1293" s="827">
        <f t="shared" si="230"/>
        <v>98.470498860471</v>
      </c>
    </row>
    <row r="1294" spans="2:18" ht="12.75">
      <c r="B1294" s="224">
        <f t="shared" si="231"/>
        <v>36</v>
      </c>
      <c r="C1294" s="165"/>
      <c r="D1294" s="166"/>
      <c r="E1294" s="166"/>
      <c r="F1294" s="166" t="s">
        <v>253</v>
      </c>
      <c r="G1294" s="292" t="s">
        <v>338</v>
      </c>
      <c r="H1294" s="206">
        <v>10000</v>
      </c>
      <c r="I1294" s="206">
        <v>9999</v>
      </c>
      <c r="J1294" s="823">
        <f t="shared" si="228"/>
        <v>99.99</v>
      </c>
      <c r="K1294" s="23"/>
      <c r="L1294" s="192"/>
      <c r="M1294" s="192"/>
      <c r="N1294" s="823"/>
      <c r="O1294" s="23"/>
      <c r="P1294" s="219">
        <f t="shared" si="229"/>
        <v>10000</v>
      </c>
      <c r="Q1294" s="219">
        <f t="shared" si="225"/>
        <v>9999</v>
      </c>
      <c r="R1294" s="827">
        <f t="shared" si="230"/>
        <v>99.99</v>
      </c>
    </row>
    <row r="1295" spans="2:18" ht="12.75">
      <c r="B1295" s="224">
        <f t="shared" si="231"/>
        <v>37</v>
      </c>
      <c r="C1295" s="165"/>
      <c r="D1295" s="166"/>
      <c r="E1295" s="166"/>
      <c r="F1295" s="166" t="s">
        <v>253</v>
      </c>
      <c r="G1295" s="292" t="s">
        <v>324</v>
      </c>
      <c r="H1295" s="206">
        <v>288964</v>
      </c>
      <c r="I1295" s="206">
        <v>288954</v>
      </c>
      <c r="J1295" s="823">
        <f t="shared" si="228"/>
        <v>99.99653936130453</v>
      </c>
      <c r="K1295" s="23"/>
      <c r="L1295" s="192"/>
      <c r="M1295" s="192"/>
      <c r="N1295" s="823"/>
      <c r="O1295" s="23"/>
      <c r="P1295" s="219">
        <f t="shared" si="229"/>
        <v>288964</v>
      </c>
      <c r="Q1295" s="219">
        <f t="shared" si="225"/>
        <v>288954</v>
      </c>
      <c r="R1295" s="827">
        <f t="shared" si="230"/>
        <v>99.99653936130453</v>
      </c>
    </row>
    <row r="1296" spans="2:18" ht="12.75">
      <c r="B1296" s="224">
        <f t="shared" si="231"/>
        <v>38</v>
      </c>
      <c r="C1296" s="165"/>
      <c r="D1296" s="166"/>
      <c r="E1296" s="166"/>
      <c r="F1296" s="166" t="s">
        <v>253</v>
      </c>
      <c r="G1296" s="292" t="s">
        <v>323</v>
      </c>
      <c r="H1296" s="206">
        <f>80000-56230</f>
        <v>23770</v>
      </c>
      <c r="I1296" s="206">
        <v>23770</v>
      </c>
      <c r="J1296" s="823">
        <f t="shared" si="228"/>
        <v>100</v>
      </c>
      <c r="K1296" s="23"/>
      <c r="L1296" s="192"/>
      <c r="M1296" s="192"/>
      <c r="N1296" s="823"/>
      <c r="O1296" s="23"/>
      <c r="P1296" s="219">
        <f t="shared" si="229"/>
        <v>23770</v>
      </c>
      <c r="Q1296" s="219">
        <f t="shared" si="225"/>
        <v>23770</v>
      </c>
      <c r="R1296" s="827">
        <f t="shared" si="230"/>
        <v>100</v>
      </c>
    </row>
    <row r="1297" spans="2:18" ht="12.75">
      <c r="B1297" s="224">
        <f t="shared" si="231"/>
        <v>39</v>
      </c>
      <c r="C1297" s="165"/>
      <c r="D1297" s="166"/>
      <c r="E1297" s="166"/>
      <c r="F1297" s="166" t="s">
        <v>255</v>
      </c>
      <c r="G1297" s="292" t="s">
        <v>684</v>
      </c>
      <c r="H1297" s="206">
        <v>12325</v>
      </c>
      <c r="I1297" s="206">
        <f>12325</f>
        <v>12325</v>
      </c>
      <c r="J1297" s="823">
        <f t="shared" si="228"/>
        <v>100</v>
      </c>
      <c r="K1297" s="23"/>
      <c r="L1297" s="192"/>
      <c r="M1297" s="192"/>
      <c r="N1297" s="823"/>
      <c r="O1297" s="23"/>
      <c r="P1297" s="219">
        <f t="shared" si="229"/>
        <v>12325</v>
      </c>
      <c r="Q1297" s="219">
        <f t="shared" si="225"/>
        <v>12325</v>
      </c>
      <c r="R1297" s="827">
        <f t="shared" si="230"/>
        <v>100</v>
      </c>
    </row>
    <row r="1298" spans="2:18" ht="12.75">
      <c r="B1298" s="224">
        <f t="shared" si="231"/>
        <v>40</v>
      </c>
      <c r="C1298" s="165"/>
      <c r="D1298" s="166"/>
      <c r="E1298" s="166"/>
      <c r="F1298" s="166" t="s">
        <v>255</v>
      </c>
      <c r="G1298" s="292" t="s">
        <v>776</v>
      </c>
      <c r="H1298" s="206"/>
      <c r="I1298" s="206">
        <v>358</v>
      </c>
      <c r="J1298" s="823"/>
      <c r="K1298" s="23"/>
      <c r="L1298" s="192"/>
      <c r="M1298" s="192"/>
      <c r="N1298" s="823"/>
      <c r="O1298" s="23"/>
      <c r="P1298" s="219"/>
      <c r="Q1298" s="219">
        <f t="shared" si="225"/>
        <v>358</v>
      </c>
      <c r="R1298" s="827"/>
    </row>
    <row r="1299" spans="2:18" ht="12.75">
      <c r="B1299" s="224">
        <f t="shared" si="231"/>
        <v>41</v>
      </c>
      <c r="C1299" s="165"/>
      <c r="D1299" s="166"/>
      <c r="E1299" s="166"/>
      <c r="F1299" s="166" t="s">
        <v>253</v>
      </c>
      <c r="G1299" s="292" t="s">
        <v>707</v>
      </c>
      <c r="H1299" s="206">
        <v>398422</v>
      </c>
      <c r="I1299" s="206">
        <v>398422</v>
      </c>
      <c r="J1299" s="823">
        <f>I1299/H1299*100</f>
        <v>100</v>
      </c>
      <c r="K1299" s="23"/>
      <c r="L1299" s="192"/>
      <c r="M1299" s="192"/>
      <c r="N1299" s="823"/>
      <c r="O1299" s="23"/>
      <c r="P1299" s="219">
        <f>H1299+L1299</f>
        <v>398422</v>
      </c>
      <c r="Q1299" s="219">
        <f t="shared" si="225"/>
        <v>398422</v>
      </c>
      <c r="R1299" s="827">
        <f>Q1299/P1299*100</f>
        <v>100</v>
      </c>
    </row>
    <row r="1300" spans="2:18" ht="12.75">
      <c r="B1300" s="224">
        <f t="shared" si="231"/>
        <v>42</v>
      </c>
      <c r="C1300" s="165"/>
      <c r="D1300" s="166"/>
      <c r="E1300" s="203"/>
      <c r="F1300" s="242"/>
      <c r="G1300" s="345" t="s">
        <v>582</v>
      </c>
      <c r="H1300" s="229">
        <f>SUM(H1301:H1301)</f>
        <v>10000</v>
      </c>
      <c r="I1300" s="229">
        <f>I1301</f>
        <v>9702</v>
      </c>
      <c r="J1300" s="823">
        <f>I1300/H1300*100</f>
        <v>97.02</v>
      </c>
      <c r="K1300" s="23"/>
      <c r="L1300" s="192"/>
      <c r="M1300" s="192"/>
      <c r="N1300" s="823"/>
      <c r="O1300" s="23"/>
      <c r="P1300" s="363">
        <f>H1300+L1300</f>
        <v>10000</v>
      </c>
      <c r="Q1300" s="363">
        <f t="shared" si="225"/>
        <v>9702</v>
      </c>
      <c r="R1300" s="827">
        <f>Q1300/P1300*100</f>
        <v>97.02</v>
      </c>
    </row>
    <row r="1301" spans="2:18" ht="12.75">
      <c r="B1301" s="224">
        <f t="shared" si="231"/>
        <v>43</v>
      </c>
      <c r="C1301" s="165"/>
      <c r="D1301" s="166"/>
      <c r="E1301" s="166" t="s">
        <v>283</v>
      </c>
      <c r="F1301" s="166" t="s">
        <v>253</v>
      </c>
      <c r="G1301" s="292" t="s">
        <v>367</v>
      </c>
      <c r="H1301" s="206">
        <v>10000</v>
      </c>
      <c r="I1301" s="206">
        <v>9702</v>
      </c>
      <c r="J1301" s="823">
        <f>I1301/H1301*100</f>
        <v>97.02</v>
      </c>
      <c r="K1301" s="23"/>
      <c r="L1301" s="192"/>
      <c r="M1301" s="192"/>
      <c r="N1301" s="823"/>
      <c r="O1301" s="23"/>
      <c r="P1301" s="219">
        <f>H1301+L1301</f>
        <v>10000</v>
      </c>
      <c r="Q1301" s="219">
        <f t="shared" si="225"/>
        <v>9702</v>
      </c>
      <c r="R1301" s="827">
        <f>Q1301/P1301*100</f>
        <v>97.02</v>
      </c>
    </row>
    <row r="1302" spans="2:18" ht="12.75">
      <c r="B1302" s="224">
        <f t="shared" si="231"/>
        <v>44</v>
      </c>
      <c r="C1302" s="165"/>
      <c r="D1302" s="166"/>
      <c r="E1302" s="166"/>
      <c r="F1302" s="166"/>
      <c r="G1302" s="292"/>
      <c r="H1302" s="206"/>
      <c r="I1302" s="206"/>
      <c r="J1302" s="823"/>
      <c r="K1302" s="23"/>
      <c r="L1302" s="192"/>
      <c r="M1302" s="192"/>
      <c r="N1302" s="823"/>
      <c r="O1302" s="23"/>
      <c r="P1302" s="219"/>
      <c r="Q1302" s="219">
        <f t="shared" si="225"/>
        <v>0</v>
      </c>
      <c r="R1302" s="827"/>
    </row>
    <row r="1303" spans="2:18" ht="12.75">
      <c r="B1303" s="224">
        <f t="shared" si="231"/>
        <v>45</v>
      </c>
      <c r="C1303" s="165"/>
      <c r="D1303" s="166"/>
      <c r="E1303" s="166" t="s">
        <v>283</v>
      </c>
      <c r="F1303" s="166" t="s">
        <v>545</v>
      </c>
      <c r="G1303" s="324" t="s">
        <v>543</v>
      </c>
      <c r="H1303" s="206"/>
      <c r="I1303" s="206"/>
      <c r="J1303" s="823"/>
      <c r="K1303" s="23"/>
      <c r="L1303" s="186">
        <v>665</v>
      </c>
      <c r="M1303" s="186">
        <v>665</v>
      </c>
      <c r="N1303" s="823">
        <f>M1303/L1303*100</f>
        <v>100</v>
      </c>
      <c r="O1303" s="23"/>
      <c r="P1303" s="219">
        <f>H1303+L1303</f>
        <v>665</v>
      </c>
      <c r="Q1303" s="219">
        <f t="shared" si="225"/>
        <v>665</v>
      </c>
      <c r="R1303" s="827">
        <f>Q1303/P1303*100</f>
        <v>100</v>
      </c>
    </row>
    <row r="1304" spans="2:18" ht="12.75">
      <c r="B1304" s="224">
        <f t="shared" si="231"/>
        <v>46</v>
      </c>
      <c r="C1304" s="165"/>
      <c r="D1304" s="244"/>
      <c r="E1304" s="166" t="s">
        <v>283</v>
      </c>
      <c r="F1304" s="166" t="s">
        <v>407</v>
      </c>
      <c r="G1304" s="324" t="s">
        <v>543</v>
      </c>
      <c r="H1304" s="206"/>
      <c r="I1304" s="206"/>
      <c r="J1304" s="823"/>
      <c r="K1304" s="23"/>
      <c r="L1304" s="186">
        <v>37106</v>
      </c>
      <c r="M1304" s="186">
        <v>37106</v>
      </c>
      <c r="N1304" s="823">
        <f>M1304/L1304*100</f>
        <v>100</v>
      </c>
      <c r="O1304" s="23"/>
      <c r="P1304" s="219">
        <f>H1304+L1304</f>
        <v>37106</v>
      </c>
      <c r="Q1304" s="219">
        <f t="shared" si="225"/>
        <v>37106</v>
      </c>
      <c r="R1304" s="827">
        <f>Q1304/P1304*100</f>
        <v>100</v>
      </c>
    </row>
    <row r="1305" spans="2:18" ht="12.75">
      <c r="B1305" s="224">
        <f t="shared" si="231"/>
        <v>47</v>
      </c>
      <c r="C1305" s="165"/>
      <c r="D1305" s="166"/>
      <c r="E1305" s="166"/>
      <c r="F1305" s="166"/>
      <c r="G1305" s="292"/>
      <c r="H1305" s="206"/>
      <c r="I1305" s="206"/>
      <c r="J1305" s="823"/>
      <c r="K1305" s="23"/>
      <c r="L1305" s="192"/>
      <c r="M1305" s="192"/>
      <c r="N1305" s="823"/>
      <c r="O1305" s="23"/>
      <c r="P1305" s="219"/>
      <c r="Q1305" s="219">
        <f t="shared" si="225"/>
        <v>0</v>
      </c>
      <c r="R1305" s="827"/>
    </row>
    <row r="1306" spans="2:18" ht="15.75">
      <c r="B1306" s="224">
        <f t="shared" si="231"/>
        <v>48</v>
      </c>
      <c r="C1306" s="24">
        <v>2</v>
      </c>
      <c r="D1306" s="159" t="s">
        <v>190</v>
      </c>
      <c r="E1306" s="25"/>
      <c r="F1306" s="25"/>
      <c r="G1306" s="293"/>
      <c r="H1306" s="228">
        <f>H1307+H1312</f>
        <v>3008357</v>
      </c>
      <c r="I1306" s="615">
        <f>I1307+I1312</f>
        <v>3008300</v>
      </c>
      <c r="J1306" s="823">
        <f aca="true" t="shared" si="232" ref="J1306:J1313">I1306/H1306*100</f>
        <v>99.99810527806375</v>
      </c>
      <c r="K1306" s="96"/>
      <c r="L1306" s="352">
        <f>L1307+L1312</f>
        <v>66052</v>
      </c>
      <c r="M1306" s="352">
        <f>M1307+M1312</f>
        <v>66052</v>
      </c>
      <c r="N1306" s="823">
        <f>M1306/L1306*100</f>
        <v>100</v>
      </c>
      <c r="O1306" s="126"/>
      <c r="P1306" s="300">
        <f aca="true" t="shared" si="233" ref="P1306:P1314">H1306+L1306</f>
        <v>3074409</v>
      </c>
      <c r="Q1306" s="609">
        <f t="shared" si="225"/>
        <v>3074352</v>
      </c>
      <c r="R1306" s="827">
        <f aca="true" t="shared" si="234" ref="R1306:R1334">Q1306/P1306*100</f>
        <v>99.9981459851308</v>
      </c>
    </row>
    <row r="1307" spans="2:18" ht="12.75">
      <c r="B1307" s="224">
        <f t="shared" si="231"/>
        <v>49</v>
      </c>
      <c r="C1307" s="84"/>
      <c r="D1307" s="242" t="s">
        <v>5</v>
      </c>
      <c r="E1307" s="356"/>
      <c r="F1307" s="356" t="s">
        <v>173</v>
      </c>
      <c r="G1307" s="357"/>
      <c r="H1307" s="243">
        <f>SUM(H1308:H1311)</f>
        <v>3005057</v>
      </c>
      <c r="I1307" s="243">
        <f>I1308+I1309+I1310+I1311</f>
        <v>3005035</v>
      </c>
      <c r="J1307" s="823">
        <f t="shared" si="232"/>
        <v>99.99926790074198</v>
      </c>
      <c r="K1307" s="23"/>
      <c r="L1307" s="364">
        <v>0</v>
      </c>
      <c r="M1307" s="364">
        <v>0</v>
      </c>
      <c r="N1307" s="823"/>
      <c r="O1307" s="23"/>
      <c r="P1307" s="358">
        <f t="shared" si="233"/>
        <v>3005057</v>
      </c>
      <c r="Q1307" s="358">
        <f t="shared" si="225"/>
        <v>3005035</v>
      </c>
      <c r="R1307" s="827">
        <f t="shared" si="234"/>
        <v>99.99926790074198</v>
      </c>
    </row>
    <row r="1308" spans="2:18" ht="12.75">
      <c r="B1308" s="224">
        <f t="shared" si="231"/>
        <v>50</v>
      </c>
      <c r="C1308" s="165"/>
      <c r="D1308" s="165"/>
      <c r="E1308" s="170" t="s">
        <v>322</v>
      </c>
      <c r="F1308" s="170">
        <v>637</v>
      </c>
      <c r="G1308" s="292" t="s">
        <v>514</v>
      </c>
      <c r="H1308" s="206">
        <v>276635</v>
      </c>
      <c r="I1308" s="206">
        <v>276613</v>
      </c>
      <c r="J1308" s="823">
        <f t="shared" si="232"/>
        <v>99.99204728252029</v>
      </c>
      <c r="K1308" s="23"/>
      <c r="L1308" s="182"/>
      <c r="M1308" s="182"/>
      <c r="N1308" s="823"/>
      <c r="O1308" s="23"/>
      <c r="P1308" s="221">
        <f t="shared" si="233"/>
        <v>276635</v>
      </c>
      <c r="Q1308" s="221">
        <f t="shared" si="225"/>
        <v>276613</v>
      </c>
      <c r="R1308" s="827">
        <f t="shared" si="234"/>
        <v>99.99204728252029</v>
      </c>
    </row>
    <row r="1309" spans="2:18" ht="12.75">
      <c r="B1309" s="224">
        <f t="shared" si="231"/>
        <v>51</v>
      </c>
      <c r="C1309" s="165"/>
      <c r="D1309" s="165"/>
      <c r="E1309" s="170" t="s">
        <v>322</v>
      </c>
      <c r="F1309" s="170">
        <v>637</v>
      </c>
      <c r="G1309" s="292" t="s">
        <v>323</v>
      </c>
      <c r="H1309" s="206">
        <v>218422</v>
      </c>
      <c r="I1309" s="206">
        <v>218422</v>
      </c>
      <c r="J1309" s="823">
        <f t="shared" si="232"/>
        <v>100</v>
      </c>
      <c r="K1309" s="23"/>
      <c r="L1309" s="182"/>
      <c r="M1309" s="182"/>
      <c r="N1309" s="823"/>
      <c r="O1309" s="23"/>
      <c r="P1309" s="221">
        <f t="shared" si="233"/>
        <v>218422</v>
      </c>
      <c r="Q1309" s="221">
        <f t="shared" si="225"/>
        <v>218422</v>
      </c>
      <c r="R1309" s="827">
        <f t="shared" si="234"/>
        <v>100</v>
      </c>
    </row>
    <row r="1310" spans="2:18" ht="12.75">
      <c r="B1310" s="224">
        <f t="shared" si="231"/>
        <v>52</v>
      </c>
      <c r="C1310" s="165"/>
      <c r="D1310" s="165"/>
      <c r="E1310" s="170" t="s">
        <v>322</v>
      </c>
      <c r="F1310" s="170">
        <v>637</v>
      </c>
      <c r="G1310" s="292" t="s">
        <v>325</v>
      </c>
      <c r="H1310" s="206">
        <f>2510000-50000</f>
        <v>2460000</v>
      </c>
      <c r="I1310" s="840">
        <v>2460000</v>
      </c>
      <c r="J1310" s="823">
        <f t="shared" si="232"/>
        <v>100</v>
      </c>
      <c r="K1310" s="23"/>
      <c r="L1310" s="182"/>
      <c r="M1310" s="182"/>
      <c r="N1310" s="823"/>
      <c r="O1310" s="23"/>
      <c r="P1310" s="221">
        <f t="shared" si="233"/>
        <v>2460000</v>
      </c>
      <c r="Q1310" s="221">
        <f t="shared" si="225"/>
        <v>2460000</v>
      </c>
      <c r="R1310" s="827">
        <f t="shared" si="234"/>
        <v>100</v>
      </c>
    </row>
    <row r="1311" spans="2:18" ht="12.75">
      <c r="B1311" s="224">
        <f t="shared" si="231"/>
        <v>53</v>
      </c>
      <c r="C1311" s="165"/>
      <c r="D1311" s="165"/>
      <c r="E1311" s="170" t="s">
        <v>322</v>
      </c>
      <c r="F1311" s="170">
        <v>637</v>
      </c>
      <c r="G1311" s="292" t="s">
        <v>326</v>
      </c>
      <c r="H1311" s="206">
        <v>50000</v>
      </c>
      <c r="I1311" s="840">
        <v>50000</v>
      </c>
      <c r="J1311" s="823">
        <f t="shared" si="232"/>
        <v>100</v>
      </c>
      <c r="K1311" s="23"/>
      <c r="L1311" s="182"/>
      <c r="M1311" s="182"/>
      <c r="N1311" s="823"/>
      <c r="O1311" s="23"/>
      <c r="P1311" s="221">
        <f t="shared" si="233"/>
        <v>50000</v>
      </c>
      <c r="Q1311" s="221">
        <f t="shared" si="225"/>
        <v>50000</v>
      </c>
      <c r="R1311" s="827">
        <f t="shared" si="234"/>
        <v>100</v>
      </c>
    </row>
    <row r="1312" spans="2:18" ht="12.75">
      <c r="B1312" s="224">
        <f t="shared" si="231"/>
        <v>54</v>
      </c>
      <c r="C1312" s="84"/>
      <c r="D1312" s="242" t="s">
        <v>6</v>
      </c>
      <c r="E1312" s="356"/>
      <c r="F1312" s="356" t="s">
        <v>112</v>
      </c>
      <c r="G1312" s="357"/>
      <c r="H1312" s="243">
        <f>SUM(H1313:H1314)</f>
        <v>3300</v>
      </c>
      <c r="I1312" s="243">
        <f>I1313</f>
        <v>3265</v>
      </c>
      <c r="J1312" s="823">
        <f t="shared" si="232"/>
        <v>98.93939393939394</v>
      </c>
      <c r="K1312" s="23"/>
      <c r="L1312" s="364">
        <f>SUM(L1313:L1315)</f>
        <v>66052</v>
      </c>
      <c r="M1312" s="364">
        <f>M1314+M1315</f>
        <v>66052</v>
      </c>
      <c r="N1312" s="823">
        <f>M1312/L1312*100</f>
        <v>100</v>
      </c>
      <c r="O1312" s="23"/>
      <c r="P1312" s="358">
        <f t="shared" si="233"/>
        <v>69352</v>
      </c>
      <c r="Q1312" s="358">
        <f aca="true" t="shared" si="235" ref="Q1312:Q1334">I1312+M1312</f>
        <v>69317</v>
      </c>
      <c r="R1312" s="827">
        <f t="shared" si="234"/>
        <v>99.94953281808743</v>
      </c>
    </row>
    <row r="1313" spans="2:18" ht="12.75">
      <c r="B1313" s="224">
        <f t="shared" si="231"/>
        <v>55</v>
      </c>
      <c r="C1313" s="165"/>
      <c r="D1313" s="165"/>
      <c r="E1313" s="170" t="s">
        <v>322</v>
      </c>
      <c r="F1313" s="170">
        <v>637</v>
      </c>
      <c r="G1313" s="292" t="s">
        <v>327</v>
      </c>
      <c r="H1313" s="206">
        <v>3300</v>
      </c>
      <c r="I1313" s="206">
        <v>3265</v>
      </c>
      <c r="J1313" s="823">
        <f t="shared" si="232"/>
        <v>98.93939393939394</v>
      </c>
      <c r="K1313" s="23"/>
      <c r="L1313" s="182"/>
      <c r="M1313" s="182"/>
      <c r="N1313" s="823"/>
      <c r="O1313" s="23"/>
      <c r="P1313" s="221">
        <f t="shared" si="233"/>
        <v>3300</v>
      </c>
      <c r="Q1313" s="221">
        <f t="shared" si="235"/>
        <v>3265</v>
      </c>
      <c r="R1313" s="827">
        <f t="shared" si="234"/>
        <v>98.93939393939394</v>
      </c>
    </row>
    <row r="1314" spans="2:18" ht="12.75">
      <c r="B1314" s="224">
        <f t="shared" si="231"/>
        <v>56</v>
      </c>
      <c r="C1314" s="165"/>
      <c r="D1314" s="209"/>
      <c r="E1314" s="170" t="s">
        <v>322</v>
      </c>
      <c r="F1314" s="170">
        <v>717</v>
      </c>
      <c r="G1314" s="292" t="s">
        <v>546</v>
      </c>
      <c r="H1314" s="211"/>
      <c r="I1314" s="211"/>
      <c r="J1314" s="823"/>
      <c r="K1314" s="23"/>
      <c r="L1314" s="208">
        <v>65060</v>
      </c>
      <c r="M1314" s="208">
        <v>65060</v>
      </c>
      <c r="N1314" s="823">
        <f>M1314/L1314*100</f>
        <v>100</v>
      </c>
      <c r="O1314" s="23"/>
      <c r="P1314" s="327">
        <f t="shared" si="233"/>
        <v>65060</v>
      </c>
      <c r="Q1314" s="327">
        <f t="shared" si="235"/>
        <v>65060</v>
      </c>
      <c r="R1314" s="827">
        <f t="shared" si="234"/>
        <v>100</v>
      </c>
    </row>
    <row r="1315" spans="2:18" ht="12.75">
      <c r="B1315" s="224">
        <f t="shared" si="231"/>
        <v>57</v>
      </c>
      <c r="C1315" s="165"/>
      <c r="D1315" s="209"/>
      <c r="E1315" s="173" t="s">
        <v>322</v>
      </c>
      <c r="F1315" s="173">
        <v>716</v>
      </c>
      <c r="G1315" s="324" t="s">
        <v>547</v>
      </c>
      <c r="H1315" s="211"/>
      <c r="I1315" s="211"/>
      <c r="J1315" s="823"/>
      <c r="K1315" s="23"/>
      <c r="L1315" s="208">
        <v>992</v>
      </c>
      <c r="M1315" s="208">
        <v>992</v>
      </c>
      <c r="N1315" s="823">
        <f>M1315/L1315*100</f>
        <v>100</v>
      </c>
      <c r="O1315" s="23"/>
      <c r="P1315" s="327">
        <f>L1315</f>
        <v>992</v>
      </c>
      <c r="Q1315" s="327">
        <f t="shared" si="235"/>
        <v>992</v>
      </c>
      <c r="R1315" s="827">
        <f t="shared" si="234"/>
        <v>100</v>
      </c>
    </row>
    <row r="1316" spans="2:18" ht="15.75">
      <c r="B1316" s="224">
        <f t="shared" si="231"/>
        <v>58</v>
      </c>
      <c r="C1316" s="27">
        <v>3</v>
      </c>
      <c r="D1316" s="160" t="s">
        <v>153</v>
      </c>
      <c r="E1316" s="28"/>
      <c r="F1316" s="28"/>
      <c r="G1316" s="291"/>
      <c r="H1316" s="230">
        <v>5000</v>
      </c>
      <c r="I1316" s="618">
        <f>I1317+I1318</f>
        <v>2700</v>
      </c>
      <c r="J1316" s="823">
        <f aca="true" t="shared" si="236" ref="J1316:J1334">I1316/H1316*100</f>
        <v>54</v>
      </c>
      <c r="K1316" s="96"/>
      <c r="L1316" s="353">
        <f>SUM(L1317:L1318)</f>
        <v>0</v>
      </c>
      <c r="M1316" s="353">
        <f>M1317+M1318</f>
        <v>0</v>
      </c>
      <c r="N1316" s="823"/>
      <c r="O1316" s="96"/>
      <c r="P1316" s="299">
        <f aca="true" t="shared" si="237" ref="P1316:P1334">H1316+L1316</f>
        <v>5000</v>
      </c>
      <c r="Q1316" s="608">
        <f t="shared" si="235"/>
        <v>2700</v>
      </c>
      <c r="R1316" s="827">
        <f t="shared" si="234"/>
        <v>54</v>
      </c>
    </row>
    <row r="1317" spans="2:18" ht="12.75">
      <c r="B1317" s="224">
        <f t="shared" si="231"/>
        <v>59</v>
      </c>
      <c r="C1317" s="171"/>
      <c r="D1317" s="171"/>
      <c r="E1317" s="173" t="s">
        <v>328</v>
      </c>
      <c r="F1317" s="173">
        <v>637</v>
      </c>
      <c r="G1317" s="310" t="s">
        <v>329</v>
      </c>
      <c r="H1317" s="206">
        <v>4900</v>
      </c>
      <c r="I1317" s="206">
        <v>2700</v>
      </c>
      <c r="J1317" s="823">
        <f t="shared" si="236"/>
        <v>55.10204081632652</v>
      </c>
      <c r="K1317" s="23"/>
      <c r="L1317" s="182"/>
      <c r="M1317" s="182"/>
      <c r="N1317" s="823"/>
      <c r="O1317" s="23"/>
      <c r="P1317" s="221">
        <f t="shared" si="237"/>
        <v>4900</v>
      </c>
      <c r="Q1317" s="221">
        <f t="shared" si="235"/>
        <v>2700</v>
      </c>
      <c r="R1317" s="827">
        <f t="shared" si="234"/>
        <v>55.10204081632652</v>
      </c>
    </row>
    <row r="1318" spans="2:18" ht="12.75">
      <c r="B1318" s="224">
        <f t="shared" si="231"/>
        <v>60</v>
      </c>
      <c r="C1318" s="165"/>
      <c r="D1318" s="165"/>
      <c r="E1318" s="173" t="s">
        <v>328</v>
      </c>
      <c r="F1318" s="170">
        <v>633</v>
      </c>
      <c r="G1318" s="292" t="s">
        <v>660</v>
      </c>
      <c r="H1318" s="206">
        <v>100</v>
      </c>
      <c r="I1318" s="206">
        <v>0</v>
      </c>
      <c r="J1318" s="823">
        <f t="shared" si="236"/>
        <v>0</v>
      </c>
      <c r="K1318" s="23"/>
      <c r="L1318" s="182"/>
      <c r="M1318" s="182"/>
      <c r="N1318" s="823"/>
      <c r="O1318" s="23"/>
      <c r="P1318" s="221">
        <f t="shared" si="237"/>
        <v>100</v>
      </c>
      <c r="Q1318" s="221">
        <f t="shared" si="235"/>
        <v>0</v>
      </c>
      <c r="R1318" s="827">
        <f t="shared" si="234"/>
        <v>0</v>
      </c>
    </row>
    <row r="1319" spans="2:18" ht="15.75">
      <c r="B1319" s="224">
        <f t="shared" si="231"/>
        <v>61</v>
      </c>
      <c r="C1319" s="27">
        <v>4</v>
      </c>
      <c r="D1319" s="160" t="s">
        <v>123</v>
      </c>
      <c r="E1319" s="28"/>
      <c r="F1319" s="28"/>
      <c r="G1319" s="291"/>
      <c r="H1319" s="230">
        <v>15000</v>
      </c>
      <c r="I1319" s="618">
        <f>I1320</f>
        <v>15000</v>
      </c>
      <c r="J1319" s="823">
        <f t="shared" si="236"/>
        <v>100</v>
      </c>
      <c r="K1319" s="96"/>
      <c r="L1319" s="353">
        <v>0</v>
      </c>
      <c r="M1319" s="353">
        <f>M1320</f>
        <v>0</v>
      </c>
      <c r="N1319" s="823"/>
      <c r="O1319" s="96"/>
      <c r="P1319" s="299">
        <f t="shared" si="237"/>
        <v>15000</v>
      </c>
      <c r="Q1319" s="608">
        <f t="shared" si="235"/>
        <v>15000</v>
      </c>
      <c r="R1319" s="827">
        <f t="shared" si="234"/>
        <v>100</v>
      </c>
    </row>
    <row r="1320" spans="2:18" ht="12.75">
      <c r="B1320" s="224">
        <f t="shared" si="231"/>
        <v>62</v>
      </c>
      <c r="C1320" s="171"/>
      <c r="D1320" s="171"/>
      <c r="E1320" s="173" t="s">
        <v>283</v>
      </c>
      <c r="F1320" s="173">
        <v>640</v>
      </c>
      <c r="G1320" s="310" t="s">
        <v>333</v>
      </c>
      <c r="H1320" s="206">
        <v>15000</v>
      </c>
      <c r="I1320" s="206">
        <v>15000</v>
      </c>
      <c r="J1320" s="823">
        <f t="shared" si="236"/>
        <v>100</v>
      </c>
      <c r="K1320" s="23"/>
      <c r="L1320" s="182"/>
      <c r="M1320" s="182"/>
      <c r="N1320" s="823"/>
      <c r="O1320" s="23"/>
      <c r="P1320" s="221">
        <f t="shared" si="237"/>
        <v>15000</v>
      </c>
      <c r="Q1320" s="221">
        <f t="shared" si="235"/>
        <v>15000</v>
      </c>
      <c r="R1320" s="827">
        <f t="shared" si="234"/>
        <v>100</v>
      </c>
    </row>
    <row r="1321" spans="2:18" ht="15.75">
      <c r="B1321" s="224">
        <f t="shared" si="231"/>
        <v>63</v>
      </c>
      <c r="C1321" s="27">
        <v>5</v>
      </c>
      <c r="D1321" s="160" t="s">
        <v>124</v>
      </c>
      <c r="E1321" s="28"/>
      <c r="F1321" s="28"/>
      <c r="G1321" s="291"/>
      <c r="H1321" s="230">
        <f>H1322</f>
        <v>11173</v>
      </c>
      <c r="I1321" s="618">
        <f>I1322</f>
        <v>9892</v>
      </c>
      <c r="J1321" s="823">
        <f t="shared" si="236"/>
        <v>88.53486082520362</v>
      </c>
      <c r="K1321" s="96"/>
      <c r="L1321" s="353">
        <v>0</v>
      </c>
      <c r="M1321" s="353">
        <v>0</v>
      </c>
      <c r="N1321" s="823"/>
      <c r="O1321" s="96"/>
      <c r="P1321" s="299">
        <f t="shared" si="237"/>
        <v>11173</v>
      </c>
      <c r="Q1321" s="608">
        <f t="shared" si="235"/>
        <v>9892</v>
      </c>
      <c r="R1321" s="827">
        <f t="shared" si="234"/>
        <v>88.53486082520362</v>
      </c>
    </row>
    <row r="1322" spans="2:18" ht="12.75">
      <c r="B1322" s="224">
        <f t="shared" si="231"/>
        <v>64</v>
      </c>
      <c r="C1322" s="171"/>
      <c r="D1322" s="498"/>
      <c r="E1322" s="477" t="s">
        <v>283</v>
      </c>
      <c r="F1322" s="477"/>
      <c r="G1322" s="478" t="s">
        <v>572</v>
      </c>
      <c r="H1322" s="479">
        <f>H1323+H1324+H1325</f>
        <v>11173</v>
      </c>
      <c r="I1322" s="479">
        <f>I1323+I1324+I1325</f>
        <v>9892</v>
      </c>
      <c r="J1322" s="823">
        <f t="shared" si="236"/>
        <v>88.53486082520362</v>
      </c>
      <c r="K1322" s="23"/>
      <c r="L1322" s="481"/>
      <c r="M1322" s="481"/>
      <c r="N1322" s="823"/>
      <c r="O1322" s="23"/>
      <c r="P1322" s="488">
        <f t="shared" si="237"/>
        <v>11173</v>
      </c>
      <c r="Q1322" s="488">
        <f t="shared" si="235"/>
        <v>9892</v>
      </c>
      <c r="R1322" s="827">
        <f t="shared" si="234"/>
        <v>88.53486082520362</v>
      </c>
    </row>
    <row r="1323" spans="2:18" ht="12.75">
      <c r="B1323" s="224">
        <f t="shared" si="231"/>
        <v>65</v>
      </c>
      <c r="C1323" s="165"/>
      <c r="D1323" s="165"/>
      <c r="E1323" s="196"/>
      <c r="F1323" s="196">
        <v>610</v>
      </c>
      <c r="G1323" s="307" t="s">
        <v>307</v>
      </c>
      <c r="H1323" s="207">
        <v>900</v>
      </c>
      <c r="I1323" s="207">
        <v>889</v>
      </c>
      <c r="J1323" s="823">
        <f t="shared" si="236"/>
        <v>98.77777777777777</v>
      </c>
      <c r="K1323" s="23"/>
      <c r="L1323" s="182"/>
      <c r="M1323" s="182"/>
      <c r="N1323" s="823"/>
      <c r="O1323" s="23"/>
      <c r="P1323" s="221">
        <f t="shared" si="237"/>
        <v>900</v>
      </c>
      <c r="Q1323" s="221">
        <f t="shared" si="235"/>
        <v>889</v>
      </c>
      <c r="R1323" s="827">
        <f t="shared" si="234"/>
        <v>98.77777777777777</v>
      </c>
    </row>
    <row r="1324" spans="2:18" ht="12.75">
      <c r="B1324" s="224">
        <f aca="true" t="shared" si="238" ref="B1324:B1342">B1323+1</f>
        <v>66</v>
      </c>
      <c r="C1324" s="165"/>
      <c r="D1324" s="165"/>
      <c r="E1324" s="170"/>
      <c r="F1324" s="196">
        <v>620</v>
      </c>
      <c r="G1324" s="307" t="s">
        <v>309</v>
      </c>
      <c r="H1324" s="207">
        <v>320</v>
      </c>
      <c r="I1324" s="207">
        <v>319</v>
      </c>
      <c r="J1324" s="823">
        <f t="shared" si="236"/>
        <v>99.6875</v>
      </c>
      <c r="K1324" s="23"/>
      <c r="L1324" s="182"/>
      <c r="M1324" s="182"/>
      <c r="N1324" s="823"/>
      <c r="O1324" s="23"/>
      <c r="P1324" s="221">
        <f t="shared" si="237"/>
        <v>320</v>
      </c>
      <c r="Q1324" s="221">
        <f t="shared" si="235"/>
        <v>319</v>
      </c>
      <c r="R1324" s="827">
        <f t="shared" si="234"/>
        <v>99.6875</v>
      </c>
    </row>
    <row r="1325" spans="2:18" ht="12.75">
      <c r="B1325" s="224">
        <f t="shared" si="238"/>
        <v>67</v>
      </c>
      <c r="C1325" s="165"/>
      <c r="D1325" s="165"/>
      <c r="E1325" s="170"/>
      <c r="F1325" s="196">
        <v>630</v>
      </c>
      <c r="G1325" s="307" t="s">
        <v>276</v>
      </c>
      <c r="H1325" s="207">
        <f>SUM(H1326:H1329)</f>
        <v>9953</v>
      </c>
      <c r="I1325" s="207">
        <f>SUM(I1326:I1329)</f>
        <v>8684</v>
      </c>
      <c r="J1325" s="823">
        <f t="shared" si="236"/>
        <v>87.25007535416457</v>
      </c>
      <c r="K1325" s="23"/>
      <c r="L1325" s="182"/>
      <c r="M1325" s="182"/>
      <c r="N1325" s="823"/>
      <c r="O1325" s="23"/>
      <c r="P1325" s="221">
        <f t="shared" si="237"/>
        <v>9953</v>
      </c>
      <c r="Q1325" s="221">
        <f t="shared" si="235"/>
        <v>8684</v>
      </c>
      <c r="R1325" s="827">
        <f t="shared" si="234"/>
        <v>87.25007535416457</v>
      </c>
    </row>
    <row r="1326" spans="2:18" ht="12.75">
      <c r="B1326" s="224">
        <f t="shared" si="238"/>
        <v>68</v>
      </c>
      <c r="C1326" s="165"/>
      <c r="D1326" s="165"/>
      <c r="E1326" s="170"/>
      <c r="F1326" s="170">
        <v>632</v>
      </c>
      <c r="G1326" s="292" t="s">
        <v>293</v>
      </c>
      <c r="H1326" s="206">
        <v>6865</v>
      </c>
      <c r="I1326" s="206">
        <f>6998-I1329</f>
        <v>5725</v>
      </c>
      <c r="J1326" s="823">
        <f t="shared" si="236"/>
        <v>83.39402767662054</v>
      </c>
      <c r="K1326" s="23"/>
      <c r="L1326" s="182"/>
      <c r="M1326" s="182"/>
      <c r="N1326" s="823"/>
      <c r="O1326" s="23"/>
      <c r="P1326" s="221">
        <f t="shared" si="237"/>
        <v>6865</v>
      </c>
      <c r="Q1326" s="221">
        <f t="shared" si="235"/>
        <v>5725</v>
      </c>
      <c r="R1326" s="827">
        <f t="shared" si="234"/>
        <v>83.39402767662054</v>
      </c>
    </row>
    <row r="1327" spans="2:18" ht="12.75">
      <c r="B1327" s="224">
        <f t="shared" si="238"/>
        <v>69</v>
      </c>
      <c r="C1327" s="165"/>
      <c r="D1327" s="165"/>
      <c r="E1327" s="170"/>
      <c r="F1327" s="170">
        <v>633</v>
      </c>
      <c r="G1327" s="292" t="s">
        <v>294</v>
      </c>
      <c r="H1327" s="206">
        <f>100+500</f>
        <v>600</v>
      </c>
      <c r="I1327" s="206">
        <v>556</v>
      </c>
      <c r="J1327" s="823">
        <f t="shared" si="236"/>
        <v>92.66666666666666</v>
      </c>
      <c r="K1327" s="23"/>
      <c r="L1327" s="182"/>
      <c r="M1327" s="182"/>
      <c r="N1327" s="823"/>
      <c r="O1327" s="23"/>
      <c r="P1327" s="221">
        <f t="shared" si="237"/>
        <v>600</v>
      </c>
      <c r="Q1327" s="221">
        <f t="shared" si="235"/>
        <v>556</v>
      </c>
      <c r="R1327" s="827">
        <f t="shared" si="234"/>
        <v>92.66666666666666</v>
      </c>
    </row>
    <row r="1328" spans="2:18" ht="13.5" thickBot="1">
      <c r="B1328" s="224">
        <f t="shared" si="238"/>
        <v>70</v>
      </c>
      <c r="C1328" s="165"/>
      <c r="D1328" s="165"/>
      <c r="E1328" s="170"/>
      <c r="F1328" s="170">
        <v>637</v>
      </c>
      <c r="G1328" s="292" t="s">
        <v>295</v>
      </c>
      <c r="H1328" s="206">
        <v>1215</v>
      </c>
      <c r="I1328" s="206">
        <v>1130</v>
      </c>
      <c r="J1328" s="823">
        <f t="shared" si="236"/>
        <v>93.00411522633745</v>
      </c>
      <c r="K1328" s="23"/>
      <c r="L1328" s="182"/>
      <c r="M1328" s="182"/>
      <c r="N1328" s="823"/>
      <c r="O1328" s="674"/>
      <c r="P1328" s="221">
        <f t="shared" si="237"/>
        <v>1215</v>
      </c>
      <c r="Q1328" s="221">
        <f t="shared" si="235"/>
        <v>1130</v>
      </c>
      <c r="R1328" s="827">
        <f t="shared" si="234"/>
        <v>93.00411522633745</v>
      </c>
    </row>
    <row r="1329" spans="2:18" ht="12.75">
      <c r="B1329" s="224">
        <f t="shared" si="238"/>
        <v>71</v>
      </c>
      <c r="C1329" s="165"/>
      <c r="D1329" s="209"/>
      <c r="E1329" s="173"/>
      <c r="F1329" s="173">
        <v>632</v>
      </c>
      <c r="G1329" s="292" t="s">
        <v>707</v>
      </c>
      <c r="H1329" s="211">
        <v>1273</v>
      </c>
      <c r="I1329" s="211">
        <v>1273</v>
      </c>
      <c r="J1329" s="823">
        <f t="shared" si="236"/>
        <v>100</v>
      </c>
      <c r="K1329" s="23"/>
      <c r="L1329" s="208"/>
      <c r="M1329" s="208"/>
      <c r="N1329" s="823"/>
      <c r="O1329" s="23"/>
      <c r="P1329" s="327">
        <f t="shared" si="237"/>
        <v>1273</v>
      </c>
      <c r="Q1329" s="327">
        <f t="shared" si="235"/>
        <v>1273</v>
      </c>
      <c r="R1329" s="827">
        <f t="shared" si="234"/>
        <v>100</v>
      </c>
    </row>
    <row r="1330" spans="2:18" ht="15.75">
      <c r="B1330" s="224">
        <f t="shared" si="238"/>
        <v>72</v>
      </c>
      <c r="C1330" s="27">
        <v>6</v>
      </c>
      <c r="D1330" s="160" t="s">
        <v>199</v>
      </c>
      <c r="E1330" s="28"/>
      <c r="F1330" s="28"/>
      <c r="G1330" s="291"/>
      <c r="H1330" s="230">
        <f>H1331</f>
        <v>203315</v>
      </c>
      <c r="I1330" s="618">
        <f>I1331</f>
        <v>200040</v>
      </c>
      <c r="J1330" s="823">
        <f t="shared" si="236"/>
        <v>98.38919902614171</v>
      </c>
      <c r="K1330" s="96"/>
      <c r="L1330" s="353">
        <f>SUM(L1331:L1344)</f>
        <v>171667</v>
      </c>
      <c r="M1330" s="353">
        <f>M1331+M1343+M1344</f>
        <v>171667</v>
      </c>
      <c r="N1330" s="823">
        <f>M1330/L1330*100</f>
        <v>100</v>
      </c>
      <c r="O1330" s="96"/>
      <c r="P1330" s="299">
        <f t="shared" si="237"/>
        <v>374982</v>
      </c>
      <c r="Q1330" s="608">
        <f t="shared" si="235"/>
        <v>371707</v>
      </c>
      <c r="R1330" s="827">
        <f t="shared" si="234"/>
        <v>99.1266247446544</v>
      </c>
    </row>
    <row r="1331" spans="2:18" ht="12.75">
      <c r="B1331" s="224">
        <f t="shared" si="238"/>
        <v>73</v>
      </c>
      <c r="C1331" s="171"/>
      <c r="D1331" s="498"/>
      <c r="E1331" s="477" t="s">
        <v>283</v>
      </c>
      <c r="F1331" s="477"/>
      <c r="G1331" s="478" t="s">
        <v>572</v>
      </c>
      <c r="H1331" s="479">
        <f>H1332+H1333+H1334+H1342</f>
        <v>203315</v>
      </c>
      <c r="I1331" s="479">
        <f>I1332+I1333+I1334+I1342</f>
        <v>200040</v>
      </c>
      <c r="J1331" s="823">
        <f t="shared" si="236"/>
        <v>98.38919902614171</v>
      </c>
      <c r="K1331" s="23"/>
      <c r="L1331" s="481"/>
      <c r="M1331" s="481"/>
      <c r="N1331" s="823"/>
      <c r="O1331" s="23"/>
      <c r="P1331" s="488">
        <f t="shared" si="237"/>
        <v>203315</v>
      </c>
      <c r="Q1331" s="488">
        <f t="shared" si="235"/>
        <v>200040</v>
      </c>
      <c r="R1331" s="827">
        <f t="shared" si="234"/>
        <v>98.38919902614171</v>
      </c>
    </row>
    <row r="1332" spans="2:18" ht="12.75">
      <c r="B1332" s="224">
        <f t="shared" si="238"/>
        <v>74</v>
      </c>
      <c r="C1332" s="165"/>
      <c r="D1332" s="165"/>
      <c r="E1332" s="196"/>
      <c r="F1332" s="196">
        <v>610</v>
      </c>
      <c r="G1332" s="307" t="s">
        <v>307</v>
      </c>
      <c r="H1332" s="207">
        <f>83600-600</f>
        <v>83000</v>
      </c>
      <c r="I1332" s="207">
        <v>82995</v>
      </c>
      <c r="J1332" s="823">
        <f t="shared" si="236"/>
        <v>99.99397590361447</v>
      </c>
      <c r="K1332" s="23"/>
      <c r="L1332" s="182"/>
      <c r="M1332" s="182"/>
      <c r="N1332" s="823"/>
      <c r="O1332" s="23"/>
      <c r="P1332" s="221">
        <f t="shared" si="237"/>
        <v>83000</v>
      </c>
      <c r="Q1332" s="221">
        <f t="shared" si="235"/>
        <v>82995</v>
      </c>
      <c r="R1332" s="827">
        <f t="shared" si="234"/>
        <v>99.99397590361447</v>
      </c>
    </row>
    <row r="1333" spans="2:18" ht="12.75">
      <c r="B1333" s="224">
        <f t="shared" si="238"/>
        <v>75</v>
      </c>
      <c r="C1333" s="165"/>
      <c r="D1333" s="165"/>
      <c r="E1333" s="170"/>
      <c r="F1333" s="196">
        <v>620</v>
      </c>
      <c r="G1333" s="307" t="s">
        <v>309</v>
      </c>
      <c r="H1333" s="207">
        <f>32820-210</f>
        <v>32610</v>
      </c>
      <c r="I1333" s="207">
        <v>32610</v>
      </c>
      <c r="J1333" s="823">
        <f t="shared" si="236"/>
        <v>100</v>
      </c>
      <c r="K1333" s="23"/>
      <c r="L1333" s="182"/>
      <c r="M1333" s="182"/>
      <c r="N1333" s="823"/>
      <c r="O1333" s="23"/>
      <c r="P1333" s="221">
        <f t="shared" si="237"/>
        <v>32610</v>
      </c>
      <c r="Q1333" s="221">
        <f t="shared" si="235"/>
        <v>32610</v>
      </c>
      <c r="R1333" s="827">
        <f t="shared" si="234"/>
        <v>100</v>
      </c>
    </row>
    <row r="1334" spans="2:18" ht="12.75">
      <c r="B1334" s="224">
        <f t="shared" si="238"/>
        <v>76</v>
      </c>
      <c r="C1334" s="165"/>
      <c r="D1334" s="165"/>
      <c r="E1334" s="170"/>
      <c r="F1334" s="196">
        <v>630</v>
      </c>
      <c r="G1334" s="307" t="s">
        <v>276</v>
      </c>
      <c r="H1334" s="207">
        <f>SUM(H1336:H1341)</f>
        <v>87635</v>
      </c>
      <c r="I1334" s="207">
        <f>I1336+I1337+I1338+I1339+I1340+I1341+I1335</f>
        <v>84371</v>
      </c>
      <c r="J1334" s="823">
        <f t="shared" si="236"/>
        <v>96.27546071774977</v>
      </c>
      <c r="K1334" s="23"/>
      <c r="L1334" s="182"/>
      <c r="M1334" s="182"/>
      <c r="N1334" s="823"/>
      <c r="O1334" s="23"/>
      <c r="P1334" s="221">
        <f t="shared" si="237"/>
        <v>87635</v>
      </c>
      <c r="Q1334" s="221">
        <f t="shared" si="235"/>
        <v>84371</v>
      </c>
      <c r="R1334" s="827">
        <f t="shared" si="234"/>
        <v>96.27546071774977</v>
      </c>
    </row>
    <row r="1335" spans="2:18" ht="12.75">
      <c r="B1335" s="224">
        <f t="shared" si="238"/>
        <v>77</v>
      </c>
      <c r="C1335" s="165"/>
      <c r="D1335" s="165"/>
      <c r="E1335" s="170"/>
      <c r="F1335" s="170">
        <v>631</v>
      </c>
      <c r="G1335" s="292" t="s">
        <v>770</v>
      </c>
      <c r="H1335" s="206"/>
      <c r="I1335" s="206">
        <v>16</v>
      </c>
      <c r="J1335" s="823"/>
      <c r="K1335" s="23"/>
      <c r="L1335" s="182"/>
      <c r="M1335" s="182"/>
      <c r="N1335" s="823"/>
      <c r="O1335" s="23"/>
      <c r="P1335" s="221"/>
      <c r="Q1335" s="221"/>
      <c r="R1335" s="827"/>
    </row>
    <row r="1336" spans="2:18" ht="12.75">
      <c r="B1336" s="224">
        <f t="shared" si="238"/>
        <v>78</v>
      </c>
      <c r="C1336" s="165"/>
      <c r="D1336" s="165"/>
      <c r="E1336" s="170"/>
      <c r="F1336" s="170">
        <v>632</v>
      </c>
      <c r="G1336" s="292" t="s">
        <v>293</v>
      </c>
      <c r="H1336" s="206">
        <v>2950</v>
      </c>
      <c r="I1336" s="206">
        <v>2576</v>
      </c>
      <c r="J1336" s="823">
        <f aca="true" t="shared" si="239" ref="J1336:J1342">I1336/H1336*100</f>
        <v>87.32203389830508</v>
      </c>
      <c r="K1336" s="23"/>
      <c r="L1336" s="182"/>
      <c r="M1336" s="182"/>
      <c r="N1336" s="823"/>
      <c r="O1336" s="23"/>
      <c r="P1336" s="221">
        <f aca="true" t="shared" si="240" ref="P1336:P1344">H1336+L1336</f>
        <v>2950</v>
      </c>
      <c r="Q1336" s="221">
        <f aca="true" t="shared" si="241" ref="Q1336:Q1344">I1336+M1336</f>
        <v>2576</v>
      </c>
      <c r="R1336" s="827">
        <f aca="true" t="shared" si="242" ref="R1336:R1344">Q1336/P1336*100</f>
        <v>87.32203389830508</v>
      </c>
    </row>
    <row r="1337" spans="2:18" ht="12.75">
      <c r="B1337" s="224">
        <f t="shared" si="238"/>
        <v>79</v>
      </c>
      <c r="C1337" s="165"/>
      <c r="D1337" s="165"/>
      <c r="E1337" s="170"/>
      <c r="F1337" s="170">
        <v>633</v>
      </c>
      <c r="G1337" s="292" t="s">
        <v>294</v>
      </c>
      <c r="H1337" s="206">
        <v>2300</v>
      </c>
      <c r="I1337" s="206">
        <v>2291</v>
      </c>
      <c r="J1337" s="823">
        <f t="shared" si="239"/>
        <v>99.60869565217392</v>
      </c>
      <c r="K1337" s="23"/>
      <c r="L1337" s="182"/>
      <c r="M1337" s="182"/>
      <c r="N1337" s="823"/>
      <c r="O1337" s="23"/>
      <c r="P1337" s="221">
        <f t="shared" si="240"/>
        <v>2300</v>
      </c>
      <c r="Q1337" s="221">
        <f t="shared" si="241"/>
        <v>2291</v>
      </c>
      <c r="R1337" s="827">
        <f t="shared" si="242"/>
        <v>99.60869565217392</v>
      </c>
    </row>
    <row r="1338" spans="2:18" ht="12.75">
      <c r="B1338" s="224">
        <f t="shared" si="238"/>
        <v>80</v>
      </c>
      <c r="C1338" s="165"/>
      <c r="D1338" s="165"/>
      <c r="E1338" s="170"/>
      <c r="F1338" s="170">
        <v>634</v>
      </c>
      <c r="G1338" s="292" t="s">
        <v>310</v>
      </c>
      <c r="H1338" s="206">
        <v>8500</v>
      </c>
      <c r="I1338" s="206">
        <v>8496</v>
      </c>
      <c r="J1338" s="823">
        <f t="shared" si="239"/>
        <v>99.95294117647059</v>
      </c>
      <c r="K1338" s="23"/>
      <c r="L1338" s="182"/>
      <c r="M1338" s="182"/>
      <c r="N1338" s="823"/>
      <c r="O1338" s="23"/>
      <c r="P1338" s="221">
        <f t="shared" si="240"/>
        <v>8500</v>
      </c>
      <c r="Q1338" s="221">
        <f t="shared" si="241"/>
        <v>8496</v>
      </c>
      <c r="R1338" s="827">
        <f t="shared" si="242"/>
        <v>99.95294117647059</v>
      </c>
    </row>
    <row r="1339" spans="2:18" ht="12.75">
      <c r="B1339" s="224">
        <f t="shared" si="238"/>
        <v>81</v>
      </c>
      <c r="C1339" s="165"/>
      <c r="D1339" s="165"/>
      <c r="E1339" s="170"/>
      <c r="F1339" s="170">
        <v>635</v>
      </c>
      <c r="G1339" s="292" t="s">
        <v>311</v>
      </c>
      <c r="H1339" s="206">
        <v>2700</v>
      </c>
      <c r="I1339" s="206">
        <v>2640</v>
      </c>
      <c r="J1339" s="823">
        <f t="shared" si="239"/>
        <v>97.77777777777777</v>
      </c>
      <c r="K1339" s="23"/>
      <c r="L1339" s="182"/>
      <c r="M1339" s="182"/>
      <c r="N1339" s="823"/>
      <c r="O1339" s="23"/>
      <c r="P1339" s="221">
        <f t="shared" si="240"/>
        <v>2700</v>
      </c>
      <c r="Q1339" s="221">
        <f t="shared" si="241"/>
        <v>2640</v>
      </c>
      <c r="R1339" s="827">
        <f t="shared" si="242"/>
        <v>97.77777777777777</v>
      </c>
    </row>
    <row r="1340" spans="2:18" ht="12.75">
      <c r="B1340" s="224">
        <f t="shared" si="238"/>
        <v>82</v>
      </c>
      <c r="C1340" s="245"/>
      <c r="D1340" s="245"/>
      <c r="E1340" s="246"/>
      <c r="F1340" s="246">
        <v>637</v>
      </c>
      <c r="G1340" s="344" t="s">
        <v>295</v>
      </c>
      <c r="H1340" s="247">
        <v>38685</v>
      </c>
      <c r="I1340" s="247">
        <f>68352-I1341</f>
        <v>32269</v>
      </c>
      <c r="J1340" s="823">
        <f t="shared" si="239"/>
        <v>83.41476024298824</v>
      </c>
      <c r="K1340" s="23"/>
      <c r="L1340" s="186"/>
      <c r="M1340" s="186"/>
      <c r="N1340" s="823"/>
      <c r="O1340" s="23"/>
      <c r="P1340" s="219">
        <f t="shared" si="240"/>
        <v>38685</v>
      </c>
      <c r="Q1340" s="219">
        <f t="shared" si="241"/>
        <v>32269</v>
      </c>
      <c r="R1340" s="827">
        <f t="shared" si="242"/>
        <v>83.41476024298824</v>
      </c>
    </row>
    <row r="1341" spans="2:18" ht="12.75">
      <c r="B1341" s="224">
        <f t="shared" si="238"/>
        <v>83</v>
      </c>
      <c r="C1341" s="171"/>
      <c r="D1341" s="171"/>
      <c r="E1341" s="173"/>
      <c r="F1341" s="173">
        <v>637</v>
      </c>
      <c r="G1341" s="310" t="s">
        <v>536</v>
      </c>
      <c r="H1341" s="206">
        <v>32500</v>
      </c>
      <c r="I1341" s="206">
        <v>36083</v>
      </c>
      <c r="J1341" s="823">
        <f t="shared" si="239"/>
        <v>111.02461538461539</v>
      </c>
      <c r="K1341" s="214"/>
      <c r="L1341" s="182"/>
      <c r="M1341" s="182"/>
      <c r="N1341" s="823"/>
      <c r="O1341" s="214"/>
      <c r="P1341" s="221">
        <f t="shared" si="240"/>
        <v>32500</v>
      </c>
      <c r="Q1341" s="221">
        <f t="shared" si="241"/>
        <v>36083</v>
      </c>
      <c r="R1341" s="827">
        <f t="shared" si="242"/>
        <v>111.02461538461539</v>
      </c>
    </row>
    <row r="1342" spans="2:18" ht="12.75">
      <c r="B1342" s="224">
        <f t="shared" si="238"/>
        <v>84</v>
      </c>
      <c r="C1342" s="171"/>
      <c r="D1342" s="171"/>
      <c r="E1342" s="173"/>
      <c r="F1342" s="577">
        <v>640</v>
      </c>
      <c r="G1342" s="311" t="s">
        <v>320</v>
      </c>
      <c r="H1342" s="190">
        <v>70</v>
      </c>
      <c r="I1342" s="190">
        <v>64</v>
      </c>
      <c r="J1342" s="823">
        <f t="shared" si="239"/>
        <v>91.42857142857143</v>
      </c>
      <c r="K1342" s="23"/>
      <c r="L1342" s="182"/>
      <c r="M1342" s="182"/>
      <c r="N1342" s="823"/>
      <c r="O1342" s="23"/>
      <c r="P1342" s="218">
        <f t="shared" si="240"/>
        <v>70</v>
      </c>
      <c r="Q1342" s="218">
        <f t="shared" si="241"/>
        <v>64</v>
      </c>
      <c r="R1342" s="827">
        <f t="shared" si="242"/>
        <v>91.42857142857143</v>
      </c>
    </row>
    <row r="1343" spans="2:18" ht="12.75">
      <c r="B1343" s="458">
        <f>B1341+1</f>
        <v>84</v>
      </c>
      <c r="C1343" s="245"/>
      <c r="D1343" s="245"/>
      <c r="E1343" s="246"/>
      <c r="F1343" s="246">
        <v>716</v>
      </c>
      <c r="G1343" s="344" t="s">
        <v>669</v>
      </c>
      <c r="H1343" s="506"/>
      <c r="I1343" s="506"/>
      <c r="J1343" s="823"/>
      <c r="K1343" s="23"/>
      <c r="L1343" s="406">
        <v>1140</v>
      </c>
      <c r="M1343" s="406">
        <v>1140</v>
      </c>
      <c r="N1343" s="823">
        <f>M1343/L1343*100</f>
        <v>100</v>
      </c>
      <c r="O1343" s="23"/>
      <c r="P1343" s="219">
        <f t="shared" si="240"/>
        <v>1140</v>
      </c>
      <c r="Q1343" s="219">
        <f t="shared" si="241"/>
        <v>1140</v>
      </c>
      <c r="R1343" s="827">
        <f t="shared" si="242"/>
        <v>100</v>
      </c>
    </row>
    <row r="1344" spans="2:18" ht="13.5" thickBot="1">
      <c r="B1344" s="507">
        <f>B1343+1</f>
        <v>85</v>
      </c>
      <c r="C1344" s="508"/>
      <c r="D1344" s="508"/>
      <c r="E1344" s="321"/>
      <c r="F1344" s="321">
        <v>717</v>
      </c>
      <c r="G1344" s="509" t="s">
        <v>548</v>
      </c>
      <c r="H1344" s="212">
        <v>0</v>
      </c>
      <c r="I1344" s="212"/>
      <c r="J1344" s="824"/>
      <c r="K1344" s="672"/>
      <c r="L1344" s="183">
        <f>171667-1140</f>
        <v>170527</v>
      </c>
      <c r="M1344" s="183">
        <v>170527</v>
      </c>
      <c r="N1344" s="824">
        <f>M1344/L1344*100</f>
        <v>100</v>
      </c>
      <c r="O1344" s="672"/>
      <c r="P1344" s="329">
        <f t="shared" si="240"/>
        <v>170527</v>
      </c>
      <c r="Q1344" s="329">
        <f t="shared" si="241"/>
        <v>170527</v>
      </c>
      <c r="R1344" s="828">
        <f t="shared" si="242"/>
        <v>100</v>
      </c>
    </row>
    <row r="1351" spans="2:18" ht="27.75" thickBot="1">
      <c r="B1351" s="379" t="s">
        <v>186</v>
      </c>
      <c r="C1351" s="379"/>
      <c r="D1351" s="379"/>
      <c r="E1351" s="379"/>
      <c r="F1351" s="379"/>
      <c r="G1351" s="379"/>
      <c r="H1351" s="379"/>
      <c r="I1351" s="379"/>
      <c r="J1351" s="619"/>
      <c r="K1351" s="602"/>
      <c r="L1351" s="379"/>
      <c r="M1351" s="379"/>
      <c r="N1351" s="379"/>
      <c r="O1351" s="602"/>
      <c r="P1351" s="379"/>
      <c r="R1351" s="825"/>
    </row>
    <row r="1352" spans="2:18" ht="13.5" thickBot="1">
      <c r="B1352" s="1037" t="s">
        <v>236</v>
      </c>
      <c r="C1352" s="1038"/>
      <c r="D1352" s="1038"/>
      <c r="E1352" s="1038"/>
      <c r="F1352" s="1038"/>
      <c r="G1352" s="1038"/>
      <c r="H1352" s="1038"/>
      <c r="I1352" s="1038"/>
      <c r="J1352" s="1038"/>
      <c r="K1352" s="1038"/>
      <c r="L1352" s="1038"/>
      <c r="M1352" s="592"/>
      <c r="N1352" s="983"/>
      <c r="O1352" s="673"/>
      <c r="P1352" s="1052" t="s">
        <v>627</v>
      </c>
      <c r="Q1352" s="1040" t="s">
        <v>772</v>
      </c>
      <c r="R1352" s="1047" t="s">
        <v>774</v>
      </c>
    </row>
    <row r="1353" spans="2:18" ht="21" customHeight="1">
      <c r="B1353" s="26"/>
      <c r="C1353" s="1043" t="s">
        <v>613</v>
      </c>
      <c r="D1353" s="1045" t="s">
        <v>612</v>
      </c>
      <c r="E1353" s="1045" t="s">
        <v>610</v>
      </c>
      <c r="F1353" s="1045" t="s">
        <v>611</v>
      </c>
      <c r="G1353" s="288" t="s">
        <v>4</v>
      </c>
      <c r="H1353" s="1027" t="s">
        <v>662</v>
      </c>
      <c r="I1353" s="1033" t="s">
        <v>772</v>
      </c>
      <c r="J1353" s="1035" t="s">
        <v>774</v>
      </c>
      <c r="K1353" s="30"/>
      <c r="L1353" s="1050" t="s">
        <v>663</v>
      </c>
      <c r="M1353" s="1033" t="s">
        <v>772</v>
      </c>
      <c r="N1353" s="1035" t="s">
        <v>774</v>
      </c>
      <c r="O1353" s="30"/>
      <c r="P1353" s="1053"/>
      <c r="Q1353" s="1041"/>
      <c r="R1353" s="1048"/>
    </row>
    <row r="1354" spans="2:18" ht="30" customHeight="1" thickBot="1">
      <c r="B1354" s="29"/>
      <c r="C1354" s="1044"/>
      <c r="D1354" s="1044"/>
      <c r="E1354" s="1044"/>
      <c r="F1354" s="1044"/>
      <c r="G1354" s="289"/>
      <c r="H1354" s="1029"/>
      <c r="I1354" s="1034"/>
      <c r="J1354" s="1046"/>
      <c r="K1354" s="30"/>
      <c r="L1354" s="1051"/>
      <c r="M1354" s="1034"/>
      <c r="N1354" s="1046"/>
      <c r="O1354" s="30"/>
      <c r="P1354" s="1054"/>
      <c r="Q1354" s="1042"/>
      <c r="R1354" s="1049"/>
    </row>
    <row r="1355" spans="2:18" ht="19.5" thickBot="1" thickTop="1">
      <c r="B1355" s="224">
        <v>1</v>
      </c>
      <c r="C1355" s="158" t="s">
        <v>268</v>
      </c>
      <c r="D1355" s="125"/>
      <c r="E1355" s="125"/>
      <c r="F1355" s="125"/>
      <c r="G1355" s="309"/>
      <c r="H1355" s="225">
        <f>H1356+H1366+H1368+H1374+H1386+H1419+H1435+H1445+H1447+Výdavky!H1453+Výdavky!H1462</f>
        <v>1808043</v>
      </c>
      <c r="I1355" s="593">
        <f>I1356+I1366+I1368+I1374+I1386+I1419+I1435+I1445+I1447+I1453+I1462</f>
        <v>1770279</v>
      </c>
      <c r="J1355" s="690">
        <f aca="true" t="shared" si="243" ref="J1355:J1383">I1355/H1355*100</f>
        <v>97.91133286099944</v>
      </c>
      <c r="K1355" s="127"/>
      <c r="L1355" s="325">
        <f>L1356+L1366+L1368+L1374+L1386+L1419+L1435+L1445+L1447+Výdavky!L1453+Výdavky!L1462</f>
        <v>0</v>
      </c>
      <c r="M1355" s="593">
        <f>M1356+M1402+M1412+M1415+M1417+M1426</f>
        <v>0</v>
      </c>
      <c r="N1355" s="822"/>
      <c r="O1355" s="127"/>
      <c r="P1355" s="298">
        <f aca="true" t="shared" si="244" ref="P1355:P1382">H1355+L1355</f>
        <v>1808043</v>
      </c>
      <c r="Q1355" s="607">
        <f aca="true" t="shared" si="245" ref="Q1355:Q1383">I1355</f>
        <v>1770279</v>
      </c>
      <c r="R1355" s="693">
        <f aca="true" t="shared" si="246" ref="R1355:R1383">Q1355/P1355*100</f>
        <v>97.91133286099944</v>
      </c>
    </row>
    <row r="1356" spans="2:18" ht="16.5" thickTop="1">
      <c r="B1356" s="224">
        <f aca="true" t="shared" si="247" ref="B1356:B1387">B1355+1</f>
        <v>2</v>
      </c>
      <c r="C1356" s="27">
        <v>1</v>
      </c>
      <c r="D1356" s="160" t="s">
        <v>107</v>
      </c>
      <c r="E1356" s="28"/>
      <c r="F1356" s="28"/>
      <c r="G1356" s="291"/>
      <c r="H1356" s="227">
        <f>H1357</f>
        <v>180603</v>
      </c>
      <c r="I1356" s="594">
        <f>I1357</f>
        <v>166608</v>
      </c>
      <c r="J1356" s="822">
        <f t="shared" si="243"/>
        <v>92.25095928639058</v>
      </c>
      <c r="K1356" s="96"/>
      <c r="L1356" s="326">
        <f>L1357</f>
        <v>0</v>
      </c>
      <c r="M1356" s="594">
        <f>M1357+M1367+M1377+M1399+M1400</f>
        <v>0</v>
      </c>
      <c r="N1356" s="823"/>
      <c r="O1356" s="96"/>
      <c r="P1356" s="299">
        <f t="shared" si="244"/>
        <v>180603</v>
      </c>
      <c r="Q1356" s="608">
        <f t="shared" si="245"/>
        <v>166608</v>
      </c>
      <c r="R1356" s="826">
        <f t="shared" si="246"/>
        <v>92.25095928639058</v>
      </c>
    </row>
    <row r="1357" spans="2:18" ht="12.75">
      <c r="B1357" s="224">
        <f t="shared" si="247"/>
        <v>3</v>
      </c>
      <c r="C1357" s="187"/>
      <c r="D1357" s="188"/>
      <c r="E1357" s="499" t="s">
        <v>358</v>
      </c>
      <c r="F1357" s="499"/>
      <c r="G1357" s="500" t="s">
        <v>583</v>
      </c>
      <c r="H1357" s="501">
        <f>H1358+H1359+H1360+H1365</f>
        <v>180603</v>
      </c>
      <c r="I1357" s="501">
        <f>I1358+I1359+I1360+I1365</f>
        <v>166608</v>
      </c>
      <c r="J1357" s="823">
        <f t="shared" si="243"/>
        <v>92.25095928639058</v>
      </c>
      <c r="K1357" s="199"/>
      <c r="L1357" s="504"/>
      <c r="M1357" s="504"/>
      <c r="N1357" s="991"/>
      <c r="O1357" s="199"/>
      <c r="P1357" s="505">
        <f t="shared" si="244"/>
        <v>180603</v>
      </c>
      <c r="Q1357" s="505">
        <f t="shared" si="245"/>
        <v>166608</v>
      </c>
      <c r="R1357" s="827">
        <f t="shared" si="246"/>
        <v>92.25095928639058</v>
      </c>
    </row>
    <row r="1358" spans="2:18" ht="12.75">
      <c r="B1358" s="224">
        <f t="shared" si="247"/>
        <v>4</v>
      </c>
      <c r="C1358" s="187"/>
      <c r="D1358" s="188"/>
      <c r="E1358" s="196"/>
      <c r="F1358" s="196">
        <v>610</v>
      </c>
      <c r="G1358" s="307" t="s">
        <v>307</v>
      </c>
      <c r="H1358" s="207">
        <f>72000+6000</f>
        <v>78000</v>
      </c>
      <c r="I1358" s="207">
        <v>78000</v>
      </c>
      <c r="J1358" s="823">
        <f t="shared" si="243"/>
        <v>100</v>
      </c>
      <c r="K1358" s="199"/>
      <c r="L1358" s="237"/>
      <c r="M1358" s="237"/>
      <c r="N1358" s="991"/>
      <c r="O1358" s="199"/>
      <c r="P1358" s="218">
        <f t="shared" si="244"/>
        <v>78000</v>
      </c>
      <c r="Q1358" s="218">
        <f t="shared" si="245"/>
        <v>78000</v>
      </c>
      <c r="R1358" s="827">
        <f t="shared" si="246"/>
        <v>100</v>
      </c>
    </row>
    <row r="1359" spans="2:18" ht="12.75">
      <c r="B1359" s="224">
        <f t="shared" si="247"/>
        <v>5</v>
      </c>
      <c r="C1359" s="187"/>
      <c r="D1359" s="188"/>
      <c r="E1359" s="170"/>
      <c r="F1359" s="196">
        <v>620</v>
      </c>
      <c r="G1359" s="307" t="s">
        <v>309</v>
      </c>
      <c r="H1359" s="207">
        <f>25400+2000</f>
        <v>27400</v>
      </c>
      <c r="I1359" s="207">
        <v>27400</v>
      </c>
      <c r="J1359" s="823">
        <f t="shared" si="243"/>
        <v>100</v>
      </c>
      <c r="K1359" s="199"/>
      <c r="L1359" s="237"/>
      <c r="M1359" s="237"/>
      <c r="N1359" s="991"/>
      <c r="O1359" s="199"/>
      <c r="P1359" s="218">
        <f t="shared" si="244"/>
        <v>27400</v>
      </c>
      <c r="Q1359" s="218">
        <f t="shared" si="245"/>
        <v>27400</v>
      </c>
      <c r="R1359" s="827">
        <f t="shared" si="246"/>
        <v>100</v>
      </c>
    </row>
    <row r="1360" spans="2:18" ht="12.75">
      <c r="B1360" s="224">
        <f t="shared" si="247"/>
        <v>6</v>
      </c>
      <c r="C1360" s="187"/>
      <c r="D1360" s="188"/>
      <c r="E1360" s="170"/>
      <c r="F1360" s="196">
        <v>630</v>
      </c>
      <c r="G1360" s="307" t="s">
        <v>428</v>
      </c>
      <c r="H1360" s="207">
        <f>H1361+H1362+H1363+H1364</f>
        <v>75063</v>
      </c>
      <c r="I1360" s="207">
        <f>I1361+I1362+I1363+I1364</f>
        <v>61068</v>
      </c>
      <c r="J1360" s="823">
        <f t="shared" si="243"/>
        <v>81.35566124455458</v>
      </c>
      <c r="K1360" s="199"/>
      <c r="L1360" s="237"/>
      <c r="M1360" s="237"/>
      <c r="N1360" s="991"/>
      <c r="O1360" s="199"/>
      <c r="P1360" s="218">
        <f t="shared" si="244"/>
        <v>75063</v>
      </c>
      <c r="Q1360" s="218">
        <f t="shared" si="245"/>
        <v>61068</v>
      </c>
      <c r="R1360" s="827">
        <f t="shared" si="246"/>
        <v>81.35566124455458</v>
      </c>
    </row>
    <row r="1361" spans="2:18" ht="12.75">
      <c r="B1361" s="224">
        <f t="shared" si="247"/>
        <v>7</v>
      </c>
      <c r="C1361" s="187"/>
      <c r="D1361" s="188"/>
      <c r="E1361" s="170"/>
      <c r="F1361" s="170">
        <v>632</v>
      </c>
      <c r="G1361" s="292" t="s">
        <v>293</v>
      </c>
      <c r="H1361" s="206">
        <v>26120</v>
      </c>
      <c r="I1361" s="206">
        <v>20672</v>
      </c>
      <c r="J1361" s="823">
        <f t="shared" si="243"/>
        <v>79.14241960183767</v>
      </c>
      <c r="K1361" s="199"/>
      <c r="L1361" s="237"/>
      <c r="M1361" s="237"/>
      <c r="N1361" s="991"/>
      <c r="O1361" s="199"/>
      <c r="P1361" s="219">
        <f t="shared" si="244"/>
        <v>26120</v>
      </c>
      <c r="Q1361" s="219">
        <f t="shared" si="245"/>
        <v>20672</v>
      </c>
      <c r="R1361" s="827">
        <f t="shared" si="246"/>
        <v>79.14241960183767</v>
      </c>
    </row>
    <row r="1362" spans="2:18" ht="12.75">
      <c r="B1362" s="224">
        <f t="shared" si="247"/>
        <v>8</v>
      </c>
      <c r="C1362" s="187"/>
      <c r="D1362" s="188"/>
      <c r="E1362" s="170"/>
      <c r="F1362" s="170">
        <v>633</v>
      </c>
      <c r="G1362" s="292" t="s">
        <v>294</v>
      </c>
      <c r="H1362" s="206">
        <v>21100</v>
      </c>
      <c r="I1362" s="206">
        <v>18691</v>
      </c>
      <c r="J1362" s="823">
        <f t="shared" si="243"/>
        <v>88.58293838862559</v>
      </c>
      <c r="K1362" s="199"/>
      <c r="L1362" s="237"/>
      <c r="M1362" s="237"/>
      <c r="N1362" s="991"/>
      <c r="O1362" s="199"/>
      <c r="P1362" s="219">
        <f t="shared" si="244"/>
        <v>21100</v>
      </c>
      <c r="Q1362" s="219">
        <f t="shared" si="245"/>
        <v>18691</v>
      </c>
      <c r="R1362" s="827">
        <f t="shared" si="246"/>
        <v>88.58293838862559</v>
      </c>
    </row>
    <row r="1363" spans="2:18" ht="12.75">
      <c r="B1363" s="224">
        <f t="shared" si="247"/>
        <v>9</v>
      </c>
      <c r="C1363" s="187"/>
      <c r="D1363" s="188"/>
      <c r="E1363" s="170"/>
      <c r="F1363" s="170">
        <v>635</v>
      </c>
      <c r="G1363" s="292" t="s">
        <v>311</v>
      </c>
      <c r="H1363" s="206">
        <f>25200-40</f>
        <v>25160</v>
      </c>
      <c r="I1363" s="206">
        <v>19040</v>
      </c>
      <c r="J1363" s="823">
        <f t="shared" si="243"/>
        <v>75.67567567567568</v>
      </c>
      <c r="K1363" s="199"/>
      <c r="L1363" s="237"/>
      <c r="M1363" s="237"/>
      <c r="N1363" s="991"/>
      <c r="O1363" s="199"/>
      <c r="P1363" s="219">
        <f t="shared" si="244"/>
        <v>25160</v>
      </c>
      <c r="Q1363" s="219">
        <f t="shared" si="245"/>
        <v>19040</v>
      </c>
      <c r="R1363" s="827">
        <f t="shared" si="246"/>
        <v>75.67567567567568</v>
      </c>
    </row>
    <row r="1364" spans="2:18" ht="12.75">
      <c r="B1364" s="224">
        <f t="shared" si="247"/>
        <v>10</v>
      </c>
      <c r="C1364" s="187"/>
      <c r="D1364" s="188"/>
      <c r="E1364" s="170"/>
      <c r="F1364" s="170">
        <v>637</v>
      </c>
      <c r="G1364" s="292" t="s">
        <v>295</v>
      </c>
      <c r="H1364" s="206">
        <f>2080+603</f>
        <v>2683</v>
      </c>
      <c r="I1364" s="206">
        <v>2665</v>
      </c>
      <c r="J1364" s="823">
        <f t="shared" si="243"/>
        <v>99.32910920611256</v>
      </c>
      <c r="K1364" s="199"/>
      <c r="L1364" s="237"/>
      <c r="M1364" s="237"/>
      <c r="N1364" s="991"/>
      <c r="O1364" s="199"/>
      <c r="P1364" s="219">
        <f t="shared" si="244"/>
        <v>2683</v>
      </c>
      <c r="Q1364" s="219">
        <f t="shared" si="245"/>
        <v>2665</v>
      </c>
      <c r="R1364" s="827">
        <f t="shared" si="246"/>
        <v>99.32910920611256</v>
      </c>
    </row>
    <row r="1365" spans="2:18" ht="12.75">
      <c r="B1365" s="224">
        <f t="shared" si="247"/>
        <v>11</v>
      </c>
      <c r="C1365" s="187"/>
      <c r="D1365" s="188"/>
      <c r="E1365" s="188"/>
      <c r="F1365" s="196">
        <v>640</v>
      </c>
      <c r="G1365" s="307" t="s">
        <v>368</v>
      </c>
      <c r="H1365" s="207">
        <f>100+40</f>
        <v>140</v>
      </c>
      <c r="I1365" s="207">
        <v>140</v>
      </c>
      <c r="J1365" s="823">
        <f t="shared" si="243"/>
        <v>100</v>
      </c>
      <c r="K1365" s="199"/>
      <c r="L1365" s="190"/>
      <c r="M1365" s="190"/>
      <c r="N1365" s="989"/>
      <c r="O1365" s="654"/>
      <c r="P1365" s="396">
        <f t="shared" si="244"/>
        <v>140</v>
      </c>
      <c r="Q1365" s="396">
        <f t="shared" si="245"/>
        <v>140</v>
      </c>
      <c r="R1365" s="827">
        <f t="shared" si="246"/>
        <v>100</v>
      </c>
    </row>
    <row r="1366" spans="2:18" ht="15.75">
      <c r="B1366" s="224">
        <f t="shared" si="247"/>
        <v>12</v>
      </c>
      <c r="C1366" s="24">
        <v>2</v>
      </c>
      <c r="D1366" s="159" t="s">
        <v>269</v>
      </c>
      <c r="E1366" s="25"/>
      <c r="F1366" s="25"/>
      <c r="G1366" s="293"/>
      <c r="H1366" s="228">
        <f>H1367</f>
        <v>500</v>
      </c>
      <c r="I1366" s="615">
        <f>I1367</f>
        <v>60</v>
      </c>
      <c r="J1366" s="823">
        <f t="shared" si="243"/>
        <v>12</v>
      </c>
      <c r="K1366" s="96"/>
      <c r="L1366" s="376"/>
      <c r="M1366" s="643"/>
      <c r="N1366" s="992"/>
      <c r="O1366" s="377"/>
      <c r="P1366" s="300">
        <f t="shared" si="244"/>
        <v>500</v>
      </c>
      <c r="Q1366" s="609">
        <f t="shared" si="245"/>
        <v>60</v>
      </c>
      <c r="R1366" s="827">
        <f t="shared" si="246"/>
        <v>12</v>
      </c>
    </row>
    <row r="1367" spans="2:18" ht="12.75">
      <c r="B1367" s="224">
        <f t="shared" si="247"/>
        <v>13</v>
      </c>
      <c r="C1367" s="165"/>
      <c r="D1367" s="165"/>
      <c r="E1367" s="170" t="s">
        <v>347</v>
      </c>
      <c r="F1367" s="170">
        <v>640</v>
      </c>
      <c r="G1367" s="292" t="s">
        <v>348</v>
      </c>
      <c r="H1367" s="206">
        <v>500</v>
      </c>
      <c r="I1367" s="206">
        <v>60</v>
      </c>
      <c r="J1367" s="823">
        <f t="shared" si="243"/>
        <v>12</v>
      </c>
      <c r="K1367" s="23"/>
      <c r="L1367" s="172">
        <v>0</v>
      </c>
      <c r="M1367" s="172">
        <v>0</v>
      </c>
      <c r="N1367" s="993"/>
      <c r="O1367" s="950"/>
      <c r="P1367" s="221">
        <f t="shared" si="244"/>
        <v>500</v>
      </c>
      <c r="Q1367" s="221">
        <f t="shared" si="245"/>
        <v>60</v>
      </c>
      <c r="R1367" s="827">
        <f t="shared" si="246"/>
        <v>12</v>
      </c>
    </row>
    <row r="1368" spans="2:18" ht="15.75">
      <c r="B1368" s="224">
        <f t="shared" si="247"/>
        <v>14</v>
      </c>
      <c r="C1368" s="27">
        <v>3</v>
      </c>
      <c r="D1368" s="160" t="s">
        <v>3</v>
      </c>
      <c r="E1368" s="28"/>
      <c r="F1368" s="28"/>
      <c r="G1368" s="291"/>
      <c r="H1368" s="354">
        <f>SUM(H1369:H1373)</f>
        <v>10000</v>
      </c>
      <c r="I1368" s="675">
        <f>I1369+I1370+I1371+I1372+I1373</f>
        <v>10000</v>
      </c>
      <c r="J1368" s="823">
        <f t="shared" si="243"/>
        <v>100</v>
      </c>
      <c r="K1368" s="96"/>
      <c r="L1368" s="376">
        <v>0</v>
      </c>
      <c r="M1368" s="643">
        <v>0</v>
      </c>
      <c r="N1368" s="992">
        <v>0</v>
      </c>
      <c r="O1368" s="378"/>
      <c r="P1368" s="300">
        <f t="shared" si="244"/>
        <v>10000</v>
      </c>
      <c r="Q1368" s="609">
        <f t="shared" si="245"/>
        <v>10000</v>
      </c>
      <c r="R1368" s="827">
        <f t="shared" si="246"/>
        <v>100</v>
      </c>
    </row>
    <row r="1369" spans="2:18" ht="12.75">
      <c r="B1369" s="224">
        <f t="shared" si="247"/>
        <v>15</v>
      </c>
      <c r="C1369" s="165"/>
      <c r="D1369" s="209"/>
      <c r="E1369" s="205" t="s">
        <v>349</v>
      </c>
      <c r="F1369" s="205">
        <v>640</v>
      </c>
      <c r="G1369" s="292" t="s">
        <v>553</v>
      </c>
      <c r="H1369" s="211">
        <v>2000</v>
      </c>
      <c r="I1369" s="211">
        <v>2000</v>
      </c>
      <c r="J1369" s="823">
        <f t="shared" si="243"/>
        <v>100</v>
      </c>
      <c r="K1369" s="23"/>
      <c r="L1369" s="167"/>
      <c r="M1369" s="167"/>
      <c r="N1369" s="994"/>
      <c r="O1369" s="23"/>
      <c r="P1369" s="327">
        <f t="shared" si="244"/>
        <v>2000</v>
      </c>
      <c r="Q1369" s="327">
        <f t="shared" si="245"/>
        <v>2000</v>
      </c>
      <c r="R1369" s="827">
        <f t="shared" si="246"/>
        <v>100</v>
      </c>
    </row>
    <row r="1370" spans="2:18" ht="12.75">
      <c r="B1370" s="224">
        <f t="shared" si="247"/>
        <v>16</v>
      </c>
      <c r="C1370" s="165"/>
      <c r="D1370" s="209"/>
      <c r="E1370" s="205" t="s">
        <v>349</v>
      </c>
      <c r="F1370" s="205">
        <v>640</v>
      </c>
      <c r="G1370" s="292" t="s">
        <v>554</v>
      </c>
      <c r="H1370" s="211">
        <v>2000</v>
      </c>
      <c r="I1370" s="211">
        <v>2000</v>
      </c>
      <c r="J1370" s="823">
        <f t="shared" si="243"/>
        <v>100</v>
      </c>
      <c r="K1370" s="23"/>
      <c r="L1370" s="167"/>
      <c r="M1370" s="167"/>
      <c r="N1370" s="994"/>
      <c r="O1370" s="23"/>
      <c r="P1370" s="327">
        <f t="shared" si="244"/>
        <v>2000</v>
      </c>
      <c r="Q1370" s="327">
        <f t="shared" si="245"/>
        <v>2000</v>
      </c>
      <c r="R1370" s="827">
        <f t="shared" si="246"/>
        <v>100</v>
      </c>
    </row>
    <row r="1371" spans="2:18" ht="12.75">
      <c r="B1371" s="224">
        <f t="shared" si="247"/>
        <v>17</v>
      </c>
      <c r="C1371" s="165"/>
      <c r="D1371" s="209"/>
      <c r="E1371" s="205" t="s">
        <v>349</v>
      </c>
      <c r="F1371" s="205">
        <v>640</v>
      </c>
      <c r="G1371" s="292" t="s">
        <v>555</v>
      </c>
      <c r="H1371" s="211">
        <v>5000</v>
      </c>
      <c r="I1371" s="211">
        <v>5000</v>
      </c>
      <c r="J1371" s="823">
        <f t="shared" si="243"/>
        <v>100</v>
      </c>
      <c r="K1371" s="23"/>
      <c r="L1371" s="167"/>
      <c r="M1371" s="167"/>
      <c r="N1371" s="994"/>
      <c r="O1371" s="23"/>
      <c r="P1371" s="327">
        <f t="shared" si="244"/>
        <v>5000</v>
      </c>
      <c r="Q1371" s="327">
        <f t="shared" si="245"/>
        <v>5000</v>
      </c>
      <c r="R1371" s="827">
        <f t="shared" si="246"/>
        <v>100</v>
      </c>
    </row>
    <row r="1372" spans="2:18" ht="12.75">
      <c r="B1372" s="224">
        <f t="shared" si="247"/>
        <v>18</v>
      </c>
      <c r="C1372" s="165"/>
      <c r="D1372" s="209"/>
      <c r="E1372" s="205" t="s">
        <v>349</v>
      </c>
      <c r="F1372" s="205">
        <v>640</v>
      </c>
      <c r="G1372" s="292" t="s">
        <v>350</v>
      </c>
      <c r="H1372" s="211">
        <f>2000-1800+150</f>
        <v>350</v>
      </c>
      <c r="I1372" s="211">
        <v>350</v>
      </c>
      <c r="J1372" s="823">
        <f t="shared" si="243"/>
        <v>100</v>
      </c>
      <c r="K1372" s="23"/>
      <c r="L1372" s="167"/>
      <c r="M1372" s="167"/>
      <c r="N1372" s="994"/>
      <c r="O1372" s="23"/>
      <c r="P1372" s="327">
        <f t="shared" si="244"/>
        <v>350</v>
      </c>
      <c r="Q1372" s="327">
        <f t="shared" si="245"/>
        <v>350</v>
      </c>
      <c r="R1372" s="827">
        <f t="shared" si="246"/>
        <v>100</v>
      </c>
    </row>
    <row r="1373" spans="2:18" ht="12.75">
      <c r="B1373" s="224">
        <f t="shared" si="247"/>
        <v>19</v>
      </c>
      <c r="C1373" s="165"/>
      <c r="D1373" s="209"/>
      <c r="E1373" s="205" t="s">
        <v>349</v>
      </c>
      <c r="F1373" s="205">
        <v>640</v>
      </c>
      <c r="G1373" s="292" t="s">
        <v>677</v>
      </c>
      <c r="H1373" s="211">
        <v>650</v>
      </c>
      <c r="I1373" s="211">
        <v>650</v>
      </c>
      <c r="J1373" s="823">
        <f t="shared" si="243"/>
        <v>100</v>
      </c>
      <c r="K1373" s="23"/>
      <c r="L1373" s="167"/>
      <c r="M1373" s="167"/>
      <c r="N1373" s="994"/>
      <c r="O1373" s="23"/>
      <c r="P1373" s="327">
        <f t="shared" si="244"/>
        <v>650</v>
      </c>
      <c r="Q1373" s="327">
        <f t="shared" si="245"/>
        <v>650</v>
      </c>
      <c r="R1373" s="827">
        <f t="shared" si="246"/>
        <v>100</v>
      </c>
    </row>
    <row r="1374" spans="2:18" ht="15.75">
      <c r="B1374" s="224">
        <f t="shared" si="247"/>
        <v>20</v>
      </c>
      <c r="C1374" s="27">
        <v>4</v>
      </c>
      <c r="D1374" s="160" t="s">
        <v>401</v>
      </c>
      <c r="E1374" s="28"/>
      <c r="F1374" s="28"/>
      <c r="G1374" s="291"/>
      <c r="H1374" s="230">
        <f>H1375+H1385</f>
        <v>32350</v>
      </c>
      <c r="I1374" s="618">
        <f>I1375+I1385</f>
        <v>31505</v>
      </c>
      <c r="J1374" s="823">
        <f t="shared" si="243"/>
        <v>97.38794435857805</v>
      </c>
      <c r="K1374" s="96"/>
      <c r="L1374" s="343"/>
      <c r="M1374" s="664"/>
      <c r="N1374" s="995"/>
      <c r="O1374" s="96"/>
      <c r="P1374" s="299">
        <f t="shared" si="244"/>
        <v>32350</v>
      </c>
      <c r="Q1374" s="608">
        <f t="shared" si="245"/>
        <v>31505</v>
      </c>
      <c r="R1374" s="827">
        <f t="shared" si="246"/>
        <v>97.38794435857805</v>
      </c>
    </row>
    <row r="1375" spans="2:18" ht="12.75">
      <c r="B1375" s="224">
        <f t="shared" si="247"/>
        <v>21</v>
      </c>
      <c r="C1375" s="171"/>
      <c r="D1375" s="171"/>
      <c r="E1375" s="499" t="s">
        <v>402</v>
      </c>
      <c r="F1375" s="499"/>
      <c r="G1375" s="500" t="s">
        <v>584</v>
      </c>
      <c r="H1375" s="501">
        <f>H1376+H1377+H1378+H1383</f>
        <v>28400</v>
      </c>
      <c r="I1375" s="501">
        <f>I1376+I1377+I1378+I1383</f>
        <v>27830</v>
      </c>
      <c r="J1375" s="823">
        <f t="shared" si="243"/>
        <v>97.99295774647887</v>
      </c>
      <c r="K1375" s="23"/>
      <c r="L1375" s="502"/>
      <c r="M1375" s="502"/>
      <c r="N1375" s="993"/>
      <c r="O1375" s="23"/>
      <c r="P1375" s="503">
        <f t="shared" si="244"/>
        <v>28400</v>
      </c>
      <c r="Q1375" s="503">
        <f t="shared" si="245"/>
        <v>27830</v>
      </c>
      <c r="R1375" s="827">
        <f t="shared" si="246"/>
        <v>97.99295774647887</v>
      </c>
    </row>
    <row r="1376" spans="2:18" ht="12.75">
      <c r="B1376" s="224">
        <f t="shared" si="247"/>
        <v>22</v>
      </c>
      <c r="C1376" s="165"/>
      <c r="D1376" s="165"/>
      <c r="E1376" s="196"/>
      <c r="F1376" s="196">
        <v>610</v>
      </c>
      <c r="G1376" s="307" t="s">
        <v>307</v>
      </c>
      <c r="H1376" s="207">
        <v>15200</v>
      </c>
      <c r="I1376" s="207">
        <v>15200</v>
      </c>
      <c r="J1376" s="823">
        <f t="shared" si="243"/>
        <v>100</v>
      </c>
      <c r="K1376" s="23"/>
      <c r="L1376" s="172"/>
      <c r="M1376" s="172"/>
      <c r="N1376" s="993"/>
      <c r="O1376" s="23"/>
      <c r="P1376" s="396">
        <f t="shared" si="244"/>
        <v>15200</v>
      </c>
      <c r="Q1376" s="396">
        <f t="shared" si="245"/>
        <v>15200</v>
      </c>
      <c r="R1376" s="827">
        <f t="shared" si="246"/>
        <v>100</v>
      </c>
    </row>
    <row r="1377" spans="2:18" ht="12.75">
      <c r="B1377" s="224">
        <f t="shared" si="247"/>
        <v>23</v>
      </c>
      <c r="C1377" s="165"/>
      <c r="D1377" s="165"/>
      <c r="E1377" s="170"/>
      <c r="F1377" s="196">
        <v>620</v>
      </c>
      <c r="G1377" s="307" t="s">
        <v>309</v>
      </c>
      <c r="H1377" s="207">
        <v>5260</v>
      </c>
      <c r="I1377" s="207">
        <v>5260</v>
      </c>
      <c r="J1377" s="823">
        <f t="shared" si="243"/>
        <v>100</v>
      </c>
      <c r="K1377" s="23"/>
      <c r="L1377" s="172"/>
      <c r="M1377" s="172"/>
      <c r="N1377" s="993"/>
      <c r="O1377" s="23"/>
      <c r="P1377" s="396">
        <f t="shared" si="244"/>
        <v>5260</v>
      </c>
      <c r="Q1377" s="396">
        <f t="shared" si="245"/>
        <v>5260</v>
      </c>
      <c r="R1377" s="827">
        <f t="shared" si="246"/>
        <v>100</v>
      </c>
    </row>
    <row r="1378" spans="2:18" ht="12.75">
      <c r="B1378" s="224">
        <f t="shared" si="247"/>
        <v>24</v>
      </c>
      <c r="C1378" s="165"/>
      <c r="D1378" s="165"/>
      <c r="E1378" s="170"/>
      <c r="F1378" s="196">
        <v>630</v>
      </c>
      <c r="G1378" s="307" t="s">
        <v>428</v>
      </c>
      <c r="H1378" s="207">
        <f>H1379+H1380+H1381+H1382</f>
        <v>7210</v>
      </c>
      <c r="I1378" s="207">
        <f>I1379+I1380+I1381+I1382</f>
        <v>6640</v>
      </c>
      <c r="J1378" s="823">
        <f t="shared" si="243"/>
        <v>92.09431345353676</v>
      </c>
      <c r="K1378" s="23"/>
      <c r="L1378" s="172"/>
      <c r="M1378" s="172"/>
      <c r="N1378" s="993"/>
      <c r="O1378" s="23"/>
      <c r="P1378" s="396">
        <f t="shared" si="244"/>
        <v>7210</v>
      </c>
      <c r="Q1378" s="396">
        <f t="shared" si="245"/>
        <v>6640</v>
      </c>
      <c r="R1378" s="827">
        <f t="shared" si="246"/>
        <v>92.09431345353676</v>
      </c>
    </row>
    <row r="1379" spans="2:18" ht="12.75">
      <c r="B1379" s="224">
        <f t="shared" si="247"/>
        <v>25</v>
      </c>
      <c r="C1379" s="165"/>
      <c r="D1379" s="209"/>
      <c r="E1379" s="173"/>
      <c r="F1379" s="173">
        <v>632</v>
      </c>
      <c r="G1379" s="292" t="s">
        <v>293</v>
      </c>
      <c r="H1379" s="206">
        <v>3840</v>
      </c>
      <c r="I1379" s="206">
        <v>3530</v>
      </c>
      <c r="J1379" s="823">
        <f t="shared" si="243"/>
        <v>91.92708333333334</v>
      </c>
      <c r="K1379" s="23"/>
      <c r="L1379" s="172"/>
      <c r="M1379" s="172"/>
      <c r="N1379" s="993"/>
      <c r="O1379" s="23"/>
      <c r="P1379" s="221">
        <f t="shared" si="244"/>
        <v>3840</v>
      </c>
      <c r="Q1379" s="221">
        <f t="shared" si="245"/>
        <v>3530</v>
      </c>
      <c r="R1379" s="827">
        <f t="shared" si="246"/>
        <v>91.92708333333334</v>
      </c>
    </row>
    <row r="1380" spans="2:18" ht="12.75">
      <c r="B1380" s="224">
        <f t="shared" si="247"/>
        <v>26</v>
      </c>
      <c r="C1380" s="165"/>
      <c r="D1380" s="209"/>
      <c r="E1380" s="170"/>
      <c r="F1380" s="170">
        <v>633</v>
      </c>
      <c r="G1380" s="292" t="s">
        <v>403</v>
      </c>
      <c r="H1380" s="206">
        <f>900-240</f>
        <v>660</v>
      </c>
      <c r="I1380" s="206">
        <v>439</v>
      </c>
      <c r="J1380" s="823">
        <f t="shared" si="243"/>
        <v>66.51515151515152</v>
      </c>
      <c r="K1380" s="23"/>
      <c r="L1380" s="172"/>
      <c r="M1380" s="172"/>
      <c r="N1380" s="993"/>
      <c r="O1380" s="23"/>
      <c r="P1380" s="221">
        <f t="shared" si="244"/>
        <v>660</v>
      </c>
      <c r="Q1380" s="221">
        <f t="shared" si="245"/>
        <v>439</v>
      </c>
      <c r="R1380" s="827">
        <f t="shared" si="246"/>
        <v>66.51515151515152</v>
      </c>
    </row>
    <row r="1381" spans="2:18" ht="12.75">
      <c r="B1381" s="224">
        <f t="shared" si="247"/>
        <v>27</v>
      </c>
      <c r="C1381" s="165"/>
      <c r="D1381" s="209"/>
      <c r="E1381" s="170"/>
      <c r="F1381" s="170">
        <v>635</v>
      </c>
      <c r="G1381" s="292" t="s">
        <v>311</v>
      </c>
      <c r="H1381" s="206">
        <v>10</v>
      </c>
      <c r="I1381" s="206">
        <v>8</v>
      </c>
      <c r="J1381" s="823">
        <f t="shared" si="243"/>
        <v>80</v>
      </c>
      <c r="K1381" s="23"/>
      <c r="L1381" s="172"/>
      <c r="M1381" s="172"/>
      <c r="N1381" s="993"/>
      <c r="O1381" s="23"/>
      <c r="P1381" s="221">
        <f t="shared" si="244"/>
        <v>10</v>
      </c>
      <c r="Q1381" s="221">
        <f t="shared" si="245"/>
        <v>8</v>
      </c>
      <c r="R1381" s="827">
        <f t="shared" si="246"/>
        <v>80</v>
      </c>
    </row>
    <row r="1382" spans="2:18" ht="12.75">
      <c r="B1382" s="224">
        <f t="shared" si="247"/>
        <v>28</v>
      </c>
      <c r="C1382" s="165"/>
      <c r="D1382" s="209"/>
      <c r="E1382" s="170"/>
      <c r="F1382" s="170">
        <v>637</v>
      </c>
      <c r="G1382" s="292" t="s">
        <v>404</v>
      </c>
      <c r="H1382" s="206">
        <f>800+1700+200</f>
        <v>2700</v>
      </c>
      <c r="I1382" s="206">
        <v>2663</v>
      </c>
      <c r="J1382" s="823">
        <f t="shared" si="243"/>
        <v>98.62962962962963</v>
      </c>
      <c r="K1382" s="23"/>
      <c r="L1382" s="172"/>
      <c r="M1382" s="172"/>
      <c r="N1382" s="993"/>
      <c r="O1382" s="23"/>
      <c r="P1382" s="221">
        <f t="shared" si="244"/>
        <v>2700</v>
      </c>
      <c r="Q1382" s="221">
        <f t="shared" si="245"/>
        <v>2663</v>
      </c>
      <c r="R1382" s="827">
        <f t="shared" si="246"/>
        <v>98.62962962962963</v>
      </c>
    </row>
    <row r="1383" spans="2:18" ht="12.75">
      <c r="B1383" s="224">
        <f t="shared" si="247"/>
        <v>29</v>
      </c>
      <c r="C1383" s="165"/>
      <c r="D1383" s="209"/>
      <c r="E1383" s="170"/>
      <c r="F1383" s="202">
        <v>640</v>
      </c>
      <c r="G1383" s="307" t="s">
        <v>320</v>
      </c>
      <c r="H1383" s="411">
        <v>730</v>
      </c>
      <c r="I1383" s="411">
        <v>730</v>
      </c>
      <c r="J1383" s="823">
        <f t="shared" si="243"/>
        <v>100</v>
      </c>
      <c r="K1383" s="23"/>
      <c r="L1383" s="167"/>
      <c r="M1383" s="167"/>
      <c r="N1383" s="994"/>
      <c r="O1383" s="23"/>
      <c r="P1383" s="513">
        <v>730</v>
      </c>
      <c r="Q1383" s="513">
        <f t="shared" si="245"/>
        <v>730</v>
      </c>
      <c r="R1383" s="827">
        <f t="shared" si="246"/>
        <v>100</v>
      </c>
    </row>
    <row r="1384" spans="2:18" ht="12.75">
      <c r="B1384" s="224">
        <f t="shared" si="247"/>
        <v>30</v>
      </c>
      <c r="C1384" s="165"/>
      <c r="D1384" s="209"/>
      <c r="E1384" s="170"/>
      <c r="F1384" s="202"/>
      <c r="G1384" s="307"/>
      <c r="H1384" s="411"/>
      <c r="I1384" s="411"/>
      <c r="J1384" s="823"/>
      <c r="K1384" s="23"/>
      <c r="L1384" s="167"/>
      <c r="M1384" s="167"/>
      <c r="N1384" s="994"/>
      <c r="O1384" s="23"/>
      <c r="P1384" s="513"/>
      <c r="Q1384" s="513"/>
      <c r="R1384" s="827"/>
    </row>
    <row r="1385" spans="2:18" ht="12.75">
      <c r="B1385" s="224">
        <f t="shared" si="247"/>
        <v>31</v>
      </c>
      <c r="C1385" s="187"/>
      <c r="D1385" s="511"/>
      <c r="E1385" s="196"/>
      <c r="F1385" s="196">
        <v>630</v>
      </c>
      <c r="G1385" s="307" t="s">
        <v>670</v>
      </c>
      <c r="H1385" s="411">
        <f>3800+50+100</f>
        <v>3950</v>
      </c>
      <c r="I1385" s="411">
        <v>3675</v>
      </c>
      <c r="J1385" s="823">
        <f aca="true" t="shared" si="248" ref="J1385:J1405">I1385/H1385*100</f>
        <v>93.0379746835443</v>
      </c>
      <c r="K1385" s="199"/>
      <c r="L1385" s="512"/>
      <c r="M1385" s="512"/>
      <c r="N1385" s="996"/>
      <c r="O1385" s="199"/>
      <c r="P1385" s="513">
        <f aca="true" t="shared" si="249" ref="P1385:P1405">H1385+L1385</f>
        <v>3950</v>
      </c>
      <c r="Q1385" s="513">
        <f aca="true" t="shared" si="250" ref="Q1385:Q1405">I1385</f>
        <v>3675</v>
      </c>
      <c r="R1385" s="827">
        <f aca="true" t="shared" si="251" ref="R1385:R1405">Q1385/P1385*100</f>
        <v>93.0379746835443</v>
      </c>
    </row>
    <row r="1386" spans="2:18" ht="15.75">
      <c r="B1386" s="224">
        <f t="shared" si="247"/>
        <v>32</v>
      </c>
      <c r="C1386" s="27">
        <v>5</v>
      </c>
      <c r="D1386" s="160" t="s">
        <v>154</v>
      </c>
      <c r="E1386" s="28"/>
      <c r="F1386" s="28"/>
      <c r="G1386" s="291"/>
      <c r="H1386" s="230">
        <f>H1387+H1395+H1407</f>
        <v>344160</v>
      </c>
      <c r="I1386" s="618">
        <f>I1387+I1395+I1407</f>
        <v>343802</v>
      </c>
      <c r="J1386" s="823">
        <f t="shared" si="248"/>
        <v>99.89597861459785</v>
      </c>
      <c r="K1386" s="96"/>
      <c r="L1386" s="343"/>
      <c r="M1386" s="664"/>
      <c r="N1386" s="995"/>
      <c r="O1386" s="96"/>
      <c r="P1386" s="299">
        <f t="shared" si="249"/>
        <v>344160</v>
      </c>
      <c r="Q1386" s="608">
        <f t="shared" si="250"/>
        <v>343802</v>
      </c>
      <c r="R1386" s="827">
        <f t="shared" si="251"/>
        <v>99.89597861459785</v>
      </c>
    </row>
    <row r="1387" spans="2:18" ht="12.75">
      <c r="B1387" s="224">
        <f t="shared" si="247"/>
        <v>33</v>
      </c>
      <c r="C1387" s="84"/>
      <c r="D1387" s="242" t="s">
        <v>5</v>
      </c>
      <c r="E1387" s="355" t="s">
        <v>321</v>
      </c>
      <c r="F1387" s="356" t="s">
        <v>589</v>
      </c>
      <c r="G1387" s="357"/>
      <c r="H1387" s="229">
        <f>H1389+H1388</f>
        <v>11000</v>
      </c>
      <c r="I1387" s="229">
        <f>I1388+I1389</f>
        <v>8450</v>
      </c>
      <c r="J1387" s="823">
        <f t="shared" si="248"/>
        <v>76.81818181818181</v>
      </c>
      <c r="K1387" s="23"/>
      <c r="L1387" s="249"/>
      <c r="M1387" s="249"/>
      <c r="N1387" s="997"/>
      <c r="O1387" s="23"/>
      <c r="P1387" s="363">
        <f t="shared" si="249"/>
        <v>11000</v>
      </c>
      <c r="Q1387" s="363">
        <f t="shared" si="250"/>
        <v>8450</v>
      </c>
      <c r="R1387" s="827">
        <f t="shared" si="251"/>
        <v>76.81818181818181</v>
      </c>
    </row>
    <row r="1388" spans="2:18" ht="12.75">
      <c r="B1388" s="224">
        <f>B1386+1</f>
        <v>33</v>
      </c>
      <c r="C1388" s="165"/>
      <c r="D1388" s="165"/>
      <c r="E1388" s="170"/>
      <c r="F1388" s="196">
        <v>620</v>
      </c>
      <c r="G1388" s="307" t="s">
        <v>309</v>
      </c>
      <c r="H1388" s="207">
        <v>10</v>
      </c>
      <c r="I1388" s="207">
        <v>0</v>
      </c>
      <c r="J1388" s="823">
        <f t="shared" si="248"/>
        <v>0</v>
      </c>
      <c r="K1388" s="23"/>
      <c r="L1388" s="172"/>
      <c r="M1388" s="172"/>
      <c r="N1388" s="993"/>
      <c r="O1388" s="23"/>
      <c r="P1388" s="416">
        <f t="shared" si="249"/>
        <v>10</v>
      </c>
      <c r="Q1388" s="416">
        <f t="shared" si="250"/>
        <v>0</v>
      </c>
      <c r="R1388" s="827">
        <f t="shared" si="251"/>
        <v>0</v>
      </c>
    </row>
    <row r="1389" spans="2:18" ht="12.75">
      <c r="B1389" s="224">
        <f>B1387+1</f>
        <v>34</v>
      </c>
      <c r="C1389" s="165"/>
      <c r="D1389" s="165"/>
      <c r="E1389" s="170"/>
      <c r="F1389" s="196">
        <v>630</v>
      </c>
      <c r="G1389" s="307" t="s">
        <v>276</v>
      </c>
      <c r="H1389" s="207">
        <f>SUM(H1390:H1394)</f>
        <v>10990</v>
      </c>
      <c r="I1389" s="207">
        <f>I1390+I1391+I1392+I1393+I1394</f>
        <v>8450</v>
      </c>
      <c r="J1389" s="823">
        <f t="shared" si="248"/>
        <v>76.88808007279346</v>
      </c>
      <c r="K1389" s="23"/>
      <c r="L1389" s="172"/>
      <c r="M1389" s="172"/>
      <c r="N1389" s="993"/>
      <c r="O1389" s="23"/>
      <c r="P1389" s="416">
        <f t="shared" si="249"/>
        <v>10990</v>
      </c>
      <c r="Q1389" s="416">
        <f t="shared" si="250"/>
        <v>8450</v>
      </c>
      <c r="R1389" s="827">
        <f t="shared" si="251"/>
        <v>76.88808007279346</v>
      </c>
    </row>
    <row r="1390" spans="2:18" ht="12.75">
      <c r="B1390" s="224">
        <f aca="true" t="shared" si="252" ref="B1390:B1421">B1389+1</f>
        <v>35</v>
      </c>
      <c r="C1390" s="165"/>
      <c r="D1390" s="165"/>
      <c r="E1390" s="170"/>
      <c r="F1390" s="170">
        <v>632</v>
      </c>
      <c r="G1390" s="292" t="s">
        <v>293</v>
      </c>
      <c r="H1390" s="206">
        <f>7000-500-1000</f>
        <v>5500</v>
      </c>
      <c r="I1390" s="206">
        <v>5044</v>
      </c>
      <c r="J1390" s="823">
        <f t="shared" si="248"/>
        <v>91.7090909090909</v>
      </c>
      <c r="K1390" s="23"/>
      <c r="L1390" s="172"/>
      <c r="M1390" s="172"/>
      <c r="N1390" s="993"/>
      <c r="O1390" s="23"/>
      <c r="P1390" s="221">
        <f t="shared" si="249"/>
        <v>5500</v>
      </c>
      <c r="Q1390" s="628">
        <f t="shared" si="250"/>
        <v>5044</v>
      </c>
      <c r="R1390" s="827">
        <f t="shared" si="251"/>
        <v>91.7090909090909</v>
      </c>
    </row>
    <row r="1391" spans="2:18" ht="12.75">
      <c r="B1391" s="224">
        <f t="shared" si="252"/>
        <v>36</v>
      </c>
      <c r="C1391" s="165"/>
      <c r="D1391" s="165"/>
      <c r="E1391" s="170"/>
      <c r="F1391" s="173">
        <v>633</v>
      </c>
      <c r="G1391" s="292" t="s">
        <v>294</v>
      </c>
      <c r="H1391" s="206">
        <f>2500-1000+700+860</f>
        <v>3060</v>
      </c>
      <c r="I1391" s="206">
        <v>1480</v>
      </c>
      <c r="J1391" s="823">
        <f t="shared" si="248"/>
        <v>48.36601307189542</v>
      </c>
      <c r="K1391" s="23"/>
      <c r="L1391" s="172"/>
      <c r="M1391" s="172"/>
      <c r="N1391" s="993"/>
      <c r="O1391" s="23"/>
      <c r="P1391" s="221">
        <f t="shared" si="249"/>
        <v>3060</v>
      </c>
      <c r="Q1391" s="628">
        <f t="shared" si="250"/>
        <v>1480</v>
      </c>
      <c r="R1391" s="827">
        <f t="shared" si="251"/>
        <v>48.36601307189542</v>
      </c>
    </row>
    <row r="1392" spans="2:18" ht="12.75">
      <c r="B1392" s="224">
        <f t="shared" si="252"/>
        <v>37</v>
      </c>
      <c r="C1392" s="165"/>
      <c r="D1392" s="165"/>
      <c r="E1392" s="213"/>
      <c r="F1392" s="170">
        <v>634</v>
      </c>
      <c r="G1392" s="292" t="s">
        <v>310</v>
      </c>
      <c r="H1392" s="206">
        <f>350+300</f>
        <v>650</v>
      </c>
      <c r="I1392" s="206">
        <v>389</v>
      </c>
      <c r="J1392" s="823">
        <f t="shared" si="248"/>
        <v>59.84615384615385</v>
      </c>
      <c r="K1392" s="23"/>
      <c r="L1392" s="238"/>
      <c r="M1392" s="238"/>
      <c r="N1392" s="997"/>
      <c r="O1392" s="23"/>
      <c r="P1392" s="221">
        <f t="shared" si="249"/>
        <v>650</v>
      </c>
      <c r="Q1392" s="628">
        <f t="shared" si="250"/>
        <v>389</v>
      </c>
      <c r="R1392" s="827">
        <f t="shared" si="251"/>
        <v>59.84615384615385</v>
      </c>
    </row>
    <row r="1393" spans="2:18" ht="12.75">
      <c r="B1393" s="224">
        <f t="shared" si="252"/>
        <v>38</v>
      </c>
      <c r="C1393" s="165"/>
      <c r="D1393" s="165"/>
      <c r="E1393" s="213"/>
      <c r="F1393" s="170">
        <v>637</v>
      </c>
      <c r="G1393" s="292" t="s">
        <v>295</v>
      </c>
      <c r="H1393" s="206">
        <f>150+130</f>
        <v>280</v>
      </c>
      <c r="I1393" s="206">
        <v>136</v>
      </c>
      <c r="J1393" s="823">
        <f t="shared" si="248"/>
        <v>48.57142857142857</v>
      </c>
      <c r="K1393" s="23"/>
      <c r="L1393" s="238"/>
      <c r="M1393" s="238"/>
      <c r="N1393" s="997"/>
      <c r="O1393" s="23"/>
      <c r="P1393" s="221">
        <f t="shared" si="249"/>
        <v>280</v>
      </c>
      <c r="Q1393" s="628">
        <f t="shared" si="250"/>
        <v>136</v>
      </c>
      <c r="R1393" s="827">
        <f t="shared" si="251"/>
        <v>48.57142857142857</v>
      </c>
    </row>
    <row r="1394" spans="2:18" ht="12.75">
      <c r="B1394" s="224">
        <f t="shared" si="252"/>
        <v>39</v>
      </c>
      <c r="C1394" s="165"/>
      <c r="D1394" s="165"/>
      <c r="E1394" s="213"/>
      <c r="F1394" s="173">
        <v>637</v>
      </c>
      <c r="G1394" s="292" t="s">
        <v>716</v>
      </c>
      <c r="H1394" s="206">
        <v>1500</v>
      </c>
      <c r="I1394" s="206">
        <v>1401</v>
      </c>
      <c r="J1394" s="823">
        <f t="shared" si="248"/>
        <v>93.4</v>
      </c>
      <c r="K1394" s="23"/>
      <c r="L1394" s="238"/>
      <c r="M1394" s="238"/>
      <c r="N1394" s="997"/>
      <c r="O1394" s="23"/>
      <c r="P1394" s="219">
        <f t="shared" si="249"/>
        <v>1500</v>
      </c>
      <c r="Q1394" s="628">
        <f t="shared" si="250"/>
        <v>1401</v>
      </c>
      <c r="R1394" s="827">
        <f t="shared" si="251"/>
        <v>93.4</v>
      </c>
    </row>
    <row r="1395" spans="2:18" ht="12.75">
      <c r="B1395" s="224">
        <f t="shared" si="252"/>
        <v>40</v>
      </c>
      <c r="C1395" s="84"/>
      <c r="D1395" s="242" t="s">
        <v>6</v>
      </c>
      <c r="E1395" s="356"/>
      <c r="F1395" s="356" t="s">
        <v>219</v>
      </c>
      <c r="G1395" s="357"/>
      <c r="H1395" s="229">
        <f>H1396</f>
        <v>307800</v>
      </c>
      <c r="I1395" s="229">
        <f>I1396</f>
        <v>311984</v>
      </c>
      <c r="J1395" s="823">
        <f t="shared" si="248"/>
        <v>101.35932423651721</v>
      </c>
      <c r="K1395" s="23"/>
      <c r="L1395" s="249"/>
      <c r="M1395" s="249"/>
      <c r="N1395" s="997"/>
      <c r="O1395" s="23"/>
      <c r="P1395" s="363">
        <f t="shared" si="249"/>
        <v>307800</v>
      </c>
      <c r="Q1395" s="363">
        <f t="shared" si="250"/>
        <v>311984</v>
      </c>
      <c r="R1395" s="827">
        <f t="shared" si="251"/>
        <v>101.35932423651721</v>
      </c>
    </row>
    <row r="1396" spans="2:18" ht="12.75">
      <c r="B1396" s="224">
        <f t="shared" si="252"/>
        <v>41</v>
      </c>
      <c r="C1396" s="165"/>
      <c r="D1396" s="165"/>
      <c r="E1396" s="499" t="s">
        <v>321</v>
      </c>
      <c r="F1396" s="499"/>
      <c r="G1396" s="500" t="s">
        <v>359</v>
      </c>
      <c r="H1396" s="501">
        <f>H1397+H1398+H1399+H1405</f>
        <v>307800</v>
      </c>
      <c r="I1396" s="501">
        <f>I1397+I1398+I1399+I1405</f>
        <v>311984</v>
      </c>
      <c r="J1396" s="823">
        <f t="shared" si="248"/>
        <v>101.35932423651721</v>
      </c>
      <c r="K1396" s="23"/>
      <c r="L1396" s="502"/>
      <c r="M1396" s="502"/>
      <c r="N1396" s="993"/>
      <c r="O1396" s="23"/>
      <c r="P1396" s="503">
        <f t="shared" si="249"/>
        <v>307800</v>
      </c>
      <c r="Q1396" s="503">
        <f t="shared" si="250"/>
        <v>311984</v>
      </c>
      <c r="R1396" s="827">
        <f t="shared" si="251"/>
        <v>101.35932423651721</v>
      </c>
    </row>
    <row r="1397" spans="2:18" ht="12.75">
      <c r="B1397" s="224">
        <f t="shared" si="252"/>
        <v>42</v>
      </c>
      <c r="C1397" s="165"/>
      <c r="D1397" s="165"/>
      <c r="E1397" s="196"/>
      <c r="F1397" s="196">
        <v>610</v>
      </c>
      <c r="G1397" s="307" t="s">
        <v>307</v>
      </c>
      <c r="H1397" s="207">
        <f>59000+4800+2100</f>
        <v>65900</v>
      </c>
      <c r="I1397" s="207">
        <v>65900</v>
      </c>
      <c r="J1397" s="823">
        <f t="shared" si="248"/>
        <v>100</v>
      </c>
      <c r="K1397" s="23"/>
      <c r="L1397" s="172"/>
      <c r="M1397" s="172"/>
      <c r="N1397" s="993"/>
      <c r="O1397" s="23"/>
      <c r="P1397" s="396">
        <f t="shared" si="249"/>
        <v>65900</v>
      </c>
      <c r="Q1397" s="396">
        <f t="shared" si="250"/>
        <v>65900</v>
      </c>
      <c r="R1397" s="827">
        <f t="shared" si="251"/>
        <v>100</v>
      </c>
    </row>
    <row r="1398" spans="2:18" ht="12.75">
      <c r="B1398" s="224">
        <f t="shared" si="252"/>
        <v>43</v>
      </c>
      <c r="C1398" s="165"/>
      <c r="D1398" s="165"/>
      <c r="E1398" s="170"/>
      <c r="F1398" s="196">
        <v>620</v>
      </c>
      <c r="G1398" s="307" t="s">
        <v>309</v>
      </c>
      <c r="H1398" s="207">
        <f>20700+3500+700</f>
        <v>24900</v>
      </c>
      <c r="I1398" s="207">
        <v>24900</v>
      </c>
      <c r="J1398" s="823">
        <f t="shared" si="248"/>
        <v>100</v>
      </c>
      <c r="K1398" s="23"/>
      <c r="L1398" s="172"/>
      <c r="M1398" s="172"/>
      <c r="N1398" s="993"/>
      <c r="O1398" s="23"/>
      <c r="P1398" s="396">
        <f t="shared" si="249"/>
        <v>24900</v>
      </c>
      <c r="Q1398" s="396">
        <f t="shared" si="250"/>
        <v>24900</v>
      </c>
      <c r="R1398" s="827">
        <f t="shared" si="251"/>
        <v>100</v>
      </c>
    </row>
    <row r="1399" spans="2:18" ht="12.75">
      <c r="B1399" s="224">
        <f t="shared" si="252"/>
        <v>44</v>
      </c>
      <c r="C1399" s="165"/>
      <c r="D1399" s="165"/>
      <c r="E1399" s="170"/>
      <c r="F1399" s="196">
        <v>630</v>
      </c>
      <c r="G1399" s="307" t="s">
        <v>276</v>
      </c>
      <c r="H1399" s="207">
        <f>H1400+H1401+H1402+H1403+H1404</f>
        <v>210700</v>
      </c>
      <c r="I1399" s="207">
        <f>SUM(I1400:I1404)</f>
        <v>214884</v>
      </c>
      <c r="J1399" s="823">
        <f t="shared" si="248"/>
        <v>101.98576174655909</v>
      </c>
      <c r="K1399" s="23"/>
      <c r="L1399" s="172"/>
      <c r="M1399" s="172"/>
      <c r="N1399" s="993"/>
      <c r="O1399" s="23"/>
      <c r="P1399" s="396">
        <f t="shared" si="249"/>
        <v>210700</v>
      </c>
      <c r="Q1399" s="396">
        <f t="shared" si="250"/>
        <v>214884</v>
      </c>
      <c r="R1399" s="827">
        <f t="shared" si="251"/>
        <v>101.98576174655909</v>
      </c>
    </row>
    <row r="1400" spans="2:18" ht="12.75">
      <c r="B1400" s="224">
        <f t="shared" si="252"/>
        <v>45</v>
      </c>
      <c r="C1400" s="165"/>
      <c r="D1400" s="165"/>
      <c r="E1400" s="170"/>
      <c r="F1400" s="170">
        <v>632</v>
      </c>
      <c r="G1400" s="292" t="s">
        <v>293</v>
      </c>
      <c r="H1400" s="206">
        <f>55800+7000</f>
        <v>62800</v>
      </c>
      <c r="I1400" s="206">
        <v>62800</v>
      </c>
      <c r="J1400" s="823">
        <f t="shared" si="248"/>
        <v>100</v>
      </c>
      <c r="K1400" s="23"/>
      <c r="L1400" s="172"/>
      <c r="M1400" s="172"/>
      <c r="N1400" s="993"/>
      <c r="O1400" s="23"/>
      <c r="P1400" s="221">
        <f t="shared" si="249"/>
        <v>62800</v>
      </c>
      <c r="Q1400" s="221">
        <f t="shared" si="250"/>
        <v>62800</v>
      </c>
      <c r="R1400" s="827">
        <f t="shared" si="251"/>
        <v>100</v>
      </c>
    </row>
    <row r="1401" spans="2:18" ht="12.75">
      <c r="B1401" s="224">
        <f t="shared" si="252"/>
        <v>46</v>
      </c>
      <c r="C1401" s="165"/>
      <c r="D1401" s="165"/>
      <c r="E1401" s="170"/>
      <c r="F1401" s="170">
        <v>633</v>
      </c>
      <c r="G1401" s="292" t="s">
        <v>294</v>
      </c>
      <c r="H1401" s="206">
        <v>48070</v>
      </c>
      <c r="I1401" s="206">
        <v>52254</v>
      </c>
      <c r="J1401" s="823">
        <f t="shared" si="248"/>
        <v>108.70397337216559</v>
      </c>
      <c r="K1401" s="23"/>
      <c r="L1401" s="172"/>
      <c r="M1401" s="172"/>
      <c r="N1401" s="993"/>
      <c r="O1401" s="23"/>
      <c r="P1401" s="221">
        <f t="shared" si="249"/>
        <v>48070</v>
      </c>
      <c r="Q1401" s="221">
        <f t="shared" si="250"/>
        <v>52254</v>
      </c>
      <c r="R1401" s="827">
        <f t="shared" si="251"/>
        <v>108.70397337216559</v>
      </c>
    </row>
    <row r="1402" spans="2:18" ht="12.75">
      <c r="B1402" s="224">
        <f t="shared" si="252"/>
        <v>47</v>
      </c>
      <c r="C1402" s="165"/>
      <c r="D1402" s="165"/>
      <c r="E1402" s="170"/>
      <c r="F1402" s="170">
        <v>634</v>
      </c>
      <c r="G1402" s="292" t="s">
        <v>310</v>
      </c>
      <c r="H1402" s="206">
        <v>2200</v>
      </c>
      <c r="I1402" s="206">
        <v>2200</v>
      </c>
      <c r="J1402" s="823">
        <f t="shared" si="248"/>
        <v>100</v>
      </c>
      <c r="K1402" s="23"/>
      <c r="L1402" s="172"/>
      <c r="M1402" s="172"/>
      <c r="N1402" s="993"/>
      <c r="O1402" s="23"/>
      <c r="P1402" s="221">
        <f t="shared" si="249"/>
        <v>2200</v>
      </c>
      <c r="Q1402" s="221">
        <f t="shared" si="250"/>
        <v>2200</v>
      </c>
      <c r="R1402" s="827">
        <f t="shared" si="251"/>
        <v>100</v>
      </c>
    </row>
    <row r="1403" spans="2:18" ht="12.75">
      <c r="B1403" s="224">
        <f t="shared" si="252"/>
        <v>48</v>
      </c>
      <c r="C1403" s="165"/>
      <c r="D1403" s="165"/>
      <c r="E1403" s="170"/>
      <c r="F1403" s="170">
        <v>635</v>
      </c>
      <c r="G1403" s="292" t="s">
        <v>311</v>
      </c>
      <c r="H1403" s="211">
        <v>52730</v>
      </c>
      <c r="I1403" s="211">
        <v>52730</v>
      </c>
      <c r="J1403" s="823">
        <f t="shared" si="248"/>
        <v>100</v>
      </c>
      <c r="K1403" s="23"/>
      <c r="L1403" s="167"/>
      <c r="M1403" s="167"/>
      <c r="N1403" s="994"/>
      <c r="O1403" s="23"/>
      <c r="P1403" s="327">
        <f t="shared" si="249"/>
        <v>52730</v>
      </c>
      <c r="Q1403" s="221">
        <f t="shared" si="250"/>
        <v>52730</v>
      </c>
      <c r="R1403" s="827">
        <f t="shared" si="251"/>
        <v>100</v>
      </c>
    </row>
    <row r="1404" spans="2:18" ht="12.75">
      <c r="B1404" s="224">
        <f t="shared" si="252"/>
        <v>49</v>
      </c>
      <c r="C1404" s="165"/>
      <c r="D1404" s="165"/>
      <c r="E1404" s="170"/>
      <c r="F1404" s="170">
        <v>637</v>
      </c>
      <c r="G1404" s="292" t="s">
        <v>295</v>
      </c>
      <c r="H1404" s="206">
        <v>44900</v>
      </c>
      <c r="I1404" s="206">
        <v>44900</v>
      </c>
      <c r="J1404" s="823">
        <f t="shared" si="248"/>
        <v>100</v>
      </c>
      <c r="K1404" s="23"/>
      <c r="L1404" s="172"/>
      <c r="M1404" s="172"/>
      <c r="N1404" s="993"/>
      <c r="O1404" s="23"/>
      <c r="P1404" s="221">
        <f t="shared" si="249"/>
        <v>44900</v>
      </c>
      <c r="Q1404" s="221">
        <f t="shared" si="250"/>
        <v>44900</v>
      </c>
      <c r="R1404" s="827">
        <f t="shared" si="251"/>
        <v>100</v>
      </c>
    </row>
    <row r="1405" spans="2:18" ht="12.75">
      <c r="B1405" s="224">
        <f t="shared" si="252"/>
        <v>50</v>
      </c>
      <c r="C1405" s="165"/>
      <c r="D1405" s="165"/>
      <c r="E1405" s="170"/>
      <c r="F1405" s="196">
        <v>640</v>
      </c>
      <c r="G1405" s="307" t="s">
        <v>320</v>
      </c>
      <c r="H1405" s="207">
        <f>4500+1200+600</f>
        <v>6300</v>
      </c>
      <c r="I1405" s="207">
        <v>6300</v>
      </c>
      <c r="J1405" s="823">
        <f t="shared" si="248"/>
        <v>100</v>
      </c>
      <c r="K1405" s="23"/>
      <c r="L1405" s="172"/>
      <c r="M1405" s="172"/>
      <c r="N1405" s="993"/>
      <c r="O1405" s="23"/>
      <c r="P1405" s="396">
        <f t="shared" si="249"/>
        <v>6300</v>
      </c>
      <c r="Q1405" s="396">
        <f t="shared" si="250"/>
        <v>6300</v>
      </c>
      <c r="R1405" s="827">
        <f t="shared" si="251"/>
        <v>100</v>
      </c>
    </row>
    <row r="1406" spans="2:18" ht="12.75">
      <c r="B1406" s="224">
        <f t="shared" si="252"/>
        <v>51</v>
      </c>
      <c r="C1406" s="165"/>
      <c r="D1406" s="165"/>
      <c r="E1406" s="170"/>
      <c r="F1406" s="170"/>
      <c r="G1406" s="292"/>
      <c r="H1406" s="206"/>
      <c r="I1406" s="206"/>
      <c r="J1406" s="823"/>
      <c r="K1406" s="23"/>
      <c r="L1406" s="172"/>
      <c r="M1406" s="172"/>
      <c r="N1406" s="993"/>
      <c r="O1406" s="23"/>
      <c r="P1406" s="221"/>
      <c r="Q1406" s="221"/>
      <c r="R1406" s="827"/>
    </row>
    <row r="1407" spans="2:18" ht="12.75">
      <c r="B1407" s="224">
        <f t="shared" si="252"/>
        <v>52</v>
      </c>
      <c r="C1407" s="84"/>
      <c r="D1407" s="242" t="s">
        <v>7</v>
      </c>
      <c r="E1407" s="356"/>
      <c r="F1407" s="356" t="s">
        <v>164</v>
      </c>
      <c r="G1407" s="357"/>
      <c r="H1407" s="229">
        <f>H1408+H1414+H1415+H1416+H1417</f>
        <v>25360</v>
      </c>
      <c r="I1407" s="229">
        <f>I1408+I1414+I1415+I1416+I1417</f>
        <v>23368</v>
      </c>
      <c r="J1407" s="823">
        <f aca="true" t="shared" si="253" ref="J1407:J1412">I1407/H1407*100</f>
        <v>92.14511041009463</v>
      </c>
      <c r="K1407" s="23"/>
      <c r="L1407" s="249"/>
      <c r="M1407" s="249"/>
      <c r="N1407" s="997"/>
      <c r="O1407" s="23"/>
      <c r="P1407" s="363">
        <f aca="true" t="shared" si="254" ref="P1407:P1412">H1407+L1407</f>
        <v>25360</v>
      </c>
      <c r="Q1407" s="363">
        <f aca="true" t="shared" si="255" ref="Q1407:Q1412">I1407</f>
        <v>23368</v>
      </c>
      <c r="R1407" s="827">
        <f aca="true" t="shared" si="256" ref="R1407:R1412">Q1407/P1407*100</f>
        <v>92.14511041009463</v>
      </c>
    </row>
    <row r="1408" spans="2:18" ht="13.5" thickBot="1">
      <c r="B1408" s="224">
        <f t="shared" si="252"/>
        <v>53</v>
      </c>
      <c r="C1408" s="165"/>
      <c r="D1408" s="843"/>
      <c r="E1408" s="844" t="s">
        <v>321</v>
      </c>
      <c r="F1408" s="844"/>
      <c r="G1408" s="845" t="s">
        <v>572</v>
      </c>
      <c r="H1408" s="846">
        <f>H1409+H1410+H1411+H1412</f>
        <v>21800</v>
      </c>
      <c r="I1408" s="846">
        <f>SUM(I1409:I1412)</f>
        <v>20774</v>
      </c>
      <c r="J1408" s="847">
        <f t="shared" si="253"/>
        <v>95.29357798165138</v>
      </c>
      <c r="K1408" s="848"/>
      <c r="L1408" s="849"/>
      <c r="M1408" s="849"/>
      <c r="N1408" s="993"/>
      <c r="O1408" s="674"/>
      <c r="P1408" s="850">
        <f t="shared" si="254"/>
        <v>21800</v>
      </c>
      <c r="Q1408" s="850">
        <f t="shared" si="255"/>
        <v>20774</v>
      </c>
      <c r="R1408" s="851">
        <f t="shared" si="256"/>
        <v>95.29357798165138</v>
      </c>
    </row>
    <row r="1409" spans="2:18" ht="12.75">
      <c r="B1409" s="224">
        <f t="shared" si="252"/>
        <v>54</v>
      </c>
      <c r="C1409" s="165"/>
      <c r="D1409" s="165"/>
      <c r="E1409" s="170"/>
      <c r="F1409" s="170">
        <v>632</v>
      </c>
      <c r="G1409" s="292" t="s">
        <v>293</v>
      </c>
      <c r="H1409" s="206">
        <f>18500+3000</f>
        <v>21500</v>
      </c>
      <c r="I1409" s="206">
        <v>20551</v>
      </c>
      <c r="J1409" s="823">
        <f t="shared" si="253"/>
        <v>95.58604651162791</v>
      </c>
      <c r="K1409" s="23"/>
      <c r="L1409" s="172"/>
      <c r="M1409" s="172"/>
      <c r="N1409" s="993"/>
      <c r="O1409" s="23"/>
      <c r="P1409" s="221">
        <f t="shared" si="254"/>
        <v>21500</v>
      </c>
      <c r="Q1409" s="221">
        <f t="shared" si="255"/>
        <v>20551</v>
      </c>
      <c r="R1409" s="827">
        <f t="shared" si="256"/>
        <v>95.58604651162791</v>
      </c>
    </row>
    <row r="1410" spans="2:18" ht="12.75">
      <c r="B1410" s="224">
        <f t="shared" si="252"/>
        <v>55</v>
      </c>
      <c r="C1410" s="165"/>
      <c r="D1410" s="165"/>
      <c r="E1410" s="170"/>
      <c r="F1410" s="170">
        <v>633</v>
      </c>
      <c r="G1410" s="292" t="s">
        <v>294</v>
      </c>
      <c r="H1410" s="206">
        <v>100</v>
      </c>
      <c r="I1410" s="206">
        <v>96</v>
      </c>
      <c r="J1410" s="823">
        <f t="shared" si="253"/>
        <v>96</v>
      </c>
      <c r="K1410" s="23"/>
      <c r="L1410" s="172"/>
      <c r="M1410" s="172"/>
      <c r="N1410" s="993"/>
      <c r="O1410" s="23"/>
      <c r="P1410" s="221">
        <f t="shared" si="254"/>
        <v>100</v>
      </c>
      <c r="Q1410" s="221">
        <f t="shared" si="255"/>
        <v>96</v>
      </c>
      <c r="R1410" s="827">
        <f t="shared" si="256"/>
        <v>96</v>
      </c>
    </row>
    <row r="1411" spans="2:18" ht="12.75">
      <c r="B1411" s="224">
        <f t="shared" si="252"/>
        <v>56</v>
      </c>
      <c r="C1411" s="165"/>
      <c r="D1411" s="165"/>
      <c r="E1411" s="170"/>
      <c r="F1411" s="170">
        <v>635</v>
      </c>
      <c r="G1411" s="292" t="s">
        <v>311</v>
      </c>
      <c r="H1411" s="206">
        <v>100</v>
      </c>
      <c r="I1411" s="206">
        <v>54</v>
      </c>
      <c r="J1411" s="823">
        <f t="shared" si="253"/>
        <v>54</v>
      </c>
      <c r="K1411" s="23"/>
      <c r="L1411" s="172"/>
      <c r="M1411" s="172"/>
      <c r="N1411" s="993"/>
      <c r="O1411" s="23"/>
      <c r="P1411" s="221">
        <f t="shared" si="254"/>
        <v>100</v>
      </c>
      <c r="Q1411" s="221">
        <f t="shared" si="255"/>
        <v>54</v>
      </c>
      <c r="R1411" s="827">
        <f t="shared" si="256"/>
        <v>54</v>
      </c>
    </row>
    <row r="1412" spans="2:18" ht="12.75">
      <c r="B1412" s="224">
        <f t="shared" si="252"/>
        <v>57</v>
      </c>
      <c r="C1412" s="165"/>
      <c r="D1412" s="165"/>
      <c r="E1412" s="170"/>
      <c r="F1412" s="170">
        <v>637</v>
      </c>
      <c r="G1412" s="292" t="s">
        <v>295</v>
      </c>
      <c r="H1412" s="206">
        <v>100</v>
      </c>
      <c r="I1412" s="206">
        <v>73</v>
      </c>
      <c r="J1412" s="823">
        <f t="shared" si="253"/>
        <v>73</v>
      </c>
      <c r="K1412" s="23"/>
      <c r="L1412" s="172"/>
      <c r="M1412" s="172"/>
      <c r="N1412" s="993"/>
      <c r="O1412" s="23"/>
      <c r="P1412" s="221">
        <f t="shared" si="254"/>
        <v>100</v>
      </c>
      <c r="Q1412" s="221">
        <f t="shared" si="255"/>
        <v>73</v>
      </c>
      <c r="R1412" s="827">
        <f t="shared" si="256"/>
        <v>73</v>
      </c>
    </row>
    <row r="1413" spans="2:18" ht="12.75">
      <c r="B1413" s="224">
        <f t="shared" si="252"/>
        <v>58</v>
      </c>
      <c r="C1413" s="165"/>
      <c r="D1413" s="165"/>
      <c r="E1413" s="170"/>
      <c r="F1413" s="170"/>
      <c r="G1413" s="292"/>
      <c r="H1413" s="206"/>
      <c r="I1413" s="206"/>
      <c r="J1413" s="823"/>
      <c r="K1413" s="23"/>
      <c r="L1413" s="172"/>
      <c r="M1413" s="172"/>
      <c r="N1413" s="993"/>
      <c r="O1413" s="23"/>
      <c r="P1413" s="221"/>
      <c r="Q1413" s="221"/>
      <c r="R1413" s="827"/>
    </row>
    <row r="1414" spans="2:18" ht="12.75">
      <c r="B1414" s="224">
        <f t="shared" si="252"/>
        <v>59</v>
      </c>
      <c r="C1414" s="165"/>
      <c r="D1414" s="165"/>
      <c r="E1414" s="170"/>
      <c r="F1414" s="170">
        <v>637</v>
      </c>
      <c r="G1414" s="292" t="s">
        <v>278</v>
      </c>
      <c r="H1414" s="206">
        <v>150</v>
      </c>
      <c r="I1414" s="206">
        <v>103</v>
      </c>
      <c r="J1414" s="823">
        <f>I1414/H1414*100</f>
        <v>68.66666666666667</v>
      </c>
      <c r="K1414" s="23"/>
      <c r="L1414" s="172"/>
      <c r="M1414" s="172"/>
      <c r="N1414" s="993"/>
      <c r="O1414" s="23"/>
      <c r="P1414" s="221">
        <f>H1414+L1414</f>
        <v>150</v>
      </c>
      <c r="Q1414" s="221">
        <f>I1414</f>
        <v>103</v>
      </c>
      <c r="R1414" s="827">
        <f>Q1414/P1414*100</f>
        <v>68.66666666666667</v>
      </c>
    </row>
    <row r="1415" spans="2:18" ht="12.75">
      <c r="B1415" s="224">
        <f t="shared" si="252"/>
        <v>60</v>
      </c>
      <c r="C1415" s="165"/>
      <c r="D1415" s="165"/>
      <c r="E1415" s="170"/>
      <c r="F1415" s="204">
        <v>640</v>
      </c>
      <c r="G1415" s="292" t="s">
        <v>320</v>
      </c>
      <c r="H1415" s="206">
        <v>1560</v>
      </c>
      <c r="I1415" s="206">
        <v>1460</v>
      </c>
      <c r="J1415" s="823">
        <f>I1415/H1415*100</f>
        <v>93.58974358974359</v>
      </c>
      <c r="K1415" s="23"/>
      <c r="L1415" s="172"/>
      <c r="M1415" s="172"/>
      <c r="N1415" s="993"/>
      <c r="O1415" s="23"/>
      <c r="P1415" s="221">
        <f>H1415+L1415</f>
        <v>1560</v>
      </c>
      <c r="Q1415" s="221">
        <f>I1415</f>
        <v>1460</v>
      </c>
      <c r="R1415" s="827">
        <f>Q1415/P1415*100</f>
        <v>93.58974358974359</v>
      </c>
    </row>
    <row r="1416" spans="2:18" ht="12.75">
      <c r="B1416" s="224">
        <f t="shared" si="252"/>
        <v>61</v>
      </c>
      <c r="C1416" s="165"/>
      <c r="D1416" s="165"/>
      <c r="E1416" s="170"/>
      <c r="F1416" s="170">
        <v>633</v>
      </c>
      <c r="G1416" s="292" t="s">
        <v>676</v>
      </c>
      <c r="H1416" s="206">
        <f>1000-100+500</f>
        <v>1400</v>
      </c>
      <c r="I1416" s="206">
        <v>724</v>
      </c>
      <c r="J1416" s="823">
        <f>I1416/H1416*100</f>
        <v>51.714285714285715</v>
      </c>
      <c r="K1416" s="23"/>
      <c r="L1416" s="172"/>
      <c r="M1416" s="172"/>
      <c r="N1416" s="993"/>
      <c r="O1416" s="23"/>
      <c r="P1416" s="221">
        <f>H1416+L1416</f>
        <v>1400</v>
      </c>
      <c r="Q1416" s="221">
        <f>I1416</f>
        <v>724</v>
      </c>
      <c r="R1416" s="827">
        <f>Q1416/P1416*100</f>
        <v>51.714285714285715</v>
      </c>
    </row>
    <row r="1417" spans="2:18" ht="12.75">
      <c r="B1417" s="224">
        <f t="shared" si="252"/>
        <v>62</v>
      </c>
      <c r="C1417" s="165"/>
      <c r="D1417" s="165"/>
      <c r="E1417" s="170"/>
      <c r="F1417" s="170">
        <v>635</v>
      </c>
      <c r="G1417" s="292" t="s">
        <v>680</v>
      </c>
      <c r="H1417" s="206">
        <v>450</v>
      </c>
      <c r="I1417" s="206">
        <v>307</v>
      </c>
      <c r="J1417" s="823">
        <f>I1417/H1417*100</f>
        <v>68.22222222222221</v>
      </c>
      <c r="K1417" s="23"/>
      <c r="L1417" s="172"/>
      <c r="M1417" s="172"/>
      <c r="N1417" s="993"/>
      <c r="O1417" s="23"/>
      <c r="P1417" s="221">
        <f>H1417+L1417</f>
        <v>450</v>
      </c>
      <c r="Q1417" s="221">
        <f>I1417</f>
        <v>307</v>
      </c>
      <c r="R1417" s="827">
        <f>Q1417/P1417*100</f>
        <v>68.22222222222221</v>
      </c>
    </row>
    <row r="1418" spans="2:18" ht="12.75">
      <c r="B1418" s="224">
        <f t="shared" si="252"/>
        <v>63</v>
      </c>
      <c r="C1418" s="165"/>
      <c r="D1418" s="165"/>
      <c r="E1418" s="170"/>
      <c r="F1418" s="170"/>
      <c r="G1418" s="292"/>
      <c r="H1418" s="206"/>
      <c r="I1418" s="206"/>
      <c r="J1418" s="823"/>
      <c r="K1418" s="23"/>
      <c r="L1418" s="172"/>
      <c r="M1418" s="172"/>
      <c r="N1418" s="993"/>
      <c r="O1418" s="23"/>
      <c r="P1418" s="221"/>
      <c r="Q1418" s="221"/>
      <c r="R1418" s="827"/>
    </row>
    <row r="1419" spans="2:18" ht="15.75">
      <c r="B1419" s="224">
        <f t="shared" si="252"/>
        <v>64</v>
      </c>
      <c r="C1419" s="27">
        <v>6</v>
      </c>
      <c r="D1419" s="160" t="s">
        <v>71</v>
      </c>
      <c r="E1419" s="28"/>
      <c r="F1419" s="28"/>
      <c r="G1419" s="291"/>
      <c r="H1419" s="230">
        <f>H1420+H1432+H1433+H1431</f>
        <v>866750</v>
      </c>
      <c r="I1419" s="618">
        <f>I1420+I1431+I1432+I1433</f>
        <v>866588</v>
      </c>
      <c r="J1419" s="823">
        <f aca="true" t="shared" si="257" ref="J1419:J1429">I1419/H1419*100</f>
        <v>99.98130948947217</v>
      </c>
      <c r="K1419" s="96"/>
      <c r="L1419" s="343"/>
      <c r="M1419" s="664"/>
      <c r="N1419" s="995"/>
      <c r="O1419" s="96"/>
      <c r="P1419" s="299">
        <f aca="true" t="shared" si="258" ref="P1419:P1429">H1419+L1419</f>
        <v>866750</v>
      </c>
      <c r="Q1419" s="608">
        <f aca="true" t="shared" si="259" ref="Q1419:Q1429">I1419</f>
        <v>866588</v>
      </c>
      <c r="R1419" s="827">
        <f aca="true" t="shared" si="260" ref="R1419:R1429">Q1419/P1419*100</f>
        <v>99.98130948947217</v>
      </c>
    </row>
    <row r="1420" spans="2:18" ht="12.75">
      <c r="B1420" s="224">
        <f t="shared" si="252"/>
        <v>65</v>
      </c>
      <c r="C1420" s="171"/>
      <c r="D1420" s="171"/>
      <c r="E1420" s="499" t="s">
        <v>321</v>
      </c>
      <c r="F1420" s="499"/>
      <c r="G1420" s="500" t="s">
        <v>584</v>
      </c>
      <c r="H1420" s="501">
        <f>H1421+H1422+H1423+H1429</f>
        <v>764000</v>
      </c>
      <c r="I1420" s="501">
        <f>I1421+I1422+I1423+I1429</f>
        <v>765672</v>
      </c>
      <c r="J1420" s="823">
        <f t="shared" si="257"/>
        <v>100.21884816753928</v>
      </c>
      <c r="K1420" s="23"/>
      <c r="L1420" s="502"/>
      <c r="M1420" s="502"/>
      <c r="N1420" s="993"/>
      <c r="O1420" s="23"/>
      <c r="P1420" s="503">
        <f t="shared" si="258"/>
        <v>764000</v>
      </c>
      <c r="Q1420" s="503">
        <f t="shared" si="259"/>
        <v>765672</v>
      </c>
      <c r="R1420" s="827">
        <f t="shared" si="260"/>
        <v>100.21884816753928</v>
      </c>
    </row>
    <row r="1421" spans="2:18" ht="12.75">
      <c r="B1421" s="224">
        <f t="shared" si="252"/>
        <v>66</v>
      </c>
      <c r="C1421" s="165"/>
      <c r="D1421" s="165"/>
      <c r="E1421" s="196"/>
      <c r="F1421" s="196">
        <v>610</v>
      </c>
      <c r="G1421" s="307" t="s">
        <v>307</v>
      </c>
      <c r="H1421" s="207">
        <f>260000+36800</f>
        <v>296800</v>
      </c>
      <c r="I1421" s="207">
        <v>296800</v>
      </c>
      <c r="J1421" s="823">
        <f t="shared" si="257"/>
        <v>100</v>
      </c>
      <c r="K1421" s="23"/>
      <c r="L1421" s="172"/>
      <c r="M1421" s="172"/>
      <c r="N1421" s="993"/>
      <c r="O1421" s="23"/>
      <c r="P1421" s="396">
        <f t="shared" si="258"/>
        <v>296800</v>
      </c>
      <c r="Q1421" s="396">
        <f t="shared" si="259"/>
        <v>296800</v>
      </c>
      <c r="R1421" s="827">
        <f t="shared" si="260"/>
        <v>100</v>
      </c>
    </row>
    <row r="1422" spans="2:18" ht="12.75">
      <c r="B1422" s="224">
        <f aca="true" t="shared" si="261" ref="B1422:B1453">B1421+1</f>
        <v>67</v>
      </c>
      <c r="C1422" s="165"/>
      <c r="D1422" s="165"/>
      <c r="E1422" s="170"/>
      <c r="F1422" s="196">
        <v>620</v>
      </c>
      <c r="G1422" s="307" t="s">
        <v>309</v>
      </c>
      <c r="H1422" s="207">
        <f>91500+13000</f>
        <v>104500</v>
      </c>
      <c r="I1422" s="207">
        <v>104500</v>
      </c>
      <c r="J1422" s="823">
        <f t="shared" si="257"/>
        <v>100</v>
      </c>
      <c r="K1422" s="23"/>
      <c r="L1422" s="172"/>
      <c r="M1422" s="172"/>
      <c r="N1422" s="993"/>
      <c r="O1422" s="23"/>
      <c r="P1422" s="396">
        <f t="shared" si="258"/>
        <v>104500</v>
      </c>
      <c r="Q1422" s="396">
        <f t="shared" si="259"/>
        <v>104500</v>
      </c>
      <c r="R1422" s="827">
        <f t="shared" si="260"/>
        <v>100</v>
      </c>
    </row>
    <row r="1423" spans="2:18" ht="12.75">
      <c r="B1423" s="224">
        <f t="shared" si="261"/>
        <v>68</v>
      </c>
      <c r="C1423" s="165"/>
      <c r="D1423" s="165"/>
      <c r="E1423" s="170"/>
      <c r="F1423" s="196">
        <v>630</v>
      </c>
      <c r="G1423" s="307" t="s">
        <v>576</v>
      </c>
      <c r="H1423" s="207">
        <f>H1424+H1425+H1426+H1427+H1428</f>
        <v>350600</v>
      </c>
      <c r="I1423" s="207">
        <f>I1424+I1425+I1426+I1427+I1428</f>
        <v>352272</v>
      </c>
      <c r="J1423" s="823">
        <f t="shared" si="257"/>
        <v>100.47689674843126</v>
      </c>
      <c r="K1423" s="23"/>
      <c r="L1423" s="172"/>
      <c r="M1423" s="172"/>
      <c r="N1423" s="993"/>
      <c r="O1423" s="23"/>
      <c r="P1423" s="396">
        <f t="shared" si="258"/>
        <v>350600</v>
      </c>
      <c r="Q1423" s="396">
        <f t="shared" si="259"/>
        <v>352272</v>
      </c>
      <c r="R1423" s="827">
        <f t="shared" si="260"/>
        <v>100.47689674843126</v>
      </c>
    </row>
    <row r="1424" spans="2:18" ht="12.75">
      <c r="B1424" s="224">
        <f t="shared" si="261"/>
        <v>69</v>
      </c>
      <c r="C1424" s="165"/>
      <c r="D1424" s="165"/>
      <c r="E1424" s="170"/>
      <c r="F1424" s="170">
        <v>632</v>
      </c>
      <c r="G1424" s="292" t="s">
        <v>398</v>
      </c>
      <c r="H1424" s="206">
        <v>102900</v>
      </c>
      <c r="I1424" s="206">
        <v>102900</v>
      </c>
      <c r="J1424" s="823">
        <f t="shared" si="257"/>
        <v>100</v>
      </c>
      <c r="K1424" s="23"/>
      <c r="L1424" s="172"/>
      <c r="M1424" s="172"/>
      <c r="N1424" s="993"/>
      <c r="O1424" s="23"/>
      <c r="P1424" s="221">
        <f t="shared" si="258"/>
        <v>102900</v>
      </c>
      <c r="Q1424" s="221">
        <f t="shared" si="259"/>
        <v>102900</v>
      </c>
      <c r="R1424" s="827">
        <f t="shared" si="260"/>
        <v>100</v>
      </c>
    </row>
    <row r="1425" spans="2:18" ht="12.75">
      <c r="B1425" s="224">
        <f t="shared" si="261"/>
        <v>70</v>
      </c>
      <c r="C1425" s="165"/>
      <c r="D1425" s="165"/>
      <c r="E1425" s="170"/>
      <c r="F1425" s="170">
        <v>633</v>
      </c>
      <c r="G1425" s="292" t="s">
        <v>294</v>
      </c>
      <c r="H1425" s="206">
        <v>37900</v>
      </c>
      <c r="I1425" s="206">
        <v>39572</v>
      </c>
      <c r="J1425" s="823">
        <f t="shared" si="257"/>
        <v>104.41160949868073</v>
      </c>
      <c r="K1425" s="23"/>
      <c r="L1425" s="172"/>
      <c r="M1425" s="172"/>
      <c r="N1425" s="993"/>
      <c r="O1425" s="23"/>
      <c r="P1425" s="221">
        <f t="shared" si="258"/>
        <v>37900</v>
      </c>
      <c r="Q1425" s="221">
        <f t="shared" si="259"/>
        <v>39572</v>
      </c>
      <c r="R1425" s="827">
        <f t="shared" si="260"/>
        <v>104.41160949868073</v>
      </c>
    </row>
    <row r="1426" spans="2:18" ht="12.75">
      <c r="B1426" s="224">
        <f t="shared" si="261"/>
        <v>71</v>
      </c>
      <c r="C1426" s="165"/>
      <c r="D1426" s="165"/>
      <c r="E1426" s="170"/>
      <c r="F1426" s="170">
        <v>634</v>
      </c>
      <c r="G1426" s="292" t="s">
        <v>406</v>
      </c>
      <c r="H1426" s="206">
        <v>900</v>
      </c>
      <c r="I1426" s="206">
        <v>900</v>
      </c>
      <c r="J1426" s="823">
        <f t="shared" si="257"/>
        <v>100</v>
      </c>
      <c r="K1426" s="23"/>
      <c r="L1426" s="172"/>
      <c r="M1426" s="172"/>
      <c r="N1426" s="993"/>
      <c r="O1426" s="23"/>
      <c r="P1426" s="221">
        <f t="shared" si="258"/>
        <v>900</v>
      </c>
      <c r="Q1426" s="221">
        <f t="shared" si="259"/>
        <v>900</v>
      </c>
      <c r="R1426" s="827">
        <f t="shared" si="260"/>
        <v>100</v>
      </c>
    </row>
    <row r="1427" spans="2:18" ht="12.75">
      <c r="B1427" s="224">
        <f t="shared" si="261"/>
        <v>72</v>
      </c>
      <c r="C1427" s="165"/>
      <c r="D1427" s="165"/>
      <c r="E1427" s="170"/>
      <c r="F1427" s="170">
        <v>635</v>
      </c>
      <c r="G1427" s="292" t="s">
        <v>311</v>
      </c>
      <c r="H1427" s="206">
        <v>39600</v>
      </c>
      <c r="I1427" s="206">
        <v>39600</v>
      </c>
      <c r="J1427" s="823">
        <f t="shared" si="257"/>
        <v>100</v>
      </c>
      <c r="K1427" s="23"/>
      <c r="L1427" s="172"/>
      <c r="M1427" s="172"/>
      <c r="N1427" s="993"/>
      <c r="O1427" s="23"/>
      <c r="P1427" s="221">
        <f t="shared" si="258"/>
        <v>39600</v>
      </c>
      <c r="Q1427" s="221">
        <f t="shared" si="259"/>
        <v>39600</v>
      </c>
      <c r="R1427" s="827">
        <f t="shared" si="260"/>
        <v>100</v>
      </c>
    </row>
    <row r="1428" spans="2:18" ht="12.75">
      <c r="B1428" s="224">
        <f t="shared" si="261"/>
        <v>73</v>
      </c>
      <c r="C1428" s="165"/>
      <c r="D1428" s="165"/>
      <c r="E1428" s="170"/>
      <c r="F1428" s="170">
        <v>637</v>
      </c>
      <c r="G1428" s="292" t="s">
        <v>295</v>
      </c>
      <c r="H1428" s="206">
        <v>169300</v>
      </c>
      <c r="I1428" s="206">
        <v>169300</v>
      </c>
      <c r="J1428" s="823">
        <f t="shared" si="257"/>
        <v>100</v>
      </c>
      <c r="K1428" s="23"/>
      <c r="L1428" s="172"/>
      <c r="M1428" s="172"/>
      <c r="N1428" s="993"/>
      <c r="O1428" s="23"/>
      <c r="P1428" s="221">
        <f t="shared" si="258"/>
        <v>169300</v>
      </c>
      <c r="Q1428" s="221">
        <f t="shared" si="259"/>
        <v>169300</v>
      </c>
      <c r="R1428" s="827">
        <f t="shared" si="260"/>
        <v>100</v>
      </c>
    </row>
    <row r="1429" spans="2:18" ht="12.75">
      <c r="B1429" s="224">
        <f t="shared" si="261"/>
        <v>74</v>
      </c>
      <c r="C1429" s="165"/>
      <c r="D1429" s="165"/>
      <c r="E1429" s="170"/>
      <c r="F1429" s="196">
        <v>640</v>
      </c>
      <c r="G1429" s="307" t="s">
        <v>320</v>
      </c>
      <c r="H1429" s="207">
        <v>12100</v>
      </c>
      <c r="I1429" s="207">
        <v>12100</v>
      </c>
      <c r="J1429" s="823">
        <f t="shared" si="257"/>
        <v>100</v>
      </c>
      <c r="K1429" s="23"/>
      <c r="L1429" s="172"/>
      <c r="M1429" s="172"/>
      <c r="N1429" s="993"/>
      <c r="O1429" s="23"/>
      <c r="P1429" s="396">
        <f t="shared" si="258"/>
        <v>12100</v>
      </c>
      <c r="Q1429" s="396">
        <f t="shared" si="259"/>
        <v>12100</v>
      </c>
      <c r="R1429" s="827">
        <f t="shared" si="260"/>
        <v>100</v>
      </c>
    </row>
    <row r="1430" spans="2:18" ht="12.75">
      <c r="B1430" s="224">
        <f t="shared" si="261"/>
        <v>75</v>
      </c>
      <c r="C1430" s="165"/>
      <c r="D1430" s="165"/>
      <c r="E1430" s="170"/>
      <c r="F1430" s="196"/>
      <c r="G1430" s="307"/>
      <c r="H1430" s="206"/>
      <c r="I1430" s="206"/>
      <c r="J1430" s="823"/>
      <c r="K1430" s="23"/>
      <c r="L1430" s="172"/>
      <c r="M1430" s="172"/>
      <c r="N1430" s="993"/>
      <c r="O1430" s="23"/>
      <c r="P1430" s="221"/>
      <c r="Q1430" s="221"/>
      <c r="R1430" s="827"/>
    </row>
    <row r="1431" spans="2:18" ht="12.75">
      <c r="B1431" s="224">
        <f t="shared" si="261"/>
        <v>76</v>
      </c>
      <c r="C1431" s="165"/>
      <c r="D1431" s="165"/>
      <c r="E1431" s="202" t="s">
        <v>321</v>
      </c>
      <c r="F1431" s="202">
        <v>620</v>
      </c>
      <c r="G1431" s="307" t="s">
        <v>763</v>
      </c>
      <c r="H1431" s="206">
        <v>20</v>
      </c>
      <c r="I1431" s="206">
        <v>12</v>
      </c>
      <c r="J1431" s="823">
        <f>I1431/H1431*100</f>
        <v>60</v>
      </c>
      <c r="K1431" s="23"/>
      <c r="L1431" s="172"/>
      <c r="M1431" s="172"/>
      <c r="N1431" s="993"/>
      <c r="O1431" s="23"/>
      <c r="P1431" s="221">
        <f>H1431+L1431</f>
        <v>20</v>
      </c>
      <c r="Q1431" s="221">
        <f>I1431</f>
        <v>12</v>
      </c>
      <c r="R1431" s="827">
        <f>Q1431/P1431*100</f>
        <v>60</v>
      </c>
    </row>
    <row r="1432" spans="2:18" ht="12.75">
      <c r="B1432" s="224">
        <f t="shared" si="261"/>
        <v>77</v>
      </c>
      <c r="C1432" s="165"/>
      <c r="D1432" s="165"/>
      <c r="E1432" s="202" t="s">
        <v>321</v>
      </c>
      <c r="F1432" s="202">
        <v>637</v>
      </c>
      <c r="G1432" s="307" t="s">
        <v>351</v>
      </c>
      <c r="H1432" s="206">
        <v>3530</v>
      </c>
      <c r="I1432" s="206">
        <v>1704</v>
      </c>
      <c r="J1432" s="823">
        <f>I1432/H1432*100</f>
        <v>48.271954674220964</v>
      </c>
      <c r="K1432" s="23"/>
      <c r="L1432" s="172"/>
      <c r="M1432" s="172"/>
      <c r="N1432" s="993"/>
      <c r="O1432" s="23"/>
      <c r="P1432" s="221">
        <f>H1432+L1432</f>
        <v>3530</v>
      </c>
      <c r="Q1432" s="221">
        <f>I1432</f>
        <v>1704</v>
      </c>
      <c r="R1432" s="827">
        <f>Q1432/P1432*100</f>
        <v>48.271954674220964</v>
      </c>
    </row>
    <row r="1433" spans="2:18" ht="12.75">
      <c r="B1433" s="224">
        <f t="shared" si="261"/>
        <v>78</v>
      </c>
      <c r="C1433" s="165"/>
      <c r="D1433" s="165"/>
      <c r="E1433" s="202" t="s">
        <v>321</v>
      </c>
      <c r="F1433" s="202">
        <v>640</v>
      </c>
      <c r="G1433" s="307" t="s">
        <v>717</v>
      </c>
      <c r="H1433" s="206">
        <v>99200</v>
      </c>
      <c r="I1433" s="206">
        <v>99200</v>
      </c>
      <c r="J1433" s="823">
        <f>I1433/H1433*100</f>
        <v>100</v>
      </c>
      <c r="K1433" s="23"/>
      <c r="L1433" s="172"/>
      <c r="M1433" s="172"/>
      <c r="N1433" s="993"/>
      <c r="O1433" s="23"/>
      <c r="P1433" s="221">
        <f>H1433+L1433</f>
        <v>99200</v>
      </c>
      <c r="Q1433" s="221">
        <f>I1433</f>
        <v>99200</v>
      </c>
      <c r="R1433" s="827">
        <f>Q1433/P1433*100</f>
        <v>100</v>
      </c>
    </row>
    <row r="1434" spans="2:18" ht="12.75">
      <c r="B1434" s="224">
        <f t="shared" si="261"/>
        <v>79</v>
      </c>
      <c r="C1434" s="165"/>
      <c r="D1434" s="165"/>
      <c r="E1434" s="170"/>
      <c r="F1434" s="196"/>
      <c r="G1434" s="307"/>
      <c r="H1434" s="206"/>
      <c r="I1434" s="206"/>
      <c r="J1434" s="823"/>
      <c r="K1434" s="23"/>
      <c r="L1434" s="172"/>
      <c r="M1434" s="172"/>
      <c r="N1434" s="993"/>
      <c r="O1434" s="23"/>
      <c r="P1434" s="221"/>
      <c r="Q1434" s="221"/>
      <c r="R1434" s="827"/>
    </row>
    <row r="1435" spans="2:18" ht="15.75">
      <c r="B1435" s="224">
        <f t="shared" si="261"/>
        <v>80</v>
      </c>
      <c r="C1435" s="27">
        <v>7</v>
      </c>
      <c r="D1435" s="160" t="s">
        <v>155</v>
      </c>
      <c r="E1435" s="28"/>
      <c r="F1435" s="28"/>
      <c r="G1435" s="291"/>
      <c r="H1435" s="230">
        <f>H1436</f>
        <v>282300</v>
      </c>
      <c r="I1435" s="618">
        <f>I1436</f>
        <v>263274</v>
      </c>
      <c r="J1435" s="823">
        <f aca="true" t="shared" si="262" ref="J1435:J1450">I1435/H1435*100</f>
        <v>93.26036131774707</v>
      </c>
      <c r="K1435" s="96"/>
      <c r="L1435" s="343"/>
      <c r="M1435" s="664"/>
      <c r="N1435" s="995"/>
      <c r="O1435" s="96"/>
      <c r="P1435" s="299">
        <f aca="true" t="shared" si="263" ref="P1435:P1472">H1435+L1435</f>
        <v>282300</v>
      </c>
      <c r="Q1435" s="608">
        <f aca="true" t="shared" si="264" ref="Q1435:Q1472">I1435</f>
        <v>263274</v>
      </c>
      <c r="R1435" s="827">
        <f aca="true" t="shared" si="265" ref="R1435:R1450">Q1435/P1435*100</f>
        <v>93.26036131774707</v>
      </c>
    </row>
    <row r="1436" spans="2:18" ht="12.75">
      <c r="B1436" s="224">
        <f t="shared" si="261"/>
        <v>81</v>
      </c>
      <c r="C1436" s="171"/>
      <c r="D1436" s="171"/>
      <c r="E1436" s="499" t="s">
        <v>369</v>
      </c>
      <c r="F1436" s="499"/>
      <c r="G1436" s="500" t="s">
        <v>585</v>
      </c>
      <c r="H1436" s="501">
        <f>H1437+H1438+H1439+H1444</f>
        <v>282300</v>
      </c>
      <c r="I1436" s="501">
        <f>I1437+I1438+I1439+I1444</f>
        <v>263274</v>
      </c>
      <c r="J1436" s="823">
        <f t="shared" si="262"/>
        <v>93.26036131774707</v>
      </c>
      <c r="K1436" s="23"/>
      <c r="L1436" s="502"/>
      <c r="M1436" s="502"/>
      <c r="N1436" s="993"/>
      <c r="O1436" s="23"/>
      <c r="P1436" s="503">
        <f t="shared" si="263"/>
        <v>282300</v>
      </c>
      <c r="Q1436" s="503">
        <f t="shared" si="264"/>
        <v>263274</v>
      </c>
      <c r="R1436" s="827">
        <f t="shared" si="265"/>
        <v>93.26036131774707</v>
      </c>
    </row>
    <row r="1437" spans="2:18" ht="12.75">
      <c r="B1437" s="224">
        <f t="shared" si="261"/>
        <v>82</v>
      </c>
      <c r="C1437" s="165"/>
      <c r="D1437" s="165"/>
      <c r="E1437" s="196"/>
      <c r="F1437" s="196">
        <v>610</v>
      </c>
      <c r="G1437" s="307" t="s">
        <v>307</v>
      </c>
      <c r="H1437" s="207">
        <f>192000-4200</f>
        <v>187800</v>
      </c>
      <c r="I1437" s="207">
        <v>177076</v>
      </c>
      <c r="J1437" s="823">
        <f t="shared" si="262"/>
        <v>94.28966986155484</v>
      </c>
      <c r="K1437" s="23"/>
      <c r="L1437" s="172"/>
      <c r="M1437" s="172"/>
      <c r="N1437" s="993"/>
      <c r="O1437" s="23"/>
      <c r="P1437" s="396">
        <f t="shared" si="263"/>
        <v>187800</v>
      </c>
      <c r="Q1437" s="396">
        <f t="shared" si="264"/>
        <v>177076</v>
      </c>
      <c r="R1437" s="827">
        <f t="shared" si="265"/>
        <v>94.28966986155484</v>
      </c>
    </row>
    <row r="1438" spans="2:18" ht="12.75">
      <c r="B1438" s="224">
        <f t="shared" si="261"/>
        <v>83</v>
      </c>
      <c r="C1438" s="165"/>
      <c r="D1438" s="165"/>
      <c r="E1438" s="170"/>
      <c r="F1438" s="196">
        <v>620</v>
      </c>
      <c r="G1438" s="307" t="s">
        <v>309</v>
      </c>
      <c r="H1438" s="207">
        <f>68500-2000</f>
        <v>66500</v>
      </c>
      <c r="I1438" s="207">
        <v>61055</v>
      </c>
      <c r="J1438" s="823">
        <f t="shared" si="262"/>
        <v>91.81203007518796</v>
      </c>
      <c r="K1438" s="23"/>
      <c r="L1438" s="172"/>
      <c r="M1438" s="172"/>
      <c r="N1438" s="993"/>
      <c r="O1438" s="23"/>
      <c r="P1438" s="396">
        <f t="shared" si="263"/>
        <v>66500</v>
      </c>
      <c r="Q1438" s="396">
        <f t="shared" si="264"/>
        <v>61055</v>
      </c>
      <c r="R1438" s="827">
        <f t="shared" si="265"/>
        <v>91.81203007518796</v>
      </c>
    </row>
    <row r="1439" spans="2:18" ht="12.75">
      <c r="B1439" s="224">
        <f t="shared" si="261"/>
        <v>84</v>
      </c>
      <c r="C1439" s="165"/>
      <c r="D1439" s="165"/>
      <c r="E1439" s="170"/>
      <c r="F1439" s="196">
        <v>630</v>
      </c>
      <c r="G1439" s="307" t="s">
        <v>276</v>
      </c>
      <c r="H1439" s="207">
        <f>H1440+H1441+H1442+H1443</f>
        <v>24500</v>
      </c>
      <c r="I1439" s="207">
        <f>I1440+I1441+I1442+I1443</f>
        <v>22087</v>
      </c>
      <c r="J1439" s="823">
        <f t="shared" si="262"/>
        <v>90.15102040816326</v>
      </c>
      <c r="K1439" s="23"/>
      <c r="L1439" s="172"/>
      <c r="M1439" s="172"/>
      <c r="N1439" s="993"/>
      <c r="O1439" s="23"/>
      <c r="P1439" s="396">
        <f t="shared" si="263"/>
        <v>24500</v>
      </c>
      <c r="Q1439" s="396">
        <f t="shared" si="264"/>
        <v>22087</v>
      </c>
      <c r="R1439" s="827">
        <f t="shared" si="265"/>
        <v>90.15102040816326</v>
      </c>
    </row>
    <row r="1440" spans="2:18" ht="12.75">
      <c r="B1440" s="224">
        <f t="shared" si="261"/>
        <v>85</v>
      </c>
      <c r="C1440" s="165"/>
      <c r="D1440" s="165"/>
      <c r="E1440" s="170"/>
      <c r="F1440" s="170">
        <v>632</v>
      </c>
      <c r="G1440" s="292" t="s">
        <v>370</v>
      </c>
      <c r="H1440" s="206">
        <v>510</v>
      </c>
      <c r="I1440" s="206">
        <v>510</v>
      </c>
      <c r="J1440" s="823">
        <f t="shared" si="262"/>
        <v>100</v>
      </c>
      <c r="K1440" s="23"/>
      <c r="L1440" s="172"/>
      <c r="M1440" s="172"/>
      <c r="N1440" s="993"/>
      <c r="O1440" s="23"/>
      <c r="P1440" s="221">
        <f t="shared" si="263"/>
        <v>510</v>
      </c>
      <c r="Q1440" s="221">
        <f t="shared" si="264"/>
        <v>510</v>
      </c>
      <c r="R1440" s="827">
        <f t="shared" si="265"/>
        <v>100</v>
      </c>
    </row>
    <row r="1441" spans="2:18" ht="12.75">
      <c r="B1441" s="224">
        <f t="shared" si="261"/>
        <v>86</v>
      </c>
      <c r="C1441" s="165"/>
      <c r="D1441" s="165"/>
      <c r="E1441" s="170"/>
      <c r="F1441" s="170">
        <v>633</v>
      </c>
      <c r="G1441" s="292" t="s">
        <v>372</v>
      </c>
      <c r="H1441" s="206">
        <v>2000</v>
      </c>
      <c r="I1441" s="206">
        <v>714</v>
      </c>
      <c r="J1441" s="823">
        <f t="shared" si="262"/>
        <v>35.699999999999996</v>
      </c>
      <c r="K1441" s="23"/>
      <c r="L1441" s="172"/>
      <c r="M1441" s="172"/>
      <c r="N1441" s="993"/>
      <c r="O1441" s="23"/>
      <c r="P1441" s="221">
        <f t="shared" si="263"/>
        <v>2000</v>
      </c>
      <c r="Q1441" s="221">
        <f t="shared" si="264"/>
        <v>714</v>
      </c>
      <c r="R1441" s="827">
        <f t="shared" si="265"/>
        <v>35.699999999999996</v>
      </c>
    </row>
    <row r="1442" spans="2:18" ht="12.75">
      <c r="B1442" s="224">
        <f t="shared" si="261"/>
        <v>87</v>
      </c>
      <c r="C1442" s="165"/>
      <c r="D1442" s="165"/>
      <c r="E1442" s="170"/>
      <c r="F1442" s="170">
        <v>634</v>
      </c>
      <c r="G1442" s="292" t="s">
        <v>310</v>
      </c>
      <c r="H1442" s="206">
        <v>4790</v>
      </c>
      <c r="I1442" s="206">
        <v>4509</v>
      </c>
      <c r="J1442" s="823">
        <f t="shared" si="262"/>
        <v>94.13361169102296</v>
      </c>
      <c r="K1442" s="23"/>
      <c r="L1442" s="172"/>
      <c r="M1442" s="172"/>
      <c r="N1442" s="993"/>
      <c r="O1442" s="23"/>
      <c r="P1442" s="221">
        <f t="shared" si="263"/>
        <v>4790</v>
      </c>
      <c r="Q1442" s="221">
        <f t="shared" si="264"/>
        <v>4509</v>
      </c>
      <c r="R1442" s="827">
        <f t="shared" si="265"/>
        <v>94.13361169102296</v>
      </c>
    </row>
    <row r="1443" spans="2:18" ht="12.75">
      <c r="B1443" s="224">
        <f t="shared" si="261"/>
        <v>88</v>
      </c>
      <c r="C1443" s="165"/>
      <c r="D1443" s="165"/>
      <c r="E1443" s="170"/>
      <c r="F1443" s="170">
        <v>637</v>
      </c>
      <c r="G1443" s="292" t="s">
        <v>295</v>
      </c>
      <c r="H1443" s="206">
        <f>21700-4500</f>
        <v>17200</v>
      </c>
      <c r="I1443" s="206">
        <v>16354</v>
      </c>
      <c r="J1443" s="823">
        <f t="shared" si="262"/>
        <v>95.0813953488372</v>
      </c>
      <c r="K1443" s="23"/>
      <c r="L1443" s="172"/>
      <c r="M1443" s="172"/>
      <c r="N1443" s="993"/>
      <c r="O1443" s="23"/>
      <c r="P1443" s="221">
        <f t="shared" si="263"/>
        <v>17200</v>
      </c>
      <c r="Q1443" s="221">
        <f t="shared" si="264"/>
        <v>16354</v>
      </c>
      <c r="R1443" s="827">
        <f t="shared" si="265"/>
        <v>95.0813953488372</v>
      </c>
    </row>
    <row r="1444" spans="2:18" ht="12.75">
      <c r="B1444" s="224">
        <f t="shared" si="261"/>
        <v>89</v>
      </c>
      <c r="C1444" s="165"/>
      <c r="D1444" s="165"/>
      <c r="E1444" s="170"/>
      <c r="F1444" s="196">
        <v>640</v>
      </c>
      <c r="G1444" s="307" t="s">
        <v>371</v>
      </c>
      <c r="H1444" s="207">
        <f>5000-1500</f>
        <v>3500</v>
      </c>
      <c r="I1444" s="207">
        <v>3056</v>
      </c>
      <c r="J1444" s="823">
        <f t="shared" si="262"/>
        <v>87.31428571428572</v>
      </c>
      <c r="K1444" s="23"/>
      <c r="L1444" s="172"/>
      <c r="M1444" s="172"/>
      <c r="N1444" s="993"/>
      <c r="O1444" s="23"/>
      <c r="P1444" s="396">
        <f t="shared" si="263"/>
        <v>3500</v>
      </c>
      <c r="Q1444" s="396">
        <f t="shared" si="264"/>
        <v>3056</v>
      </c>
      <c r="R1444" s="827">
        <f t="shared" si="265"/>
        <v>87.31428571428572</v>
      </c>
    </row>
    <row r="1445" spans="2:18" ht="15.75">
      <c r="B1445" s="224">
        <f t="shared" si="261"/>
        <v>90</v>
      </c>
      <c r="C1445" s="27">
        <v>8</v>
      </c>
      <c r="D1445" s="160" t="s">
        <v>108</v>
      </c>
      <c r="E1445" s="28"/>
      <c r="F1445" s="28"/>
      <c r="G1445" s="291"/>
      <c r="H1445" s="230">
        <f>H1446</f>
        <v>3500</v>
      </c>
      <c r="I1445" s="618">
        <f>I1446</f>
        <v>1286</v>
      </c>
      <c r="J1445" s="823">
        <f t="shared" si="262"/>
        <v>36.74285714285715</v>
      </c>
      <c r="K1445" s="96"/>
      <c r="L1445" s="343"/>
      <c r="M1445" s="664"/>
      <c r="N1445" s="995"/>
      <c r="O1445" s="96"/>
      <c r="P1445" s="299">
        <f t="shared" si="263"/>
        <v>3500</v>
      </c>
      <c r="Q1445" s="608">
        <f t="shared" si="264"/>
        <v>1286</v>
      </c>
      <c r="R1445" s="827">
        <f t="shared" si="265"/>
        <v>36.74285714285715</v>
      </c>
    </row>
    <row r="1446" spans="2:18" ht="12.75">
      <c r="B1446" s="224">
        <f t="shared" si="261"/>
        <v>91</v>
      </c>
      <c r="C1446" s="171"/>
      <c r="D1446" s="171"/>
      <c r="E1446" s="173" t="s">
        <v>340</v>
      </c>
      <c r="F1446" s="173">
        <v>637</v>
      </c>
      <c r="G1446" s="311" t="s">
        <v>352</v>
      </c>
      <c r="H1446" s="206">
        <v>3500</v>
      </c>
      <c r="I1446" s="206">
        <v>1286</v>
      </c>
      <c r="J1446" s="823">
        <f t="shared" si="262"/>
        <v>36.74285714285715</v>
      </c>
      <c r="K1446" s="23"/>
      <c r="L1446" s="172"/>
      <c r="M1446" s="172"/>
      <c r="N1446" s="993"/>
      <c r="O1446" s="23"/>
      <c r="P1446" s="221">
        <f t="shared" si="263"/>
        <v>3500</v>
      </c>
      <c r="Q1446" s="221">
        <f t="shared" si="264"/>
        <v>1286</v>
      </c>
      <c r="R1446" s="827">
        <f t="shared" si="265"/>
        <v>36.74285714285715</v>
      </c>
    </row>
    <row r="1447" spans="2:18" ht="15.75">
      <c r="B1447" s="224">
        <f t="shared" si="261"/>
        <v>92</v>
      </c>
      <c r="C1447" s="27">
        <v>9</v>
      </c>
      <c r="D1447" s="160" t="s">
        <v>156</v>
      </c>
      <c r="E1447" s="28"/>
      <c r="F1447" s="28"/>
      <c r="G1447" s="291"/>
      <c r="H1447" s="230">
        <f>SUM(H1448:H1452)</f>
        <v>10180</v>
      </c>
      <c r="I1447" s="618">
        <f>I1448+I1449+I1450+I1451+I1452</f>
        <v>9456</v>
      </c>
      <c r="J1447" s="823">
        <f t="shared" si="262"/>
        <v>92.88801571709234</v>
      </c>
      <c r="K1447" s="96"/>
      <c r="L1447" s="343"/>
      <c r="M1447" s="664"/>
      <c r="N1447" s="995"/>
      <c r="O1447" s="96"/>
      <c r="P1447" s="299">
        <f t="shared" si="263"/>
        <v>10180</v>
      </c>
      <c r="Q1447" s="608">
        <f t="shared" si="264"/>
        <v>9456</v>
      </c>
      <c r="R1447" s="827">
        <f t="shared" si="265"/>
        <v>92.88801571709234</v>
      </c>
    </row>
    <row r="1448" spans="2:18" ht="12.75">
      <c r="B1448" s="224">
        <f t="shared" si="261"/>
        <v>93</v>
      </c>
      <c r="C1448" s="171"/>
      <c r="D1448" s="171"/>
      <c r="E1448" s="173" t="s">
        <v>353</v>
      </c>
      <c r="F1448" s="173">
        <v>640</v>
      </c>
      <c r="G1448" s="310" t="s">
        <v>354</v>
      </c>
      <c r="H1448" s="206">
        <f>1000-150</f>
        <v>850</v>
      </c>
      <c r="I1448" s="206">
        <v>0</v>
      </c>
      <c r="J1448" s="823">
        <f t="shared" si="262"/>
        <v>0</v>
      </c>
      <c r="K1448" s="23"/>
      <c r="L1448" s="172"/>
      <c r="M1448" s="172"/>
      <c r="N1448" s="993"/>
      <c r="O1448" s="23"/>
      <c r="P1448" s="221">
        <f t="shared" si="263"/>
        <v>850</v>
      </c>
      <c r="Q1448" s="221">
        <f t="shared" si="264"/>
        <v>0</v>
      </c>
      <c r="R1448" s="827">
        <f t="shared" si="265"/>
        <v>0</v>
      </c>
    </row>
    <row r="1449" spans="2:18" ht="12.75">
      <c r="B1449" s="224">
        <f t="shared" si="261"/>
        <v>94</v>
      </c>
      <c r="C1449" s="165"/>
      <c r="D1449" s="165"/>
      <c r="E1449" s="173" t="s">
        <v>353</v>
      </c>
      <c r="F1449" s="173">
        <v>640</v>
      </c>
      <c r="G1449" s="292" t="s">
        <v>355</v>
      </c>
      <c r="H1449" s="206">
        <v>1000</v>
      </c>
      <c r="I1449" s="206">
        <v>0</v>
      </c>
      <c r="J1449" s="823">
        <f t="shared" si="262"/>
        <v>0</v>
      </c>
      <c r="K1449" s="23"/>
      <c r="L1449" s="172"/>
      <c r="M1449" s="172"/>
      <c r="N1449" s="993"/>
      <c r="O1449" s="23"/>
      <c r="P1449" s="221">
        <f t="shared" si="263"/>
        <v>1000</v>
      </c>
      <c r="Q1449" s="221">
        <f t="shared" si="264"/>
        <v>0</v>
      </c>
      <c r="R1449" s="827">
        <f t="shared" si="265"/>
        <v>0</v>
      </c>
    </row>
    <row r="1450" spans="2:18" ht="12.75">
      <c r="B1450" s="224">
        <f t="shared" si="261"/>
        <v>95</v>
      </c>
      <c r="C1450" s="463"/>
      <c r="D1450" s="463"/>
      <c r="E1450" s="464" t="s">
        <v>353</v>
      </c>
      <c r="F1450" s="464">
        <v>640</v>
      </c>
      <c r="G1450" s="465" t="s">
        <v>356</v>
      </c>
      <c r="H1450" s="247">
        <v>8000</v>
      </c>
      <c r="I1450" s="247">
        <v>5840</v>
      </c>
      <c r="J1450" s="823">
        <f t="shared" si="262"/>
        <v>73</v>
      </c>
      <c r="K1450" s="23"/>
      <c r="L1450" s="238"/>
      <c r="M1450" s="238"/>
      <c r="N1450" s="997"/>
      <c r="O1450" s="23"/>
      <c r="P1450" s="219">
        <f t="shared" si="263"/>
        <v>8000</v>
      </c>
      <c r="Q1450" s="221">
        <f t="shared" si="264"/>
        <v>5840</v>
      </c>
      <c r="R1450" s="827">
        <f t="shared" si="265"/>
        <v>73</v>
      </c>
    </row>
    <row r="1451" spans="2:18" ht="12.75">
      <c r="B1451" s="224">
        <f t="shared" si="261"/>
        <v>96</v>
      </c>
      <c r="C1451" s="463"/>
      <c r="D1451" s="554"/>
      <c r="E1451" s="464" t="s">
        <v>353</v>
      </c>
      <c r="F1451" s="464">
        <v>637</v>
      </c>
      <c r="G1451" s="465" t="s">
        <v>775</v>
      </c>
      <c r="H1451" s="247">
        <v>0</v>
      </c>
      <c r="I1451" s="247">
        <f>3616-330</f>
        <v>3286</v>
      </c>
      <c r="J1451" s="823"/>
      <c r="K1451" s="23"/>
      <c r="L1451" s="238"/>
      <c r="M1451" s="238"/>
      <c r="N1451" s="997"/>
      <c r="O1451" s="23"/>
      <c r="P1451" s="219">
        <f t="shared" si="263"/>
        <v>0</v>
      </c>
      <c r="Q1451" s="221">
        <f t="shared" si="264"/>
        <v>3286</v>
      </c>
      <c r="R1451" s="827"/>
    </row>
    <row r="1452" spans="2:18" ht="12.75">
      <c r="B1452" s="224">
        <f t="shared" si="261"/>
        <v>97</v>
      </c>
      <c r="C1452" s="463"/>
      <c r="D1452" s="554"/>
      <c r="E1452" s="464" t="s">
        <v>353</v>
      </c>
      <c r="F1452" s="173">
        <v>637</v>
      </c>
      <c r="G1452" s="465" t="s">
        <v>718</v>
      </c>
      <c r="H1452" s="247">
        <v>330</v>
      </c>
      <c r="I1452" s="247">
        <v>330</v>
      </c>
      <c r="J1452" s="823">
        <f aca="true" t="shared" si="266" ref="J1452:J1472">I1452/H1452*100</f>
        <v>100</v>
      </c>
      <c r="K1452" s="23"/>
      <c r="L1452" s="238"/>
      <c r="M1452" s="238"/>
      <c r="N1452" s="997"/>
      <c r="O1452" s="23"/>
      <c r="P1452" s="219">
        <f t="shared" si="263"/>
        <v>330</v>
      </c>
      <c r="Q1452" s="221">
        <f t="shared" si="264"/>
        <v>330</v>
      </c>
      <c r="R1452" s="827">
        <f aca="true" t="shared" si="267" ref="R1452:R1472">Q1452/P1452*100</f>
        <v>100</v>
      </c>
    </row>
    <row r="1453" spans="2:18" ht="15.75">
      <c r="B1453" s="224">
        <f t="shared" si="261"/>
        <v>98</v>
      </c>
      <c r="C1453" s="24">
        <v>10</v>
      </c>
      <c r="D1453" s="159" t="s">
        <v>133</v>
      </c>
      <c r="E1453" s="25"/>
      <c r="F1453" s="25"/>
      <c r="G1453" s="293"/>
      <c r="H1453" s="228">
        <f>H1454</f>
        <v>9300</v>
      </c>
      <c r="I1453" s="615">
        <f>I1454</f>
        <v>9300</v>
      </c>
      <c r="J1453" s="823">
        <f t="shared" si="266"/>
        <v>100</v>
      </c>
      <c r="K1453" s="553"/>
      <c r="L1453" s="376"/>
      <c r="M1453" s="643"/>
      <c r="N1453" s="992"/>
      <c r="O1453" s="553"/>
      <c r="P1453" s="300">
        <f t="shared" si="263"/>
        <v>9300</v>
      </c>
      <c r="Q1453" s="609">
        <f t="shared" si="264"/>
        <v>9300</v>
      </c>
      <c r="R1453" s="827">
        <f t="shared" si="267"/>
        <v>100</v>
      </c>
    </row>
    <row r="1454" spans="2:18" ht="12.75">
      <c r="B1454" s="224">
        <f aca="true" t="shared" si="268" ref="B1454:B1472">B1453+1</f>
        <v>99</v>
      </c>
      <c r="C1454" s="171"/>
      <c r="D1454" s="171"/>
      <c r="E1454" s="499" t="s">
        <v>399</v>
      </c>
      <c r="F1454" s="499"/>
      <c r="G1454" s="500" t="s">
        <v>586</v>
      </c>
      <c r="H1454" s="501">
        <f>H1455+H1456+H1457</f>
        <v>9300</v>
      </c>
      <c r="I1454" s="501">
        <f>I1455+I1456+I1457</f>
        <v>9300</v>
      </c>
      <c r="J1454" s="823">
        <f t="shared" si="266"/>
        <v>100</v>
      </c>
      <c r="K1454" s="23"/>
      <c r="L1454" s="502"/>
      <c r="M1454" s="502"/>
      <c r="N1454" s="993"/>
      <c r="O1454" s="23"/>
      <c r="P1454" s="503">
        <f t="shared" si="263"/>
        <v>9300</v>
      </c>
      <c r="Q1454" s="503">
        <f t="shared" si="264"/>
        <v>9300</v>
      </c>
      <c r="R1454" s="827">
        <f t="shared" si="267"/>
        <v>100</v>
      </c>
    </row>
    <row r="1455" spans="2:18" ht="12.75">
      <c r="B1455" s="224">
        <f t="shared" si="268"/>
        <v>100</v>
      </c>
      <c r="C1455" s="165"/>
      <c r="D1455" s="165"/>
      <c r="E1455" s="196"/>
      <c r="F1455" s="196">
        <v>610</v>
      </c>
      <c r="G1455" s="307" t="s">
        <v>307</v>
      </c>
      <c r="H1455" s="207">
        <v>4700</v>
      </c>
      <c r="I1455" s="207">
        <v>4700</v>
      </c>
      <c r="J1455" s="823">
        <f t="shared" si="266"/>
        <v>100</v>
      </c>
      <c r="K1455" s="23"/>
      <c r="L1455" s="172"/>
      <c r="M1455" s="172"/>
      <c r="N1455" s="993"/>
      <c r="O1455" s="23"/>
      <c r="P1455" s="396">
        <f t="shared" si="263"/>
        <v>4700</v>
      </c>
      <c r="Q1455" s="396">
        <f t="shared" si="264"/>
        <v>4700</v>
      </c>
      <c r="R1455" s="827">
        <f t="shared" si="267"/>
        <v>100</v>
      </c>
    </row>
    <row r="1456" spans="2:18" ht="12.75">
      <c r="B1456" s="224">
        <f t="shared" si="268"/>
        <v>101</v>
      </c>
      <c r="C1456" s="165"/>
      <c r="D1456" s="165"/>
      <c r="E1456" s="170"/>
      <c r="F1456" s="196">
        <v>620</v>
      </c>
      <c r="G1456" s="307" t="s">
        <v>309</v>
      </c>
      <c r="H1456" s="207">
        <v>1650</v>
      </c>
      <c r="I1456" s="207">
        <v>1650</v>
      </c>
      <c r="J1456" s="823">
        <f t="shared" si="266"/>
        <v>100</v>
      </c>
      <c r="K1456" s="23"/>
      <c r="L1456" s="172"/>
      <c r="M1456" s="172"/>
      <c r="N1456" s="993"/>
      <c r="O1456" s="23"/>
      <c r="P1456" s="396">
        <f t="shared" si="263"/>
        <v>1650</v>
      </c>
      <c r="Q1456" s="396">
        <f t="shared" si="264"/>
        <v>1650</v>
      </c>
      <c r="R1456" s="827">
        <f t="shared" si="267"/>
        <v>100</v>
      </c>
    </row>
    <row r="1457" spans="2:18" ht="12.75">
      <c r="B1457" s="224">
        <f t="shared" si="268"/>
        <v>102</v>
      </c>
      <c r="C1457" s="165"/>
      <c r="D1457" s="165"/>
      <c r="E1457" s="170"/>
      <c r="F1457" s="196">
        <v>630</v>
      </c>
      <c r="G1457" s="307" t="s">
        <v>276</v>
      </c>
      <c r="H1457" s="207">
        <f>H1458+H1459+H1460+H1461</f>
        <v>2950</v>
      </c>
      <c r="I1457" s="207">
        <f>SUM(I1458:I1461)</f>
        <v>2950</v>
      </c>
      <c r="J1457" s="823">
        <f t="shared" si="266"/>
        <v>100</v>
      </c>
      <c r="K1457" s="23"/>
      <c r="L1457" s="172"/>
      <c r="M1457" s="172"/>
      <c r="N1457" s="993"/>
      <c r="O1457" s="23"/>
      <c r="P1457" s="396">
        <f t="shared" si="263"/>
        <v>2950</v>
      </c>
      <c r="Q1457" s="396">
        <f t="shared" si="264"/>
        <v>2950</v>
      </c>
      <c r="R1457" s="827">
        <f t="shared" si="267"/>
        <v>100</v>
      </c>
    </row>
    <row r="1458" spans="2:18" ht="12.75">
      <c r="B1458" s="224">
        <f t="shared" si="268"/>
        <v>103</v>
      </c>
      <c r="C1458" s="165"/>
      <c r="D1458" s="165"/>
      <c r="E1458" s="170"/>
      <c r="F1458" s="170">
        <v>632</v>
      </c>
      <c r="G1458" s="292" t="s">
        <v>587</v>
      </c>
      <c r="H1458" s="206">
        <v>50</v>
      </c>
      <c r="I1458" s="206">
        <v>50</v>
      </c>
      <c r="J1458" s="823">
        <f t="shared" si="266"/>
        <v>100</v>
      </c>
      <c r="K1458" s="23"/>
      <c r="L1458" s="172"/>
      <c r="M1458" s="172"/>
      <c r="N1458" s="993"/>
      <c r="O1458" s="23"/>
      <c r="P1458" s="221">
        <f t="shared" si="263"/>
        <v>50</v>
      </c>
      <c r="Q1458" s="221">
        <f t="shared" si="264"/>
        <v>50</v>
      </c>
      <c r="R1458" s="827">
        <f t="shared" si="267"/>
        <v>100</v>
      </c>
    </row>
    <row r="1459" spans="2:18" ht="12.75">
      <c r="B1459" s="224">
        <f t="shared" si="268"/>
        <v>104</v>
      </c>
      <c r="C1459" s="165"/>
      <c r="D1459" s="165"/>
      <c r="E1459" s="170"/>
      <c r="F1459" s="170">
        <v>633</v>
      </c>
      <c r="G1459" s="292" t="s">
        <v>400</v>
      </c>
      <c r="H1459" s="206">
        <v>10</v>
      </c>
      <c r="I1459" s="206">
        <v>10</v>
      </c>
      <c r="J1459" s="823">
        <f t="shared" si="266"/>
        <v>100</v>
      </c>
      <c r="K1459" s="23"/>
      <c r="L1459" s="172"/>
      <c r="M1459" s="172"/>
      <c r="N1459" s="993"/>
      <c r="O1459" s="23"/>
      <c r="P1459" s="221">
        <f t="shared" si="263"/>
        <v>10</v>
      </c>
      <c r="Q1459" s="221">
        <f t="shared" si="264"/>
        <v>10</v>
      </c>
      <c r="R1459" s="827">
        <f t="shared" si="267"/>
        <v>100</v>
      </c>
    </row>
    <row r="1460" spans="2:18" ht="12.75">
      <c r="B1460" s="224">
        <f t="shared" si="268"/>
        <v>105</v>
      </c>
      <c r="C1460" s="165"/>
      <c r="D1460" s="165"/>
      <c r="E1460" s="170"/>
      <c r="F1460" s="170">
        <v>634</v>
      </c>
      <c r="G1460" s="292" t="s">
        <v>310</v>
      </c>
      <c r="H1460" s="206">
        <f>1550+900</f>
        <v>2450</v>
      </c>
      <c r="I1460" s="206">
        <v>2450</v>
      </c>
      <c r="J1460" s="823">
        <f t="shared" si="266"/>
        <v>100</v>
      </c>
      <c r="K1460" s="23"/>
      <c r="L1460" s="172"/>
      <c r="M1460" s="172"/>
      <c r="N1460" s="993"/>
      <c r="O1460" s="23"/>
      <c r="P1460" s="221">
        <f t="shared" si="263"/>
        <v>2450</v>
      </c>
      <c r="Q1460" s="221">
        <f t="shared" si="264"/>
        <v>2450</v>
      </c>
      <c r="R1460" s="827">
        <f t="shared" si="267"/>
        <v>100</v>
      </c>
    </row>
    <row r="1461" spans="2:18" ht="12.75">
      <c r="B1461" s="224">
        <f t="shared" si="268"/>
        <v>106</v>
      </c>
      <c r="C1461" s="165"/>
      <c r="D1461" s="165"/>
      <c r="E1461" s="170"/>
      <c r="F1461" s="170">
        <v>637</v>
      </c>
      <c r="G1461" s="292" t="s">
        <v>295</v>
      </c>
      <c r="H1461" s="206">
        <v>440</v>
      </c>
      <c r="I1461" s="206">
        <v>440</v>
      </c>
      <c r="J1461" s="823">
        <f t="shared" si="266"/>
        <v>100</v>
      </c>
      <c r="K1461" s="23"/>
      <c r="L1461" s="172"/>
      <c r="M1461" s="172"/>
      <c r="N1461" s="993"/>
      <c r="O1461" s="23"/>
      <c r="P1461" s="221">
        <f t="shared" si="263"/>
        <v>440</v>
      </c>
      <c r="Q1461" s="221">
        <f t="shared" si="264"/>
        <v>440</v>
      </c>
      <c r="R1461" s="827">
        <f t="shared" si="267"/>
        <v>100</v>
      </c>
    </row>
    <row r="1462" spans="2:18" ht="15.75">
      <c r="B1462" s="224">
        <f t="shared" si="268"/>
        <v>107</v>
      </c>
      <c r="C1462" s="27">
        <v>11</v>
      </c>
      <c r="D1462" s="160" t="s">
        <v>599</v>
      </c>
      <c r="E1462" s="28"/>
      <c r="F1462" s="28"/>
      <c r="G1462" s="291"/>
      <c r="H1462" s="230">
        <f>H1463</f>
        <v>68400</v>
      </c>
      <c r="I1462" s="618">
        <f>I1463</f>
        <v>68400</v>
      </c>
      <c r="J1462" s="823">
        <f t="shared" si="266"/>
        <v>100</v>
      </c>
      <c r="K1462" s="96"/>
      <c r="L1462" s="343"/>
      <c r="M1462" s="664"/>
      <c r="N1462" s="995"/>
      <c r="O1462" s="96"/>
      <c r="P1462" s="299">
        <f t="shared" si="263"/>
        <v>68400</v>
      </c>
      <c r="Q1462" s="608">
        <f t="shared" si="264"/>
        <v>68400</v>
      </c>
      <c r="R1462" s="827">
        <f t="shared" si="267"/>
        <v>100</v>
      </c>
    </row>
    <row r="1463" spans="2:18" ht="12.75">
      <c r="B1463" s="224">
        <f t="shared" si="268"/>
        <v>108</v>
      </c>
      <c r="C1463" s="171"/>
      <c r="D1463" s="171"/>
      <c r="E1463" s="499" t="s">
        <v>321</v>
      </c>
      <c r="F1463" s="499"/>
      <c r="G1463" s="500" t="s">
        <v>586</v>
      </c>
      <c r="H1463" s="501">
        <f>H1464+H1465+H1466+H1472</f>
        <v>68400</v>
      </c>
      <c r="I1463" s="501">
        <f>I1464+I1465+I1466+I1472</f>
        <v>68400</v>
      </c>
      <c r="J1463" s="823">
        <f t="shared" si="266"/>
        <v>100</v>
      </c>
      <c r="K1463" s="23"/>
      <c r="L1463" s="502"/>
      <c r="M1463" s="502"/>
      <c r="N1463" s="993"/>
      <c r="O1463" s="23"/>
      <c r="P1463" s="503">
        <f t="shared" si="263"/>
        <v>68400</v>
      </c>
      <c r="Q1463" s="503">
        <f t="shared" si="264"/>
        <v>68400</v>
      </c>
      <c r="R1463" s="827">
        <f t="shared" si="267"/>
        <v>100</v>
      </c>
    </row>
    <row r="1464" spans="2:18" ht="12.75">
      <c r="B1464" s="224">
        <f t="shared" si="268"/>
        <v>109</v>
      </c>
      <c r="C1464" s="165"/>
      <c r="D1464" s="165"/>
      <c r="E1464" s="196"/>
      <c r="F1464" s="196">
        <v>610</v>
      </c>
      <c r="G1464" s="307" t="s">
        <v>307</v>
      </c>
      <c r="H1464" s="207">
        <f>30600+5900</f>
        <v>36500</v>
      </c>
      <c r="I1464" s="207">
        <v>36500</v>
      </c>
      <c r="J1464" s="823">
        <f t="shared" si="266"/>
        <v>100</v>
      </c>
      <c r="K1464" s="23"/>
      <c r="L1464" s="172"/>
      <c r="M1464" s="172"/>
      <c r="N1464" s="993"/>
      <c r="O1464" s="23"/>
      <c r="P1464" s="396">
        <f t="shared" si="263"/>
        <v>36500</v>
      </c>
      <c r="Q1464" s="396">
        <f t="shared" si="264"/>
        <v>36500</v>
      </c>
      <c r="R1464" s="827">
        <f t="shared" si="267"/>
        <v>100</v>
      </c>
    </row>
    <row r="1465" spans="2:18" ht="12.75">
      <c r="B1465" s="224">
        <f t="shared" si="268"/>
        <v>110</v>
      </c>
      <c r="C1465" s="171"/>
      <c r="D1465" s="171"/>
      <c r="E1465" s="170"/>
      <c r="F1465" s="196">
        <v>620</v>
      </c>
      <c r="G1465" s="307" t="s">
        <v>309</v>
      </c>
      <c r="H1465" s="207">
        <f>10500+2000</f>
        <v>12500</v>
      </c>
      <c r="I1465" s="207">
        <v>12500</v>
      </c>
      <c r="J1465" s="823">
        <f t="shared" si="266"/>
        <v>100</v>
      </c>
      <c r="K1465" s="23"/>
      <c r="L1465" s="172"/>
      <c r="M1465" s="172"/>
      <c r="N1465" s="993"/>
      <c r="O1465" s="23"/>
      <c r="P1465" s="396">
        <f t="shared" si="263"/>
        <v>12500</v>
      </c>
      <c r="Q1465" s="396">
        <f t="shared" si="264"/>
        <v>12500</v>
      </c>
      <c r="R1465" s="827">
        <f t="shared" si="267"/>
        <v>100</v>
      </c>
    </row>
    <row r="1466" spans="2:18" ht="12.75">
      <c r="B1466" s="224">
        <f t="shared" si="268"/>
        <v>111</v>
      </c>
      <c r="C1466" s="165"/>
      <c r="D1466" s="165"/>
      <c r="E1466" s="170"/>
      <c r="F1466" s="196">
        <v>630</v>
      </c>
      <c r="G1466" s="307" t="s">
        <v>276</v>
      </c>
      <c r="H1466" s="207">
        <f>H1467+H1468+H1469+H1470+H1471</f>
        <v>19300</v>
      </c>
      <c r="I1466" s="207">
        <f>SUM(I1467:I1471)</f>
        <v>19300</v>
      </c>
      <c r="J1466" s="823">
        <f t="shared" si="266"/>
        <v>100</v>
      </c>
      <c r="K1466" s="214"/>
      <c r="L1466" s="172"/>
      <c r="M1466" s="172"/>
      <c r="N1466" s="993"/>
      <c r="O1466" s="214"/>
      <c r="P1466" s="396">
        <f t="shared" si="263"/>
        <v>19300</v>
      </c>
      <c r="Q1466" s="396">
        <f t="shared" si="264"/>
        <v>19300</v>
      </c>
      <c r="R1466" s="827">
        <f t="shared" si="267"/>
        <v>100</v>
      </c>
    </row>
    <row r="1467" spans="2:18" ht="12.75">
      <c r="B1467" s="224">
        <f t="shared" si="268"/>
        <v>112</v>
      </c>
      <c r="C1467" s="165"/>
      <c r="D1467" s="165"/>
      <c r="E1467" s="170"/>
      <c r="F1467" s="170">
        <v>632</v>
      </c>
      <c r="G1467" s="292" t="s">
        <v>398</v>
      </c>
      <c r="H1467" s="211">
        <v>2000</v>
      </c>
      <c r="I1467" s="211">
        <v>2000</v>
      </c>
      <c r="J1467" s="823">
        <f t="shared" si="266"/>
        <v>100</v>
      </c>
      <c r="K1467" s="23"/>
      <c r="L1467" s="167"/>
      <c r="M1467" s="167"/>
      <c r="N1467" s="994"/>
      <c r="O1467" s="23"/>
      <c r="P1467" s="327">
        <f t="shared" si="263"/>
        <v>2000</v>
      </c>
      <c r="Q1467" s="327">
        <f t="shared" si="264"/>
        <v>2000</v>
      </c>
      <c r="R1467" s="827">
        <f t="shared" si="267"/>
        <v>100</v>
      </c>
    </row>
    <row r="1468" spans="2:18" ht="12.75">
      <c r="B1468" s="224">
        <f t="shared" si="268"/>
        <v>113</v>
      </c>
      <c r="C1468" s="165"/>
      <c r="D1468" s="165"/>
      <c r="E1468" s="170"/>
      <c r="F1468" s="170">
        <v>633</v>
      </c>
      <c r="G1468" s="292" t="s">
        <v>294</v>
      </c>
      <c r="H1468" s="206">
        <v>1200</v>
      </c>
      <c r="I1468" s="206">
        <v>1200</v>
      </c>
      <c r="J1468" s="823">
        <f t="shared" si="266"/>
        <v>100</v>
      </c>
      <c r="K1468" s="23"/>
      <c r="L1468" s="172"/>
      <c r="M1468" s="172"/>
      <c r="N1468" s="993"/>
      <c r="O1468" s="23"/>
      <c r="P1468" s="221">
        <f t="shared" si="263"/>
        <v>1200</v>
      </c>
      <c r="Q1468" s="221">
        <f t="shared" si="264"/>
        <v>1200</v>
      </c>
      <c r="R1468" s="827">
        <f t="shared" si="267"/>
        <v>100</v>
      </c>
    </row>
    <row r="1469" spans="2:18" ht="12.75">
      <c r="B1469" s="224">
        <f t="shared" si="268"/>
        <v>114</v>
      </c>
      <c r="C1469" s="165"/>
      <c r="D1469" s="165"/>
      <c r="E1469" s="170"/>
      <c r="F1469" s="170">
        <v>634</v>
      </c>
      <c r="G1469" s="292" t="s">
        <v>310</v>
      </c>
      <c r="H1469" s="206">
        <v>100</v>
      </c>
      <c r="I1469" s="206">
        <v>100</v>
      </c>
      <c r="J1469" s="823">
        <f t="shared" si="266"/>
        <v>100</v>
      </c>
      <c r="K1469" s="23"/>
      <c r="L1469" s="172"/>
      <c r="M1469" s="172"/>
      <c r="N1469" s="993"/>
      <c r="O1469" s="23"/>
      <c r="P1469" s="221">
        <f t="shared" si="263"/>
        <v>100</v>
      </c>
      <c r="Q1469" s="221">
        <f t="shared" si="264"/>
        <v>100</v>
      </c>
      <c r="R1469" s="827">
        <f t="shared" si="267"/>
        <v>100</v>
      </c>
    </row>
    <row r="1470" spans="2:18" ht="12.75">
      <c r="B1470" s="224">
        <f t="shared" si="268"/>
        <v>115</v>
      </c>
      <c r="C1470" s="165"/>
      <c r="D1470" s="165"/>
      <c r="E1470" s="170"/>
      <c r="F1470" s="170">
        <v>635</v>
      </c>
      <c r="G1470" s="292" t="s">
        <v>311</v>
      </c>
      <c r="H1470" s="206">
        <v>700</v>
      </c>
      <c r="I1470" s="206">
        <v>700</v>
      </c>
      <c r="J1470" s="823">
        <f t="shared" si="266"/>
        <v>100</v>
      </c>
      <c r="K1470" s="23"/>
      <c r="L1470" s="172"/>
      <c r="M1470" s="172"/>
      <c r="N1470" s="993"/>
      <c r="O1470" s="23"/>
      <c r="P1470" s="221">
        <f t="shared" si="263"/>
        <v>700</v>
      </c>
      <c r="Q1470" s="221">
        <f t="shared" si="264"/>
        <v>700</v>
      </c>
      <c r="R1470" s="827">
        <f t="shared" si="267"/>
        <v>100</v>
      </c>
    </row>
    <row r="1471" spans="2:18" ht="12.75">
      <c r="B1471" s="224">
        <f t="shared" si="268"/>
        <v>116</v>
      </c>
      <c r="C1471" s="165"/>
      <c r="D1471" s="165"/>
      <c r="E1471" s="170"/>
      <c r="F1471" s="170">
        <v>637</v>
      </c>
      <c r="G1471" s="292" t="s">
        <v>295</v>
      </c>
      <c r="H1471" s="206">
        <f>3300+12000</f>
        <v>15300</v>
      </c>
      <c r="I1471" s="206">
        <v>15300</v>
      </c>
      <c r="J1471" s="823">
        <f t="shared" si="266"/>
        <v>100</v>
      </c>
      <c r="K1471" s="23"/>
      <c r="L1471" s="172"/>
      <c r="M1471" s="172"/>
      <c r="N1471" s="993"/>
      <c r="O1471" s="23"/>
      <c r="P1471" s="221">
        <f t="shared" si="263"/>
        <v>15300</v>
      </c>
      <c r="Q1471" s="221">
        <f t="shared" si="264"/>
        <v>15300</v>
      </c>
      <c r="R1471" s="827">
        <f t="shared" si="267"/>
        <v>100</v>
      </c>
    </row>
    <row r="1472" spans="2:18" ht="13.5" thickBot="1">
      <c r="B1472" s="317">
        <f t="shared" si="268"/>
        <v>117</v>
      </c>
      <c r="C1472" s="178"/>
      <c r="D1472" s="178"/>
      <c r="E1472" s="179"/>
      <c r="F1472" s="322">
        <v>640</v>
      </c>
      <c r="G1472" s="436" t="s">
        <v>320</v>
      </c>
      <c r="H1472" s="323">
        <f>5500-5400</f>
        <v>100</v>
      </c>
      <c r="I1472" s="323">
        <v>100</v>
      </c>
      <c r="J1472" s="824">
        <f t="shared" si="266"/>
        <v>100</v>
      </c>
      <c r="K1472" s="674"/>
      <c r="L1472" s="184"/>
      <c r="M1472" s="184"/>
      <c r="N1472" s="998"/>
      <c r="O1472" s="674"/>
      <c r="P1472" s="566">
        <f t="shared" si="263"/>
        <v>100</v>
      </c>
      <c r="Q1472" s="566">
        <f t="shared" si="264"/>
        <v>100</v>
      </c>
      <c r="R1472" s="828">
        <f t="shared" si="267"/>
        <v>100</v>
      </c>
    </row>
    <row r="1493" spans="2:16" ht="27.75" thickBot="1">
      <c r="B1493" s="177" t="s">
        <v>270</v>
      </c>
      <c r="C1493" s="177"/>
      <c r="D1493" s="177"/>
      <c r="E1493" s="177"/>
      <c r="F1493" s="177"/>
      <c r="G1493" s="177"/>
      <c r="H1493" s="177"/>
      <c r="I1493" s="177"/>
      <c r="J1493" s="619"/>
      <c r="K1493" s="177"/>
      <c r="L1493" s="177"/>
      <c r="M1493" s="177"/>
      <c r="N1493" s="619"/>
      <c r="O1493" s="177"/>
      <c r="P1493" s="177"/>
    </row>
    <row r="1494" spans="2:18" ht="13.5" thickBot="1">
      <c r="B1494" s="1037" t="s">
        <v>236</v>
      </c>
      <c r="C1494" s="1038"/>
      <c r="D1494" s="1038"/>
      <c r="E1494" s="1038"/>
      <c r="F1494" s="1038"/>
      <c r="G1494" s="1038"/>
      <c r="H1494" s="1038"/>
      <c r="I1494" s="1038"/>
      <c r="J1494" s="1038"/>
      <c r="K1494" s="1038"/>
      <c r="L1494" s="1038"/>
      <c r="M1494" s="1038"/>
      <c r="N1494" s="1039"/>
      <c r="O1494" s="151"/>
      <c r="P1494" s="1052" t="s">
        <v>627</v>
      </c>
      <c r="Q1494" s="1040" t="s">
        <v>772</v>
      </c>
      <c r="R1494" s="1047" t="s">
        <v>774</v>
      </c>
    </row>
    <row r="1495" spans="2:18" ht="20.25" customHeight="1">
      <c r="B1495" s="26"/>
      <c r="C1495" s="1043" t="s">
        <v>613</v>
      </c>
      <c r="D1495" s="1045" t="s">
        <v>612</v>
      </c>
      <c r="E1495" s="1045" t="s">
        <v>610</v>
      </c>
      <c r="F1495" s="1045" t="s">
        <v>611</v>
      </c>
      <c r="G1495" s="288" t="s">
        <v>4</v>
      </c>
      <c r="H1495" s="1027" t="s">
        <v>662</v>
      </c>
      <c r="I1495" s="1033" t="s">
        <v>772</v>
      </c>
      <c r="J1495" s="1035" t="s">
        <v>774</v>
      </c>
      <c r="K1495" s="86"/>
      <c r="L1495" s="1050" t="s">
        <v>663</v>
      </c>
      <c r="M1495" s="1033" t="s">
        <v>772</v>
      </c>
      <c r="N1495" s="1035" t="s">
        <v>774</v>
      </c>
      <c r="O1495" s="86"/>
      <c r="P1495" s="1053"/>
      <c r="Q1495" s="1041"/>
      <c r="R1495" s="1048"/>
    </row>
    <row r="1496" spans="2:18" ht="30.75" customHeight="1" thickBot="1">
      <c r="B1496" s="29"/>
      <c r="C1496" s="1044"/>
      <c r="D1496" s="1044"/>
      <c r="E1496" s="1044"/>
      <c r="F1496" s="1044"/>
      <c r="G1496" s="289"/>
      <c r="H1496" s="1029"/>
      <c r="I1496" s="1034"/>
      <c r="J1496" s="1046"/>
      <c r="K1496" s="86"/>
      <c r="L1496" s="1051"/>
      <c r="M1496" s="1034"/>
      <c r="N1496" s="1036"/>
      <c r="O1496" s="86"/>
      <c r="P1496" s="1054"/>
      <c r="Q1496" s="1042"/>
      <c r="R1496" s="1049"/>
    </row>
    <row r="1497" spans="2:18" ht="19.5" thickBot="1" thickTop="1">
      <c r="B1497" s="174">
        <v>1</v>
      </c>
      <c r="C1497" s="158" t="s">
        <v>271</v>
      </c>
      <c r="D1497" s="125"/>
      <c r="E1497" s="125"/>
      <c r="F1497" s="125"/>
      <c r="G1497" s="309"/>
      <c r="H1497" s="225">
        <f>H1498+H1503</f>
        <v>213378</v>
      </c>
      <c r="I1497" s="593">
        <f>I1498+I1503</f>
        <v>197461</v>
      </c>
      <c r="J1497" s="690">
        <f>I1497/H1497*100</f>
        <v>92.54046808949377</v>
      </c>
      <c r="K1497" s="127"/>
      <c r="L1497" s="295">
        <f>L1498+L1503</f>
        <v>960435</v>
      </c>
      <c r="M1497" s="593">
        <f>M1498+M1503</f>
        <v>952747</v>
      </c>
      <c r="N1497" s="830">
        <f>M1497/L1497*100</f>
        <v>99.1995293799164</v>
      </c>
      <c r="O1497" s="127"/>
      <c r="P1497" s="298">
        <f>H1497+L1497</f>
        <v>1173813</v>
      </c>
      <c r="Q1497" s="607">
        <f>Q1498+Q1503</f>
        <v>1150208</v>
      </c>
      <c r="R1497" s="831">
        <f aca="true" t="shared" si="269" ref="R1497:R1506">Q1497/P1497*100</f>
        <v>97.98903232456959</v>
      </c>
    </row>
    <row r="1498" spans="2:18" ht="16.5" thickTop="1">
      <c r="B1498" s="174">
        <f aca="true" t="shared" si="270" ref="B1498:B1518">B1497+1</f>
        <v>2</v>
      </c>
      <c r="C1498" s="27">
        <v>1</v>
      </c>
      <c r="D1498" s="160" t="s">
        <v>191</v>
      </c>
      <c r="E1498" s="28"/>
      <c r="F1498" s="28"/>
      <c r="G1498" s="291"/>
      <c r="H1498" s="227">
        <f>SUM(H1499:H1502)</f>
        <v>31617</v>
      </c>
      <c r="I1498" s="594">
        <f>I1499+I1500+I1501+I1502</f>
        <v>31617</v>
      </c>
      <c r="J1498" s="683">
        <f>I1498/H1498*100</f>
        <v>100</v>
      </c>
      <c r="K1498" s="96"/>
      <c r="L1498" s="669">
        <f>L1499+L1500+L1501</f>
        <v>100200</v>
      </c>
      <c r="M1498" s="594">
        <f>M1499+M1500+M1501</f>
        <v>97731</v>
      </c>
      <c r="N1498" s="822">
        <f>M1498/L1498*100</f>
        <v>97.53592814371258</v>
      </c>
      <c r="O1498" s="96"/>
      <c r="P1498" s="299">
        <f>H1498+L1498</f>
        <v>131817</v>
      </c>
      <c r="Q1498" s="608">
        <f>I1498+M1498</f>
        <v>129348</v>
      </c>
      <c r="R1498" s="832">
        <f t="shared" si="269"/>
        <v>98.12694872436786</v>
      </c>
    </row>
    <row r="1499" spans="2:18" ht="12.75">
      <c r="B1499" s="174">
        <f t="shared" si="270"/>
        <v>3</v>
      </c>
      <c r="C1499" s="165"/>
      <c r="D1499" s="166"/>
      <c r="E1499" s="166" t="s">
        <v>283</v>
      </c>
      <c r="F1499" s="166" t="s">
        <v>549</v>
      </c>
      <c r="G1499" s="292" t="s">
        <v>550</v>
      </c>
      <c r="H1499" s="206">
        <v>0</v>
      </c>
      <c r="I1499" s="206">
        <v>0</v>
      </c>
      <c r="J1499" s="684"/>
      <c r="K1499" s="168"/>
      <c r="L1499" s="186">
        <f>200000-2500-90000-10000</f>
        <v>97500</v>
      </c>
      <c r="M1499" s="238">
        <v>95171</v>
      </c>
      <c r="N1499" s="823">
        <f>M1499/L1499*100</f>
        <v>97.61128205128206</v>
      </c>
      <c r="O1499" s="168"/>
      <c r="P1499" s="219">
        <f>H1499+L1499</f>
        <v>97500</v>
      </c>
      <c r="Q1499" s="219">
        <f>M1499+I1499</f>
        <v>95171</v>
      </c>
      <c r="R1499" s="833">
        <f t="shared" si="269"/>
        <v>97.61128205128206</v>
      </c>
    </row>
    <row r="1500" spans="2:18" ht="12.75">
      <c r="B1500" s="174">
        <f t="shared" si="270"/>
        <v>4</v>
      </c>
      <c r="C1500" s="165"/>
      <c r="D1500" s="244"/>
      <c r="E1500" s="166" t="s">
        <v>283</v>
      </c>
      <c r="F1500" s="166" t="s">
        <v>719</v>
      </c>
      <c r="G1500" s="292" t="s">
        <v>720</v>
      </c>
      <c r="H1500" s="206"/>
      <c r="I1500" s="206"/>
      <c r="J1500" s="684"/>
      <c r="K1500" s="168"/>
      <c r="L1500" s="186">
        <v>200</v>
      </c>
      <c r="M1500" s="238">
        <v>60</v>
      </c>
      <c r="N1500" s="823">
        <f>M1500/L1500*100</f>
        <v>30</v>
      </c>
      <c r="O1500" s="168"/>
      <c r="P1500" s="219">
        <f>H1500+L1500</f>
        <v>200</v>
      </c>
      <c r="Q1500" s="219">
        <f>M1500+I1500</f>
        <v>60</v>
      </c>
      <c r="R1500" s="833">
        <f t="shared" si="269"/>
        <v>30</v>
      </c>
    </row>
    <row r="1501" spans="2:18" ht="12.75">
      <c r="B1501" s="174">
        <f t="shared" si="270"/>
        <v>5</v>
      </c>
      <c r="C1501" s="165"/>
      <c r="D1501" s="244"/>
      <c r="E1501" s="434" t="s">
        <v>283</v>
      </c>
      <c r="F1501" s="434" t="s">
        <v>719</v>
      </c>
      <c r="G1501" s="292" t="s">
        <v>699</v>
      </c>
      <c r="H1501" s="206"/>
      <c r="I1501" s="206"/>
      <c r="J1501" s="684"/>
      <c r="K1501" s="168"/>
      <c r="L1501" s="186">
        <v>2500</v>
      </c>
      <c r="M1501" s="238">
        <v>2500</v>
      </c>
      <c r="N1501" s="823">
        <f>M1501/L1501*100</f>
        <v>100</v>
      </c>
      <c r="O1501" s="168"/>
      <c r="P1501" s="219">
        <f>L1501</f>
        <v>2500</v>
      </c>
      <c r="Q1501" s="219">
        <f>M1501+I1501</f>
        <v>2500</v>
      </c>
      <c r="R1501" s="833">
        <f t="shared" si="269"/>
        <v>100</v>
      </c>
    </row>
    <row r="1502" spans="2:18" ht="12.75">
      <c r="B1502" s="174">
        <f t="shared" si="270"/>
        <v>6</v>
      </c>
      <c r="C1502" s="165"/>
      <c r="D1502" s="244"/>
      <c r="E1502" s="434" t="s">
        <v>283</v>
      </c>
      <c r="F1502" s="434" t="s">
        <v>255</v>
      </c>
      <c r="G1502" s="292" t="s">
        <v>726</v>
      </c>
      <c r="H1502" s="206">
        <v>31617</v>
      </c>
      <c r="I1502" s="206">
        <v>31617</v>
      </c>
      <c r="J1502" s="684">
        <f>I1502/H1502*100</f>
        <v>100</v>
      </c>
      <c r="K1502" s="168"/>
      <c r="L1502" s="186"/>
      <c r="M1502" s="238"/>
      <c r="N1502" s="823"/>
      <c r="O1502" s="168"/>
      <c r="P1502" s="219">
        <f>H1502</f>
        <v>31617</v>
      </c>
      <c r="Q1502" s="219">
        <f>M1502+I1502</f>
        <v>31617</v>
      </c>
      <c r="R1502" s="833">
        <f t="shared" si="269"/>
        <v>100</v>
      </c>
    </row>
    <row r="1503" spans="2:18" ht="15.75">
      <c r="B1503" s="174">
        <f t="shared" si="270"/>
        <v>7</v>
      </c>
      <c r="C1503" s="24">
        <v>2</v>
      </c>
      <c r="D1503" s="159" t="s">
        <v>168</v>
      </c>
      <c r="E1503" s="25"/>
      <c r="F1503" s="25"/>
      <c r="G1503" s="293"/>
      <c r="H1503" s="228">
        <f>H1504+H1508+H1513</f>
        <v>181761</v>
      </c>
      <c r="I1503" s="615">
        <f>I1504+I1507+I1508+I1513</f>
        <v>165844</v>
      </c>
      <c r="J1503" s="684">
        <f>I1503/H1503*100</f>
        <v>91.24289589075765</v>
      </c>
      <c r="K1503" s="96"/>
      <c r="L1503" s="305">
        <f>L1504+L1507+L1508+L1513</f>
        <v>860235</v>
      </c>
      <c r="M1503" s="678">
        <f>M1504+M1507+M1508+M1513</f>
        <v>855016</v>
      </c>
      <c r="N1503" s="823">
        <f>M1503/L1503*100</f>
        <v>99.39330531773295</v>
      </c>
      <c r="O1503" s="126"/>
      <c r="P1503" s="300">
        <f aca="true" t="shared" si="271" ref="P1503:P1518">H1503+L1503</f>
        <v>1041996</v>
      </c>
      <c r="Q1503" s="609">
        <f aca="true" t="shared" si="272" ref="Q1503:Q1518">I1503+M1503</f>
        <v>1020860</v>
      </c>
      <c r="R1503" s="833">
        <f t="shared" si="269"/>
        <v>97.97158530359042</v>
      </c>
    </row>
    <row r="1504" spans="2:18" ht="12.75">
      <c r="B1504" s="174">
        <f t="shared" si="270"/>
        <v>8</v>
      </c>
      <c r="C1504" s="84"/>
      <c r="D1504" s="242" t="s">
        <v>5</v>
      </c>
      <c r="E1504" s="356" t="s">
        <v>169</v>
      </c>
      <c r="F1504" s="356"/>
      <c r="G1504" s="357"/>
      <c r="H1504" s="347">
        <f>H1505+H1506</f>
        <v>156000</v>
      </c>
      <c r="I1504" s="347">
        <f>I1505+I1506</f>
        <v>140422</v>
      </c>
      <c r="J1504" s="684">
        <f>I1504/H1504*100</f>
        <v>90.01410256410256</v>
      </c>
      <c r="K1504" s="23"/>
      <c r="L1504" s="676">
        <v>0</v>
      </c>
      <c r="M1504" s="361"/>
      <c r="N1504" s="823"/>
      <c r="O1504" s="23"/>
      <c r="P1504" s="363">
        <f t="shared" si="271"/>
        <v>156000</v>
      </c>
      <c r="Q1504" s="363">
        <f t="shared" si="272"/>
        <v>140422</v>
      </c>
      <c r="R1504" s="833">
        <f t="shared" si="269"/>
        <v>90.01410256410256</v>
      </c>
    </row>
    <row r="1505" spans="2:18" ht="12.75">
      <c r="B1505" s="174">
        <f t="shared" si="270"/>
        <v>9</v>
      </c>
      <c r="C1505" s="165"/>
      <c r="D1505" s="165"/>
      <c r="E1505" s="204" t="s">
        <v>308</v>
      </c>
      <c r="F1505" s="204">
        <v>637</v>
      </c>
      <c r="G1505" s="292" t="s">
        <v>661</v>
      </c>
      <c r="H1505" s="206">
        <f>129000-5000</f>
        <v>124000</v>
      </c>
      <c r="I1505" s="206">
        <v>109316</v>
      </c>
      <c r="J1505" s="684">
        <f>I1505/H1505*100</f>
        <v>88.15806451612903</v>
      </c>
      <c r="K1505" s="168"/>
      <c r="L1505" s="182"/>
      <c r="M1505" s="172"/>
      <c r="N1505" s="823"/>
      <c r="O1505" s="168"/>
      <c r="P1505" s="221">
        <f t="shared" si="271"/>
        <v>124000</v>
      </c>
      <c r="Q1505" s="221">
        <f t="shared" si="272"/>
        <v>109316</v>
      </c>
      <c r="R1505" s="833">
        <f t="shared" si="269"/>
        <v>88.15806451612903</v>
      </c>
    </row>
    <row r="1506" spans="2:18" ht="12.75">
      <c r="B1506" s="174">
        <f t="shared" si="270"/>
        <v>10</v>
      </c>
      <c r="C1506" s="165"/>
      <c r="D1506" s="165"/>
      <c r="E1506" s="204" t="s">
        <v>308</v>
      </c>
      <c r="F1506" s="204">
        <v>642</v>
      </c>
      <c r="G1506" s="292" t="s">
        <v>376</v>
      </c>
      <c r="H1506" s="206">
        <v>32000</v>
      </c>
      <c r="I1506" s="206">
        <v>31106</v>
      </c>
      <c r="J1506" s="684">
        <f>I1506/H1506*100</f>
        <v>97.20625000000001</v>
      </c>
      <c r="K1506" s="168"/>
      <c r="L1506" s="182"/>
      <c r="M1506" s="172"/>
      <c r="N1506" s="823"/>
      <c r="O1506" s="168"/>
      <c r="P1506" s="221">
        <f t="shared" si="271"/>
        <v>32000</v>
      </c>
      <c r="Q1506" s="221">
        <f t="shared" si="272"/>
        <v>31106</v>
      </c>
      <c r="R1506" s="833">
        <f t="shared" si="269"/>
        <v>97.20625000000001</v>
      </c>
    </row>
    <row r="1507" spans="2:18" ht="12.75">
      <c r="B1507" s="174">
        <f t="shared" si="270"/>
        <v>11</v>
      </c>
      <c r="C1507" s="84"/>
      <c r="D1507" s="242" t="s">
        <v>6</v>
      </c>
      <c r="E1507" s="356" t="s">
        <v>160</v>
      </c>
      <c r="F1507" s="356"/>
      <c r="G1507" s="357"/>
      <c r="H1507" s="347">
        <v>0</v>
      </c>
      <c r="I1507" s="347">
        <v>0</v>
      </c>
      <c r="J1507" s="684"/>
      <c r="K1507" s="23"/>
      <c r="L1507" s="676">
        <v>0</v>
      </c>
      <c r="M1507" s="361">
        <v>0</v>
      </c>
      <c r="N1507" s="823"/>
      <c r="O1507" s="23"/>
      <c r="P1507" s="363">
        <f t="shared" si="271"/>
        <v>0</v>
      </c>
      <c r="Q1507" s="363">
        <f t="shared" si="272"/>
        <v>0</v>
      </c>
      <c r="R1507" s="833"/>
    </row>
    <row r="1508" spans="2:18" ht="12.75">
      <c r="B1508" s="174">
        <f t="shared" si="270"/>
        <v>12</v>
      </c>
      <c r="C1508" s="84"/>
      <c r="D1508" s="242" t="s">
        <v>7</v>
      </c>
      <c r="E1508" s="356" t="s">
        <v>170</v>
      </c>
      <c r="F1508" s="356"/>
      <c r="G1508" s="357"/>
      <c r="H1508" s="347">
        <f>SUM(H1509:H1512)</f>
        <v>25706</v>
      </c>
      <c r="I1508" s="347">
        <f>I1509+I1510+I1511+I1512</f>
        <v>25395</v>
      </c>
      <c r="J1508" s="684">
        <f aca="true" t="shared" si="273" ref="J1508:J1514">I1508/H1508*100</f>
        <v>98.79016572006536</v>
      </c>
      <c r="K1508" s="23"/>
      <c r="L1508" s="676">
        <v>0</v>
      </c>
      <c r="M1508" s="361">
        <v>0</v>
      </c>
      <c r="N1508" s="823"/>
      <c r="O1508" s="23"/>
      <c r="P1508" s="363">
        <f t="shared" si="271"/>
        <v>25706</v>
      </c>
      <c r="Q1508" s="363">
        <f t="shared" si="272"/>
        <v>25395</v>
      </c>
      <c r="R1508" s="833">
        <f aca="true" t="shared" si="274" ref="R1508:R1518">Q1508/P1508*100</f>
        <v>98.79016572006536</v>
      </c>
    </row>
    <row r="1509" spans="2:18" ht="12.75">
      <c r="B1509" s="174">
        <f t="shared" si="270"/>
        <v>13</v>
      </c>
      <c r="C1509" s="165"/>
      <c r="D1509" s="165"/>
      <c r="E1509" s="170" t="s">
        <v>535</v>
      </c>
      <c r="F1509" s="204">
        <v>610</v>
      </c>
      <c r="G1509" s="292" t="s">
        <v>307</v>
      </c>
      <c r="H1509" s="206">
        <f>14810+2660</f>
        <v>17470</v>
      </c>
      <c r="I1509" s="206">
        <v>17470</v>
      </c>
      <c r="J1509" s="684">
        <f t="shared" si="273"/>
        <v>100</v>
      </c>
      <c r="K1509" s="168"/>
      <c r="L1509" s="182"/>
      <c r="M1509" s="172"/>
      <c r="N1509" s="823"/>
      <c r="O1509" s="168"/>
      <c r="P1509" s="221">
        <f t="shared" si="271"/>
        <v>17470</v>
      </c>
      <c r="Q1509" s="221">
        <f t="shared" si="272"/>
        <v>17470</v>
      </c>
      <c r="R1509" s="833">
        <f t="shared" si="274"/>
        <v>100</v>
      </c>
    </row>
    <row r="1510" spans="2:18" ht="12.75">
      <c r="B1510" s="174">
        <f t="shared" si="270"/>
        <v>14</v>
      </c>
      <c r="C1510" s="165"/>
      <c r="D1510" s="165"/>
      <c r="E1510" s="170" t="s">
        <v>535</v>
      </c>
      <c r="F1510" s="204">
        <v>620</v>
      </c>
      <c r="G1510" s="292" t="s">
        <v>309</v>
      </c>
      <c r="H1510" s="206">
        <f>5400+514</f>
        <v>5914</v>
      </c>
      <c r="I1510" s="206">
        <v>5914</v>
      </c>
      <c r="J1510" s="684">
        <f t="shared" si="273"/>
        <v>100</v>
      </c>
      <c r="K1510" s="168"/>
      <c r="L1510" s="182"/>
      <c r="M1510" s="172"/>
      <c r="N1510" s="823"/>
      <c r="O1510" s="168"/>
      <c r="P1510" s="221">
        <f t="shared" si="271"/>
        <v>5914</v>
      </c>
      <c r="Q1510" s="221">
        <f t="shared" si="272"/>
        <v>5914</v>
      </c>
      <c r="R1510" s="833">
        <f t="shared" si="274"/>
        <v>100</v>
      </c>
    </row>
    <row r="1511" spans="2:18" ht="12.75">
      <c r="B1511" s="174">
        <f t="shared" si="270"/>
        <v>15</v>
      </c>
      <c r="C1511" s="165"/>
      <c r="D1511" s="165"/>
      <c r="E1511" s="170" t="s">
        <v>535</v>
      </c>
      <c r="F1511" s="204">
        <v>630</v>
      </c>
      <c r="G1511" s="292" t="s">
        <v>276</v>
      </c>
      <c r="H1511" s="206">
        <f>4180-2070</f>
        <v>2110</v>
      </c>
      <c r="I1511" s="206">
        <v>1910</v>
      </c>
      <c r="J1511" s="684">
        <f t="shared" si="273"/>
        <v>90.52132701421802</v>
      </c>
      <c r="K1511" s="168"/>
      <c r="L1511" s="182"/>
      <c r="M1511" s="172"/>
      <c r="N1511" s="823"/>
      <c r="O1511" s="168"/>
      <c r="P1511" s="221">
        <f t="shared" si="271"/>
        <v>2110</v>
      </c>
      <c r="Q1511" s="221">
        <f t="shared" si="272"/>
        <v>1910</v>
      </c>
      <c r="R1511" s="833">
        <f t="shared" si="274"/>
        <v>90.52132701421802</v>
      </c>
    </row>
    <row r="1512" spans="2:18" ht="12.75">
      <c r="B1512" s="174">
        <f t="shared" si="270"/>
        <v>16</v>
      </c>
      <c r="C1512" s="165"/>
      <c r="D1512" s="165"/>
      <c r="E1512" s="170" t="s">
        <v>535</v>
      </c>
      <c r="F1512" s="205">
        <v>640</v>
      </c>
      <c r="G1512" s="292" t="s">
        <v>752</v>
      </c>
      <c r="H1512" s="206">
        <f>110+102</f>
        <v>212</v>
      </c>
      <c r="I1512" s="206">
        <v>101</v>
      </c>
      <c r="J1512" s="684">
        <f t="shared" si="273"/>
        <v>47.64150943396226</v>
      </c>
      <c r="K1512" s="168"/>
      <c r="L1512" s="182"/>
      <c r="M1512" s="172"/>
      <c r="N1512" s="823"/>
      <c r="O1512" s="168"/>
      <c r="P1512" s="221">
        <f t="shared" si="271"/>
        <v>212</v>
      </c>
      <c r="Q1512" s="221">
        <f t="shared" si="272"/>
        <v>101</v>
      </c>
      <c r="R1512" s="833">
        <f t="shared" si="274"/>
        <v>47.64150943396226</v>
      </c>
    </row>
    <row r="1513" spans="2:18" ht="12.75">
      <c r="B1513" s="174">
        <f t="shared" si="270"/>
        <v>17</v>
      </c>
      <c r="C1513" s="165"/>
      <c r="D1513" s="242" t="s">
        <v>8</v>
      </c>
      <c r="E1513" s="356" t="s">
        <v>171</v>
      </c>
      <c r="F1513" s="356"/>
      <c r="G1513" s="357"/>
      <c r="H1513" s="347">
        <f>H1514+H1515+H1516+H1517+H1518</f>
        <v>55</v>
      </c>
      <c r="I1513" s="347">
        <f>I1514</f>
        <v>27</v>
      </c>
      <c r="J1513" s="684">
        <f t="shared" si="273"/>
        <v>49.09090909090909</v>
      </c>
      <c r="K1513" s="214"/>
      <c r="L1513" s="677">
        <f>SUM(L1515:L1518)</f>
        <v>860235</v>
      </c>
      <c r="M1513" s="360">
        <f>M1514+M1515+M1516+M1517+M1518</f>
        <v>855016</v>
      </c>
      <c r="N1513" s="823">
        <f>M1513/L1513*100</f>
        <v>99.39330531773295</v>
      </c>
      <c r="O1513" s="214"/>
      <c r="P1513" s="362">
        <f t="shared" si="271"/>
        <v>860290</v>
      </c>
      <c r="Q1513" s="362">
        <f t="shared" si="272"/>
        <v>855043</v>
      </c>
      <c r="R1513" s="833">
        <f t="shared" si="274"/>
        <v>99.39008938846203</v>
      </c>
    </row>
    <row r="1514" spans="2:18" ht="12.75">
      <c r="B1514" s="174">
        <f t="shared" si="270"/>
        <v>18</v>
      </c>
      <c r="C1514" s="165"/>
      <c r="D1514" s="250"/>
      <c r="E1514" s="564" t="s">
        <v>283</v>
      </c>
      <c r="F1514" s="519">
        <v>637</v>
      </c>
      <c r="G1514" s="292" t="s">
        <v>580</v>
      </c>
      <c r="H1514" s="211">
        <v>55</v>
      </c>
      <c r="I1514" s="211">
        <v>27</v>
      </c>
      <c r="J1514" s="684">
        <f t="shared" si="273"/>
        <v>49.09090909090909</v>
      </c>
      <c r="K1514" s="168"/>
      <c r="L1514" s="182">
        <v>0</v>
      </c>
      <c r="M1514" s="172">
        <v>0</v>
      </c>
      <c r="N1514" s="823"/>
      <c r="O1514" s="168"/>
      <c r="P1514" s="327">
        <f t="shared" si="271"/>
        <v>55</v>
      </c>
      <c r="Q1514" s="327">
        <f t="shared" si="272"/>
        <v>27</v>
      </c>
      <c r="R1514" s="833">
        <f t="shared" si="274"/>
        <v>49.09090909090909</v>
      </c>
    </row>
    <row r="1515" spans="2:18" ht="12.75">
      <c r="B1515" s="174">
        <f t="shared" si="270"/>
        <v>19</v>
      </c>
      <c r="C1515" s="165"/>
      <c r="D1515" s="250"/>
      <c r="E1515" s="519" t="s">
        <v>283</v>
      </c>
      <c r="F1515" s="204">
        <v>717</v>
      </c>
      <c r="G1515" s="292" t="s">
        <v>580</v>
      </c>
      <c r="H1515" s="211">
        <v>0</v>
      </c>
      <c r="I1515" s="211"/>
      <c r="J1515" s="684"/>
      <c r="K1515" s="168"/>
      <c r="L1515" s="182">
        <f>250000-10000</f>
        <v>240000</v>
      </c>
      <c r="M1515" s="172">
        <v>234782</v>
      </c>
      <c r="N1515" s="823">
        <f>M1515/L1515*100</f>
        <v>97.82583333333334</v>
      </c>
      <c r="O1515" s="168"/>
      <c r="P1515" s="327">
        <f t="shared" si="271"/>
        <v>240000</v>
      </c>
      <c r="Q1515" s="327">
        <f t="shared" si="272"/>
        <v>234782</v>
      </c>
      <c r="R1515" s="833">
        <f t="shared" si="274"/>
        <v>97.82583333333334</v>
      </c>
    </row>
    <row r="1516" spans="2:18" ht="12.75">
      <c r="B1516" s="174">
        <f t="shared" si="270"/>
        <v>20</v>
      </c>
      <c r="C1516" s="165"/>
      <c r="D1516" s="165"/>
      <c r="E1516" s="519" t="s">
        <v>283</v>
      </c>
      <c r="F1516" s="204">
        <v>717</v>
      </c>
      <c r="G1516" s="292" t="s">
        <v>551</v>
      </c>
      <c r="H1516" s="211">
        <v>0</v>
      </c>
      <c r="I1516" s="211"/>
      <c r="J1516" s="684"/>
      <c r="K1516" s="168"/>
      <c r="L1516" s="182">
        <v>562859</v>
      </c>
      <c r="M1516" s="172">
        <v>562858</v>
      </c>
      <c r="N1516" s="823">
        <f>M1516/L1516*100</f>
        <v>99.99982233561158</v>
      </c>
      <c r="O1516" s="168"/>
      <c r="P1516" s="327">
        <f t="shared" si="271"/>
        <v>562859</v>
      </c>
      <c r="Q1516" s="327">
        <f t="shared" si="272"/>
        <v>562858</v>
      </c>
      <c r="R1516" s="833">
        <f t="shared" si="274"/>
        <v>99.99982233561158</v>
      </c>
    </row>
    <row r="1517" spans="2:18" ht="12.75">
      <c r="B1517" s="174">
        <f t="shared" si="270"/>
        <v>21</v>
      </c>
      <c r="C1517" s="165"/>
      <c r="D1517" s="165"/>
      <c r="E1517" s="519" t="s">
        <v>283</v>
      </c>
      <c r="F1517" s="204">
        <v>717</v>
      </c>
      <c r="G1517" s="292" t="s">
        <v>547</v>
      </c>
      <c r="H1517" s="211">
        <v>0</v>
      </c>
      <c r="I1517" s="211"/>
      <c r="J1517" s="686"/>
      <c r="K1517" s="168"/>
      <c r="L1517" s="182">
        <v>47802</v>
      </c>
      <c r="M1517" s="172">
        <v>47802</v>
      </c>
      <c r="N1517" s="823">
        <f>M1517/L1517*100</f>
        <v>100</v>
      </c>
      <c r="O1517" s="168"/>
      <c r="P1517" s="327">
        <f t="shared" si="271"/>
        <v>47802</v>
      </c>
      <c r="Q1517" s="327">
        <f t="shared" si="272"/>
        <v>47802</v>
      </c>
      <c r="R1517" s="833">
        <f t="shared" si="274"/>
        <v>100</v>
      </c>
    </row>
    <row r="1518" spans="2:18" ht="13.5" thickBot="1">
      <c r="B1518" s="544">
        <f t="shared" si="270"/>
        <v>22</v>
      </c>
      <c r="C1518" s="178"/>
      <c r="D1518" s="178"/>
      <c r="E1518" s="520" t="s">
        <v>283</v>
      </c>
      <c r="F1518" s="334">
        <v>716</v>
      </c>
      <c r="G1518" s="308" t="s">
        <v>547</v>
      </c>
      <c r="H1518" s="349">
        <v>0</v>
      </c>
      <c r="I1518" s="349"/>
      <c r="J1518" s="685"/>
      <c r="K1518" s="180"/>
      <c r="L1518" s="183">
        <v>9574</v>
      </c>
      <c r="M1518" s="184">
        <v>9574</v>
      </c>
      <c r="N1518" s="824">
        <f>M1518/L1518*100</f>
        <v>100</v>
      </c>
      <c r="O1518" s="180"/>
      <c r="P1518" s="350">
        <f t="shared" si="271"/>
        <v>9574</v>
      </c>
      <c r="Q1518" s="329">
        <f t="shared" si="272"/>
        <v>9574</v>
      </c>
      <c r="R1518" s="834">
        <f t="shared" si="274"/>
        <v>100</v>
      </c>
    </row>
  </sheetData>
  <sheetProtection/>
  <mergeCells count="175">
    <mergeCell ref="R4:R6"/>
    <mergeCell ref="B4:N4"/>
    <mergeCell ref="H5:H6"/>
    <mergeCell ref="F5:F6"/>
    <mergeCell ref="I5:I6"/>
    <mergeCell ref="E5:E6"/>
    <mergeCell ref="C5:C6"/>
    <mergeCell ref="M5:M6"/>
    <mergeCell ref="N5:N6"/>
    <mergeCell ref="E9:G9"/>
    <mergeCell ref="Q4:Q6"/>
    <mergeCell ref="J61:J62"/>
    <mergeCell ref="J5:J6"/>
    <mergeCell ref="D5:D6"/>
    <mergeCell ref="P4:P6"/>
    <mergeCell ref="L5:L6"/>
    <mergeCell ref="D34:G34"/>
    <mergeCell ref="E20:G20"/>
    <mergeCell ref="E14:G14"/>
    <mergeCell ref="E16:G16"/>
    <mergeCell ref="E18:G18"/>
    <mergeCell ref="P60:P62"/>
    <mergeCell ref="L61:L62"/>
    <mergeCell ref="B60:N60"/>
    <mergeCell ref="Q60:Q62"/>
    <mergeCell ref="C61:C62"/>
    <mergeCell ref="D61:D62"/>
    <mergeCell ref="E61:E62"/>
    <mergeCell ref="F61:F62"/>
    <mergeCell ref="H61:H62"/>
    <mergeCell ref="I61:I62"/>
    <mergeCell ref="R60:R62"/>
    <mergeCell ref="M61:M62"/>
    <mergeCell ref="N61:N62"/>
    <mergeCell ref="R92:R94"/>
    <mergeCell ref="P92:P94"/>
    <mergeCell ref="M93:M94"/>
    <mergeCell ref="N93:N94"/>
    <mergeCell ref="B92:N92"/>
    <mergeCell ref="C93:C94"/>
    <mergeCell ref="E93:E94"/>
    <mergeCell ref="F93:F94"/>
    <mergeCell ref="H93:H94"/>
    <mergeCell ref="L93:L94"/>
    <mergeCell ref="D93:D94"/>
    <mergeCell ref="I93:I94"/>
    <mergeCell ref="J93:J94"/>
    <mergeCell ref="Q92:Q94"/>
    <mergeCell ref="R187:R189"/>
    <mergeCell ref="L188:L189"/>
    <mergeCell ref="P187:P189"/>
    <mergeCell ref="C188:C189"/>
    <mergeCell ref="D188:D189"/>
    <mergeCell ref="E188:E189"/>
    <mergeCell ref="F188:F189"/>
    <mergeCell ref="H188:H189"/>
    <mergeCell ref="I188:I189"/>
    <mergeCell ref="J188:J189"/>
    <mergeCell ref="M188:M189"/>
    <mergeCell ref="N188:N189"/>
    <mergeCell ref="B187:N187"/>
    <mergeCell ref="Q187:Q189"/>
    <mergeCell ref="D285:D286"/>
    <mergeCell ref="E285:E286"/>
    <mergeCell ref="F285:F286"/>
    <mergeCell ref="H285:H286"/>
    <mergeCell ref="I285:I286"/>
    <mergeCell ref="J285:J286"/>
    <mergeCell ref="M285:M286"/>
    <mergeCell ref="N285:N286"/>
    <mergeCell ref="Q284:Q286"/>
    <mergeCell ref="R284:R286"/>
    <mergeCell ref="L285:L286"/>
    <mergeCell ref="B284:L284"/>
    <mergeCell ref="P284:P286"/>
    <mergeCell ref="C285:C286"/>
    <mergeCell ref="Q378:Q380"/>
    <mergeCell ref="R378:R380"/>
    <mergeCell ref="L379:L380"/>
    <mergeCell ref="B378:L378"/>
    <mergeCell ref="P378:P380"/>
    <mergeCell ref="C379:C380"/>
    <mergeCell ref="D379:D380"/>
    <mergeCell ref="E379:E380"/>
    <mergeCell ref="F379:F380"/>
    <mergeCell ref="H379:H380"/>
    <mergeCell ref="I426:I427"/>
    <mergeCell ref="J426:J427"/>
    <mergeCell ref="B425:N425"/>
    <mergeCell ref="M426:M427"/>
    <mergeCell ref="N426:N427"/>
    <mergeCell ref="M379:M380"/>
    <mergeCell ref="N379:N380"/>
    <mergeCell ref="I379:I380"/>
    <mergeCell ref="J379:J380"/>
    <mergeCell ref="Q425:Q427"/>
    <mergeCell ref="R425:R427"/>
    <mergeCell ref="P425:P427"/>
    <mergeCell ref="H426:H427"/>
    <mergeCell ref="B424:L424"/>
    <mergeCell ref="D426:D427"/>
    <mergeCell ref="E426:E427"/>
    <mergeCell ref="F426:F427"/>
    <mergeCell ref="L426:L427"/>
    <mergeCell ref="C426:C427"/>
    <mergeCell ref="L1064:L1065"/>
    <mergeCell ref="P1063:P1065"/>
    <mergeCell ref="C1064:C1065"/>
    <mergeCell ref="D1064:D1065"/>
    <mergeCell ref="E1064:E1065"/>
    <mergeCell ref="F1064:F1065"/>
    <mergeCell ref="I1064:I1065"/>
    <mergeCell ref="J1064:J1065"/>
    <mergeCell ref="M1160:M1161"/>
    <mergeCell ref="N1160:N1161"/>
    <mergeCell ref="B1159:N1159"/>
    <mergeCell ref="Q1159:Q1161"/>
    <mergeCell ref="Q1063:Q1065"/>
    <mergeCell ref="R1063:R1065"/>
    <mergeCell ref="M1064:M1065"/>
    <mergeCell ref="N1064:N1065"/>
    <mergeCell ref="B1063:N1063"/>
    <mergeCell ref="H1064:H1065"/>
    <mergeCell ref="R1159:R1161"/>
    <mergeCell ref="L1160:L1161"/>
    <mergeCell ref="P1159:P1161"/>
    <mergeCell ref="C1160:C1161"/>
    <mergeCell ref="D1160:D1161"/>
    <mergeCell ref="E1160:E1161"/>
    <mergeCell ref="F1160:F1161"/>
    <mergeCell ref="H1160:H1161"/>
    <mergeCell ref="I1160:I1161"/>
    <mergeCell ref="J1160:J1161"/>
    <mergeCell ref="I1257:I1258"/>
    <mergeCell ref="J1257:J1258"/>
    <mergeCell ref="M1257:M1258"/>
    <mergeCell ref="N1257:N1258"/>
    <mergeCell ref="Q1256:Q1258"/>
    <mergeCell ref="R1256:R1258"/>
    <mergeCell ref="L1257:L1258"/>
    <mergeCell ref="B1256:L1256"/>
    <mergeCell ref="P1256:P1258"/>
    <mergeCell ref="C1257:C1258"/>
    <mergeCell ref="D1257:D1258"/>
    <mergeCell ref="E1257:E1258"/>
    <mergeCell ref="F1257:F1258"/>
    <mergeCell ref="H1257:H1258"/>
    <mergeCell ref="F1353:F1354"/>
    <mergeCell ref="H1353:H1354"/>
    <mergeCell ref="I1353:I1354"/>
    <mergeCell ref="J1353:J1354"/>
    <mergeCell ref="Q1352:Q1354"/>
    <mergeCell ref="R1352:R1354"/>
    <mergeCell ref="L1353:L1354"/>
    <mergeCell ref="D1353:D1354"/>
    <mergeCell ref="B1352:L1352"/>
    <mergeCell ref="P1352:P1354"/>
    <mergeCell ref="C1353:C1354"/>
    <mergeCell ref="E1353:E1354"/>
    <mergeCell ref="M1353:M1354"/>
    <mergeCell ref="N1353:N1354"/>
    <mergeCell ref="R1494:R1496"/>
    <mergeCell ref="E1495:E1496"/>
    <mergeCell ref="F1495:F1496"/>
    <mergeCell ref="L1495:L1496"/>
    <mergeCell ref="H1495:H1496"/>
    <mergeCell ref="P1494:P1496"/>
    <mergeCell ref="I1495:I1496"/>
    <mergeCell ref="J1495:J1496"/>
    <mergeCell ref="M1495:M1496"/>
    <mergeCell ref="N1495:N1496"/>
    <mergeCell ref="B1494:N1494"/>
    <mergeCell ref="Q1494:Q1496"/>
    <mergeCell ref="C1495:C1496"/>
    <mergeCell ref="D1495:D1496"/>
  </mergeCells>
  <printOptions/>
  <pageMargins left="0.45" right="0.2362204724409449" top="0.43" bottom="0.35" header="0.43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49.7109375" style="0" customWidth="1"/>
    <col min="4" max="4" width="13.57421875" style="0" customWidth="1"/>
    <col min="5" max="6" width="13.28125" style="0" customWidth="1"/>
    <col min="7" max="7" width="6.28125" style="0" customWidth="1"/>
    <col min="8" max="8" width="13.140625" style="0" customWidth="1"/>
    <col min="9" max="10" width="12.8515625" style="0" customWidth="1"/>
    <col min="11" max="11" width="5.8515625" style="0" customWidth="1"/>
    <col min="12" max="12" width="13.57421875" style="0" customWidth="1"/>
    <col min="13" max="14" width="13.28125" style="0" customWidth="1"/>
    <col min="15" max="15" width="5.8515625" style="0" customWidth="1"/>
  </cols>
  <sheetData>
    <row r="1" ht="9.75" customHeight="1">
      <c r="B1" s="19"/>
    </row>
    <row r="2" spans="2:13" ht="21" customHeight="1">
      <c r="B2" s="1076" t="s">
        <v>220</v>
      </c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</row>
    <row r="3" ht="3" customHeight="1" thickBot="1">
      <c r="B3" s="85"/>
    </row>
    <row r="4" spans="2:15" ht="6.75" customHeight="1">
      <c r="B4" s="1077"/>
      <c r="C4" s="1078"/>
      <c r="D4" s="1114" t="s">
        <v>668</v>
      </c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6"/>
    </row>
    <row r="5" spans="2:15" ht="14.25" customHeight="1">
      <c r="B5" s="1079"/>
      <c r="C5" s="1080"/>
      <c r="D5" s="1117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9"/>
    </row>
    <row r="6" spans="2:15" ht="17.25" customHeight="1">
      <c r="B6" s="1079"/>
      <c r="C6" s="1080"/>
      <c r="D6" s="1117"/>
      <c r="E6" s="1118"/>
      <c r="F6" s="1118"/>
      <c r="G6" s="1118"/>
      <c r="H6" s="1118"/>
      <c r="I6" s="1118"/>
      <c r="J6" s="1118"/>
      <c r="K6" s="1118"/>
      <c r="L6" s="1118"/>
      <c r="M6" s="1118"/>
      <c r="N6" s="1118"/>
      <c r="O6" s="1119"/>
    </row>
    <row r="7" spans="2:15" ht="8.25" customHeight="1">
      <c r="B7" s="1079"/>
      <c r="C7" s="1080"/>
      <c r="D7" s="1117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9"/>
    </row>
    <row r="8" spans="2:15" ht="48.75" customHeight="1">
      <c r="B8" s="1081"/>
      <c r="C8" s="1082"/>
      <c r="D8" s="881" t="s">
        <v>788</v>
      </c>
      <c r="E8" s="876" t="s">
        <v>789</v>
      </c>
      <c r="F8" s="876" t="s">
        <v>784</v>
      </c>
      <c r="G8" s="863" t="s">
        <v>774</v>
      </c>
      <c r="H8" s="877" t="s">
        <v>790</v>
      </c>
      <c r="I8" s="885" t="s">
        <v>791</v>
      </c>
      <c r="J8" s="885" t="s">
        <v>785</v>
      </c>
      <c r="K8" s="869" t="s">
        <v>774</v>
      </c>
      <c r="L8" s="884" t="s">
        <v>792</v>
      </c>
      <c r="M8" s="909" t="s">
        <v>793</v>
      </c>
      <c r="N8" s="868" t="s">
        <v>786</v>
      </c>
      <c r="O8" s="879" t="s">
        <v>774</v>
      </c>
    </row>
    <row r="9" spans="2:15" ht="15.75">
      <c r="B9" s="339">
        <v>1</v>
      </c>
      <c r="C9" s="857" t="s">
        <v>194</v>
      </c>
      <c r="D9" s="899">
        <v>28296400</v>
      </c>
      <c r="E9" s="882">
        <f>Príjmy!H387</f>
        <v>29358313</v>
      </c>
      <c r="F9" s="882">
        <f>Príjmy!I387</f>
        <v>29996956</v>
      </c>
      <c r="G9" s="864">
        <f>F9/E9*100</f>
        <v>102.17533957077165</v>
      </c>
      <c r="H9" s="905">
        <v>7287700</v>
      </c>
      <c r="I9" s="906">
        <f>Príjmy!H388</f>
        <v>3651111</v>
      </c>
      <c r="J9" s="886">
        <f>Príjmy!I388</f>
        <v>2551155</v>
      </c>
      <c r="K9" s="870">
        <f>J9/I9*100</f>
        <v>69.8733892231707</v>
      </c>
      <c r="L9" s="912">
        <f>H9+D9</f>
        <v>35584100</v>
      </c>
      <c r="M9" s="682">
        <f>E9+I9</f>
        <v>33009424</v>
      </c>
      <c r="N9" s="682">
        <f>J9+F9</f>
        <v>32548111</v>
      </c>
      <c r="O9" s="697">
        <f>N9/M9*100</f>
        <v>98.60248091575303</v>
      </c>
    </row>
    <row r="10" spans="2:15" ht="15.75">
      <c r="B10" s="340">
        <f>B9+1</f>
        <v>2</v>
      </c>
      <c r="C10" s="858" t="s">
        <v>195</v>
      </c>
      <c r="D10" s="900">
        <f>SUM(D12:D23)</f>
        <v>28143930</v>
      </c>
      <c r="E10" s="883">
        <f>SUM(E12:E23)</f>
        <v>29157080</v>
      </c>
      <c r="F10" s="883">
        <f>SUM(F12:F23)</f>
        <v>28298974</v>
      </c>
      <c r="G10" s="865">
        <f aca="true" t="shared" si="0" ref="G10:G23">F10/E10*100</f>
        <v>97.05695494884947</v>
      </c>
      <c r="H10" s="907">
        <f>SUM(H12:H23)</f>
        <v>4203110</v>
      </c>
      <c r="I10" s="908">
        <f>SUM(I12:I23)</f>
        <v>4371400.25</v>
      </c>
      <c r="J10" s="886">
        <f>SUM(J12:J23)</f>
        <v>4302055</v>
      </c>
      <c r="K10" s="870">
        <f aca="true" t="shared" si="1" ref="K10:K23">J10/I10*100</f>
        <v>98.41366047412382</v>
      </c>
      <c r="L10" s="912">
        <f aca="true" t="shared" si="2" ref="L10:L23">H10+D10</f>
        <v>32347040</v>
      </c>
      <c r="M10" s="682">
        <f>E10+I10</f>
        <v>33528480.25</v>
      </c>
      <c r="N10" s="682">
        <f aca="true" t="shared" si="3" ref="N10:N23">J10+F10</f>
        <v>32601029</v>
      </c>
      <c r="O10" s="720">
        <f aca="true" t="shared" si="4" ref="O10:O23">N10/M10*100</f>
        <v>97.23384047506896</v>
      </c>
    </row>
    <row r="11" spans="2:16" ht="15">
      <c r="B11" s="341">
        <f>B10+1</f>
        <v>3</v>
      </c>
      <c r="C11" s="859" t="s">
        <v>99</v>
      </c>
      <c r="D11" s="895"/>
      <c r="E11" s="141"/>
      <c r="F11" s="141"/>
      <c r="G11" s="866"/>
      <c r="H11" s="903"/>
      <c r="I11" s="142"/>
      <c r="J11" s="142"/>
      <c r="K11" s="871"/>
      <c r="L11" s="902">
        <f t="shared" si="2"/>
        <v>0</v>
      </c>
      <c r="M11" s="141"/>
      <c r="N11" s="141"/>
      <c r="O11" s="697"/>
      <c r="P11" s="150"/>
    </row>
    <row r="12" spans="2:16" ht="15">
      <c r="B12" s="341">
        <f>B11+1</f>
        <v>4</v>
      </c>
      <c r="C12" s="860" t="s">
        <v>177</v>
      </c>
      <c r="D12" s="901">
        <v>261200</v>
      </c>
      <c r="E12" s="142">
        <f>Výdavky!H7</f>
        <v>838944</v>
      </c>
      <c r="F12" s="142">
        <f>Výdavky!I7</f>
        <v>511576</v>
      </c>
      <c r="G12" s="866">
        <f t="shared" si="0"/>
        <v>60.978563527482166</v>
      </c>
      <c r="H12" s="902">
        <v>30000</v>
      </c>
      <c r="I12" s="142">
        <f>Výdavky!L7</f>
        <v>33000</v>
      </c>
      <c r="J12" s="142">
        <f>Výdavky!M7</f>
        <v>31786</v>
      </c>
      <c r="K12" s="871">
        <f t="shared" si="1"/>
        <v>96.32121212121211</v>
      </c>
      <c r="L12" s="902">
        <f t="shared" si="2"/>
        <v>291200</v>
      </c>
      <c r="M12" s="142">
        <f aca="true" t="shared" si="5" ref="M12:M23">E12+I12</f>
        <v>871944</v>
      </c>
      <c r="N12" s="143">
        <f t="shared" si="3"/>
        <v>543362</v>
      </c>
      <c r="O12" s="697">
        <f t="shared" si="4"/>
        <v>62.31615791839843</v>
      </c>
      <c r="P12" s="370"/>
    </row>
    <row r="13" spans="2:16" ht="15">
      <c r="B13" s="341">
        <f aca="true" t="shared" si="6" ref="B13:B25">B12+1</f>
        <v>5</v>
      </c>
      <c r="C13" s="861" t="s">
        <v>178</v>
      </c>
      <c r="D13" s="901">
        <v>75000</v>
      </c>
      <c r="E13" s="142">
        <f>Výdavky!H63</f>
        <v>53400</v>
      </c>
      <c r="F13" s="142">
        <f>Výdavky!I63</f>
        <v>49022</v>
      </c>
      <c r="G13" s="866">
        <f t="shared" si="0"/>
        <v>91.80149812734082</v>
      </c>
      <c r="H13" s="902">
        <v>0</v>
      </c>
      <c r="I13" s="142">
        <f>Výdavky!L63</f>
        <v>0</v>
      </c>
      <c r="J13" s="142">
        <v>0</v>
      </c>
      <c r="K13" s="871"/>
      <c r="L13" s="902">
        <f t="shared" si="2"/>
        <v>75000</v>
      </c>
      <c r="M13" s="142">
        <f t="shared" si="5"/>
        <v>53400</v>
      </c>
      <c r="N13" s="143">
        <f t="shared" si="3"/>
        <v>49022</v>
      </c>
      <c r="O13" s="697">
        <f t="shared" si="4"/>
        <v>91.80149812734082</v>
      </c>
      <c r="P13" s="370"/>
    </row>
    <row r="14" spans="2:16" ht="15">
      <c r="B14" s="341">
        <f t="shared" si="6"/>
        <v>6</v>
      </c>
      <c r="C14" s="861" t="s">
        <v>101</v>
      </c>
      <c r="D14" s="901">
        <v>3705100</v>
      </c>
      <c r="E14" s="143">
        <f>Výdavky!H95</f>
        <v>3866354</v>
      </c>
      <c r="F14" s="143">
        <f>Výdavky!I95</f>
        <v>3329501</v>
      </c>
      <c r="G14" s="866">
        <f t="shared" si="0"/>
        <v>86.11474789944221</v>
      </c>
      <c r="H14" s="902">
        <v>34000</v>
      </c>
      <c r="I14" s="142">
        <f>Výdavky!L95</f>
        <v>41508</v>
      </c>
      <c r="J14" s="142">
        <f>Výdavky!M95</f>
        <v>41240</v>
      </c>
      <c r="K14" s="871">
        <f t="shared" si="1"/>
        <v>99.35434133179146</v>
      </c>
      <c r="L14" s="902">
        <f t="shared" si="2"/>
        <v>3739100</v>
      </c>
      <c r="M14" s="142">
        <f t="shared" si="5"/>
        <v>3907862</v>
      </c>
      <c r="N14" s="142">
        <f t="shared" si="3"/>
        <v>3370741</v>
      </c>
      <c r="O14" s="697">
        <f t="shared" si="4"/>
        <v>86.25537442212648</v>
      </c>
      <c r="P14" s="370"/>
    </row>
    <row r="15" spans="2:16" ht="15">
      <c r="B15" s="341">
        <f t="shared" si="6"/>
        <v>7</v>
      </c>
      <c r="C15" s="861" t="s">
        <v>100</v>
      </c>
      <c r="D15" s="901">
        <v>423000</v>
      </c>
      <c r="E15" s="142">
        <f>Výdavky!H190</f>
        <v>441545</v>
      </c>
      <c r="F15" s="142">
        <f>Výdavky!I190</f>
        <v>401473</v>
      </c>
      <c r="G15" s="866">
        <f t="shared" si="0"/>
        <v>90.92459432220951</v>
      </c>
      <c r="H15" s="902">
        <v>86583</v>
      </c>
      <c r="I15" s="142">
        <f>Výdavky!L190</f>
        <v>16583</v>
      </c>
      <c r="J15" s="142">
        <f>Výdavky!M190</f>
        <v>1583</v>
      </c>
      <c r="K15" s="871">
        <f t="shared" si="1"/>
        <v>9.545920521015498</v>
      </c>
      <c r="L15" s="902">
        <f t="shared" si="2"/>
        <v>509583</v>
      </c>
      <c r="M15" s="142">
        <f t="shared" si="5"/>
        <v>458128</v>
      </c>
      <c r="N15" s="142">
        <f t="shared" si="3"/>
        <v>403056</v>
      </c>
      <c r="O15" s="697">
        <f t="shared" si="4"/>
        <v>87.97890545873642</v>
      </c>
      <c r="P15" s="370"/>
    </row>
    <row r="16" spans="2:16" ht="15">
      <c r="B16" s="341">
        <f t="shared" si="6"/>
        <v>8</v>
      </c>
      <c r="C16" s="861" t="s">
        <v>179</v>
      </c>
      <c r="D16" s="901">
        <v>1628000</v>
      </c>
      <c r="E16" s="143">
        <f>Výdavky!H287</f>
        <v>1707905</v>
      </c>
      <c r="F16" s="143">
        <f>Výdavky!I287</f>
        <v>1614067</v>
      </c>
      <c r="G16" s="866">
        <f t="shared" si="0"/>
        <v>94.50566629876954</v>
      </c>
      <c r="H16" s="902">
        <v>1174784</v>
      </c>
      <c r="I16" s="143">
        <f>Výdavky!L287</f>
        <v>1192708</v>
      </c>
      <c r="J16" s="143">
        <f>Výdavky!M287</f>
        <v>1190606</v>
      </c>
      <c r="K16" s="871">
        <f t="shared" si="1"/>
        <v>99.82376239616066</v>
      </c>
      <c r="L16" s="902">
        <f t="shared" si="2"/>
        <v>2802784</v>
      </c>
      <c r="M16" s="142">
        <f t="shared" si="5"/>
        <v>2900613</v>
      </c>
      <c r="N16" s="142">
        <f t="shared" si="3"/>
        <v>2804673</v>
      </c>
      <c r="O16" s="697">
        <f t="shared" si="4"/>
        <v>96.69242329121465</v>
      </c>
      <c r="P16" s="370"/>
    </row>
    <row r="17" spans="2:16" ht="15">
      <c r="B17" s="341">
        <f t="shared" si="6"/>
        <v>9</v>
      </c>
      <c r="C17" s="861" t="s">
        <v>180</v>
      </c>
      <c r="D17" s="901">
        <v>3638000</v>
      </c>
      <c r="E17" s="143">
        <f>Výdavky!H381</f>
        <v>3600271</v>
      </c>
      <c r="F17" s="143">
        <f>Výdavky!I381</f>
        <v>3566444</v>
      </c>
      <c r="G17" s="866">
        <f t="shared" si="0"/>
        <v>99.0604318397143</v>
      </c>
      <c r="H17" s="902">
        <v>280508</v>
      </c>
      <c r="I17" s="143">
        <f>Výdavky!L381</f>
        <v>345291</v>
      </c>
      <c r="J17" s="143">
        <f>Výdavky!M381</f>
        <v>335129</v>
      </c>
      <c r="K17" s="871">
        <f t="shared" si="1"/>
        <v>97.05697513112128</v>
      </c>
      <c r="L17" s="902">
        <f t="shared" si="2"/>
        <v>3918508</v>
      </c>
      <c r="M17" s="142">
        <f t="shared" si="5"/>
        <v>3945562</v>
      </c>
      <c r="N17" s="142">
        <f t="shared" si="3"/>
        <v>3901573</v>
      </c>
      <c r="O17" s="697">
        <f t="shared" si="4"/>
        <v>98.8851017928498</v>
      </c>
      <c r="P17" s="370"/>
    </row>
    <row r="18" spans="2:16" ht="15">
      <c r="B18" s="341">
        <f t="shared" si="6"/>
        <v>10</v>
      </c>
      <c r="C18" s="861" t="s">
        <v>181</v>
      </c>
      <c r="D18" s="901">
        <v>10300000</v>
      </c>
      <c r="E18" s="143">
        <f>Výdavky!H428</f>
        <v>10562429</v>
      </c>
      <c r="F18" s="143">
        <f>Výdavky!I428</f>
        <v>10842353</v>
      </c>
      <c r="G18" s="866">
        <f t="shared" si="0"/>
        <v>102.65018586160437</v>
      </c>
      <c r="H18" s="902">
        <v>133878</v>
      </c>
      <c r="I18" s="143">
        <f>Výdavky!L428</f>
        <v>135807.25</v>
      </c>
      <c r="J18" s="143">
        <f>Výdavky!M428</f>
        <v>135769</v>
      </c>
      <c r="K18" s="871">
        <f t="shared" si="1"/>
        <v>99.97183508244221</v>
      </c>
      <c r="L18" s="902">
        <f t="shared" si="2"/>
        <v>10433878</v>
      </c>
      <c r="M18" s="142">
        <f t="shared" si="5"/>
        <v>10698236.25</v>
      </c>
      <c r="N18" s="142">
        <f t="shared" si="3"/>
        <v>10978122</v>
      </c>
      <c r="O18" s="697">
        <f t="shared" si="4"/>
        <v>102.61618591569241</v>
      </c>
      <c r="P18" s="370"/>
    </row>
    <row r="19" spans="2:16" ht="15">
      <c r="B19" s="341">
        <f t="shared" si="6"/>
        <v>11</v>
      </c>
      <c r="C19" s="861" t="s">
        <v>182</v>
      </c>
      <c r="D19" s="901">
        <v>1247785</v>
      </c>
      <c r="E19" s="143">
        <f>Výdavky!H1066</f>
        <v>1352026</v>
      </c>
      <c r="F19" s="143">
        <f>Výdavky!I1066</f>
        <v>1333993</v>
      </c>
      <c r="G19" s="866">
        <f t="shared" si="0"/>
        <v>98.66622387439294</v>
      </c>
      <c r="H19" s="902">
        <v>1017026</v>
      </c>
      <c r="I19" s="143">
        <f>Výdavky!L1066</f>
        <v>1253862</v>
      </c>
      <c r="J19" s="143">
        <f>Výdavky!M1066</f>
        <v>1225822</v>
      </c>
      <c r="K19" s="871">
        <f t="shared" si="1"/>
        <v>97.76370924391998</v>
      </c>
      <c r="L19" s="902">
        <f t="shared" si="2"/>
        <v>2264811</v>
      </c>
      <c r="M19" s="142">
        <f t="shared" si="5"/>
        <v>2605888</v>
      </c>
      <c r="N19" s="142">
        <f t="shared" si="3"/>
        <v>2559815</v>
      </c>
      <c r="O19" s="697">
        <f t="shared" si="4"/>
        <v>98.23196545668885</v>
      </c>
      <c r="P19" s="370"/>
    </row>
    <row r="20" spans="2:16" ht="15">
      <c r="B20" s="341">
        <f t="shared" si="6"/>
        <v>12</v>
      </c>
      <c r="C20" s="861" t="s">
        <v>183</v>
      </c>
      <c r="D20" s="901">
        <v>279000</v>
      </c>
      <c r="E20" s="143">
        <f>Výdavky!H1162</f>
        <v>305633</v>
      </c>
      <c r="F20" s="143">
        <f>Výdavky!I1162</f>
        <v>290654</v>
      </c>
      <c r="G20" s="866">
        <f t="shared" si="0"/>
        <v>95.09902399282801</v>
      </c>
      <c r="H20" s="902">
        <v>100606</v>
      </c>
      <c r="I20" s="143">
        <f>Výdavky!L1162</f>
        <v>106816</v>
      </c>
      <c r="J20" s="143">
        <f>Výdavky!M1162</f>
        <v>102462</v>
      </c>
      <c r="K20" s="871">
        <f t="shared" si="1"/>
        <v>95.92383163571002</v>
      </c>
      <c r="L20" s="902">
        <f t="shared" si="2"/>
        <v>379606</v>
      </c>
      <c r="M20" s="142">
        <f t="shared" si="5"/>
        <v>412449</v>
      </c>
      <c r="N20" s="142">
        <f t="shared" si="3"/>
        <v>393116</v>
      </c>
      <c r="O20" s="697">
        <f t="shared" si="4"/>
        <v>95.31263259215079</v>
      </c>
      <c r="P20" s="370"/>
    </row>
    <row r="21" spans="2:16" ht="15">
      <c r="B21" s="341">
        <f t="shared" si="6"/>
        <v>13</v>
      </c>
      <c r="C21" s="861" t="s">
        <v>185</v>
      </c>
      <c r="D21" s="901">
        <v>4836345</v>
      </c>
      <c r="E21" s="143">
        <f>Výdavky!H1259</f>
        <v>4407152</v>
      </c>
      <c r="F21" s="143">
        <f>Výdavky!I1259</f>
        <v>4392151</v>
      </c>
      <c r="G21" s="866">
        <f t="shared" si="0"/>
        <v>99.65962145167673</v>
      </c>
      <c r="H21" s="902">
        <v>275490</v>
      </c>
      <c r="I21" s="143">
        <f>Výdavky!L1259</f>
        <v>285390</v>
      </c>
      <c r="J21" s="143">
        <f>Výdavky!M1259</f>
        <v>284911</v>
      </c>
      <c r="K21" s="871">
        <f t="shared" si="1"/>
        <v>99.83215950103367</v>
      </c>
      <c r="L21" s="902">
        <f t="shared" si="2"/>
        <v>5111835</v>
      </c>
      <c r="M21" s="142">
        <f t="shared" si="5"/>
        <v>4692542</v>
      </c>
      <c r="N21" s="142">
        <f t="shared" si="3"/>
        <v>4677062</v>
      </c>
      <c r="O21" s="697">
        <f t="shared" si="4"/>
        <v>99.67011483328227</v>
      </c>
      <c r="P21" s="370"/>
    </row>
    <row r="22" spans="2:16" ht="15">
      <c r="B22" s="341">
        <f t="shared" si="6"/>
        <v>14</v>
      </c>
      <c r="C22" s="861" t="s">
        <v>187</v>
      </c>
      <c r="D22" s="901">
        <v>1561000</v>
      </c>
      <c r="E22" s="143">
        <f>Výdavky!H1355</f>
        <v>1808043</v>
      </c>
      <c r="F22" s="143">
        <f>Výdavky!I1355</f>
        <v>1770279</v>
      </c>
      <c r="G22" s="866">
        <f t="shared" si="0"/>
        <v>97.91133286099944</v>
      </c>
      <c r="H22" s="902">
        <v>0</v>
      </c>
      <c r="I22" s="143">
        <f>Výdavky!L1355</f>
        <v>0</v>
      </c>
      <c r="J22" s="143">
        <v>0</v>
      </c>
      <c r="K22" s="871"/>
      <c r="L22" s="902">
        <f t="shared" si="2"/>
        <v>1561000</v>
      </c>
      <c r="M22" s="142">
        <f t="shared" si="5"/>
        <v>1808043</v>
      </c>
      <c r="N22" s="142">
        <f t="shared" si="3"/>
        <v>1770279</v>
      </c>
      <c r="O22" s="697">
        <f t="shared" si="4"/>
        <v>97.91133286099944</v>
      </c>
      <c r="P22" s="370"/>
    </row>
    <row r="23" spans="2:16" ht="15">
      <c r="B23" s="341">
        <f t="shared" si="6"/>
        <v>15</v>
      </c>
      <c r="C23" s="861" t="s">
        <v>188</v>
      </c>
      <c r="D23" s="901">
        <v>189500</v>
      </c>
      <c r="E23" s="143">
        <f>Výdavky!H1497</f>
        <v>213378</v>
      </c>
      <c r="F23" s="143">
        <f>Výdavky!I1497</f>
        <v>197461</v>
      </c>
      <c r="G23" s="866">
        <f t="shared" si="0"/>
        <v>92.54046808949377</v>
      </c>
      <c r="H23" s="902">
        <v>1070235</v>
      </c>
      <c r="I23" s="143">
        <f>Výdavky!L1497</f>
        <v>960435</v>
      </c>
      <c r="J23" s="143">
        <f>Výdavky!M1497</f>
        <v>952747</v>
      </c>
      <c r="K23" s="871">
        <f t="shared" si="1"/>
        <v>99.1995293799164</v>
      </c>
      <c r="L23" s="902">
        <f t="shared" si="2"/>
        <v>1259735</v>
      </c>
      <c r="M23" s="142">
        <f t="shared" si="5"/>
        <v>1173813</v>
      </c>
      <c r="N23" s="142">
        <f t="shared" si="3"/>
        <v>1150208</v>
      </c>
      <c r="O23" s="697">
        <f t="shared" si="4"/>
        <v>97.98903232456959</v>
      </c>
      <c r="P23" s="370"/>
    </row>
    <row r="24" spans="2:15" ht="12" customHeight="1">
      <c r="B24" s="341">
        <f t="shared" si="6"/>
        <v>16</v>
      </c>
      <c r="C24" s="1083" t="s">
        <v>223</v>
      </c>
      <c r="D24" s="1120">
        <f>D9-D10</f>
        <v>152470</v>
      </c>
      <c r="E24" s="1102">
        <f>E9-E10</f>
        <v>201233</v>
      </c>
      <c r="F24" s="1102">
        <f>F9-F10</f>
        <v>1697982</v>
      </c>
      <c r="G24" s="1108">
        <f>F24/E24*100</f>
        <v>843.7890405649173</v>
      </c>
      <c r="H24" s="1122"/>
      <c r="I24" s="878"/>
      <c r="J24" s="872"/>
      <c r="K24" s="1095"/>
      <c r="L24" s="910"/>
      <c r="M24" s="1089"/>
      <c r="N24" s="1089"/>
      <c r="O24" s="1129"/>
    </row>
    <row r="25" spans="2:15" ht="11.25" customHeight="1">
      <c r="B25" s="341">
        <f t="shared" si="6"/>
        <v>17</v>
      </c>
      <c r="C25" s="1084"/>
      <c r="D25" s="1121"/>
      <c r="E25" s="1103"/>
      <c r="F25" s="1103"/>
      <c r="G25" s="1109"/>
      <c r="H25" s="1123"/>
      <c r="I25" s="873"/>
      <c r="J25" s="873"/>
      <c r="K25" s="1096"/>
      <c r="L25" s="911"/>
      <c r="M25" s="1090"/>
      <c r="N25" s="1090"/>
      <c r="O25" s="1130"/>
    </row>
    <row r="26" spans="2:15" ht="11.25" customHeight="1">
      <c r="B26" s="341">
        <f>B25+1</f>
        <v>18</v>
      </c>
      <c r="C26" s="1085" t="s">
        <v>224</v>
      </c>
      <c r="D26" s="896"/>
      <c r="E26" s="144"/>
      <c r="F26" s="144"/>
      <c r="G26" s="1110"/>
      <c r="H26" s="1124">
        <f>H9-H10</f>
        <v>3084590</v>
      </c>
      <c r="I26" s="1093">
        <f>I9-I10</f>
        <v>-720289.25</v>
      </c>
      <c r="J26" s="1112">
        <f>J9-J10</f>
        <v>-1750900</v>
      </c>
      <c r="K26" s="1097"/>
      <c r="L26" s="1126"/>
      <c r="M26" s="1091"/>
      <c r="N26" s="1091"/>
      <c r="O26" s="1131"/>
    </row>
    <row r="27" spans="2:15" ht="11.25" customHeight="1">
      <c r="B27" s="341">
        <f>B26+1</f>
        <v>19</v>
      </c>
      <c r="C27" s="1086"/>
      <c r="D27" s="897"/>
      <c r="E27" s="145"/>
      <c r="F27" s="145"/>
      <c r="G27" s="1111"/>
      <c r="H27" s="1125"/>
      <c r="I27" s="1094"/>
      <c r="J27" s="1113"/>
      <c r="K27" s="1098"/>
      <c r="L27" s="1127"/>
      <c r="M27" s="1092"/>
      <c r="N27" s="1092"/>
      <c r="O27" s="1132"/>
    </row>
    <row r="28" spans="1:15" ht="21" customHeight="1" thickBot="1">
      <c r="A28" s="22"/>
      <c r="B28" s="342">
        <f>B27+1</f>
        <v>20</v>
      </c>
      <c r="C28" s="862" t="s">
        <v>225</v>
      </c>
      <c r="D28" s="898"/>
      <c r="E28" s="146"/>
      <c r="F28" s="146"/>
      <c r="G28" s="867"/>
      <c r="H28" s="904"/>
      <c r="I28" s="874"/>
      <c r="J28" s="874"/>
      <c r="K28" s="875"/>
      <c r="L28" s="913">
        <f>L9-L10</f>
        <v>3237060</v>
      </c>
      <c r="M28" s="887">
        <f>M9-M10</f>
        <v>-519056.25</v>
      </c>
      <c r="N28" s="887">
        <f>N9-N10</f>
        <v>-52918</v>
      </c>
      <c r="O28" s="880"/>
    </row>
    <row r="29" spans="1:15" s="22" customFormat="1" ht="10.5" customHeight="1" thickBot="1">
      <c r="A29" s="30"/>
      <c r="B29" s="382"/>
      <c r="C29" s="417"/>
      <c r="D29" s="417"/>
      <c r="E29" s="418"/>
      <c r="F29" s="418"/>
      <c r="G29" s="418"/>
      <c r="H29" s="418"/>
      <c r="I29" s="418"/>
      <c r="J29" s="418"/>
      <c r="K29" s="418"/>
      <c r="L29" s="418"/>
      <c r="M29" s="380"/>
      <c r="N29" s="380"/>
      <c r="O29" s="380"/>
    </row>
    <row r="30" spans="1:15" ht="16.5" customHeight="1" thickBot="1">
      <c r="A30" s="22"/>
      <c r="B30" s="679" t="s">
        <v>215</v>
      </c>
      <c r="C30" s="680"/>
      <c r="D30" s="680"/>
      <c r="E30" s="680"/>
      <c r="F30" s="680"/>
      <c r="G30" s="680"/>
      <c r="H30" s="680"/>
      <c r="I30" s="680"/>
      <c r="J30" s="680"/>
      <c r="K30" s="680"/>
      <c r="L30" s="893"/>
      <c r="M30" s="681"/>
      <c r="N30" s="681"/>
      <c r="O30" s="681"/>
    </row>
    <row r="31" spans="1:15" ht="14.25" customHeight="1">
      <c r="A31" s="22"/>
      <c r="B31" s="336">
        <f>B28+1</f>
        <v>21</v>
      </c>
      <c r="C31" s="1087" t="s">
        <v>233</v>
      </c>
      <c r="D31" s="1088"/>
      <c r="E31" s="1088"/>
      <c r="F31" s="236"/>
      <c r="G31" s="236"/>
      <c r="H31" s="236"/>
      <c r="I31" s="236"/>
      <c r="J31" s="236"/>
      <c r="K31" s="236"/>
      <c r="L31" s="914">
        <v>0</v>
      </c>
      <c r="M31" s="888">
        <f>SUM(M32:M36)</f>
        <v>8231581</v>
      </c>
      <c r="N31" s="164">
        <f>SUM(N32:N37)</f>
        <v>8232222</v>
      </c>
      <c r="O31" s="164">
        <f>N31/M31*100</f>
        <v>100.00778708245718</v>
      </c>
    </row>
    <row r="32" spans="1:15" ht="14.25" customHeight="1">
      <c r="A32" s="22"/>
      <c r="B32" s="337">
        <v>22</v>
      </c>
      <c r="C32" s="161" t="s">
        <v>721</v>
      </c>
      <c r="D32" s="855"/>
      <c r="E32" s="162"/>
      <c r="F32" s="162"/>
      <c r="G32" s="162"/>
      <c r="H32" s="162"/>
      <c r="I32" s="162"/>
      <c r="J32" s="162"/>
      <c r="K32" s="162"/>
      <c r="L32" s="894"/>
      <c r="M32" s="889">
        <v>2141796</v>
      </c>
      <c r="N32" s="163">
        <v>2141796</v>
      </c>
      <c r="O32" s="835">
        <f aca="true" t="shared" si="7" ref="O32:O47">N32/M32*100</f>
        <v>100</v>
      </c>
    </row>
    <row r="33" spans="1:15" ht="14.25" customHeight="1">
      <c r="A33" s="22"/>
      <c r="B33" s="337">
        <f aca="true" t="shared" si="8" ref="B33:B38">B32+1</f>
        <v>23</v>
      </c>
      <c r="C33" s="161" t="s">
        <v>722</v>
      </c>
      <c r="D33" s="855"/>
      <c r="E33" s="162"/>
      <c r="F33" s="162"/>
      <c r="G33" s="162"/>
      <c r="H33" s="162"/>
      <c r="I33" s="162"/>
      <c r="J33" s="162"/>
      <c r="K33" s="162"/>
      <c r="L33" s="894"/>
      <c r="M33" s="889">
        <v>484320</v>
      </c>
      <c r="N33" s="163">
        <v>484320</v>
      </c>
      <c r="O33" s="835">
        <f t="shared" si="7"/>
        <v>100</v>
      </c>
    </row>
    <row r="34" spans="1:15" ht="14.25" customHeight="1">
      <c r="A34" s="22"/>
      <c r="B34" s="337">
        <f t="shared" si="8"/>
        <v>24</v>
      </c>
      <c r="C34" s="161" t="s">
        <v>672</v>
      </c>
      <c r="D34" s="855"/>
      <c r="E34" s="162"/>
      <c r="F34" s="162"/>
      <c r="G34" s="162"/>
      <c r="H34" s="162"/>
      <c r="I34" s="162"/>
      <c r="J34" s="162"/>
      <c r="K34" s="162"/>
      <c r="L34" s="894"/>
      <c r="M34" s="889">
        <v>4475465</v>
      </c>
      <c r="N34" s="163">
        <v>4475465</v>
      </c>
      <c r="O34" s="835">
        <f t="shared" si="7"/>
        <v>100</v>
      </c>
    </row>
    <row r="35" spans="1:15" ht="14.25" customHeight="1">
      <c r="A35" s="22"/>
      <c r="B35" s="337">
        <f t="shared" si="8"/>
        <v>25</v>
      </c>
      <c r="C35" s="161" t="s">
        <v>766</v>
      </c>
      <c r="D35" s="855"/>
      <c r="E35" s="162"/>
      <c r="F35" s="162"/>
      <c r="G35" s="162"/>
      <c r="H35" s="162"/>
      <c r="I35" s="162"/>
      <c r="J35" s="162"/>
      <c r="K35" s="162"/>
      <c r="L35" s="894"/>
      <c r="M35" s="889">
        <v>800000</v>
      </c>
      <c r="N35" s="163">
        <v>800000</v>
      </c>
      <c r="O35" s="835">
        <f t="shared" si="7"/>
        <v>100</v>
      </c>
    </row>
    <row r="36" spans="1:15" ht="14.25" customHeight="1">
      <c r="A36" s="22"/>
      <c r="B36" s="337">
        <f t="shared" si="8"/>
        <v>26</v>
      </c>
      <c r="C36" s="161" t="s">
        <v>723</v>
      </c>
      <c r="D36" s="855"/>
      <c r="E36" s="162"/>
      <c r="F36" s="162"/>
      <c r="G36" s="162"/>
      <c r="H36" s="162"/>
      <c r="I36" s="162"/>
      <c r="J36" s="162"/>
      <c r="K36" s="162"/>
      <c r="L36" s="894"/>
      <c r="M36" s="889">
        <v>330000</v>
      </c>
      <c r="N36" s="163">
        <v>330000</v>
      </c>
      <c r="O36" s="835">
        <f t="shared" si="7"/>
        <v>100</v>
      </c>
    </row>
    <row r="37" spans="1:15" ht="14.25" customHeight="1">
      <c r="A37" s="22"/>
      <c r="B37" s="337">
        <f t="shared" si="8"/>
        <v>27</v>
      </c>
      <c r="C37" s="161" t="s">
        <v>787</v>
      </c>
      <c r="D37" s="855"/>
      <c r="E37" s="162"/>
      <c r="F37" s="162"/>
      <c r="G37" s="162"/>
      <c r="H37" s="162"/>
      <c r="I37" s="162"/>
      <c r="J37" s="162"/>
      <c r="K37" s="162"/>
      <c r="L37" s="894"/>
      <c r="M37" s="889"/>
      <c r="N37" s="163">
        <v>641</v>
      </c>
      <c r="O37" s="835"/>
    </row>
    <row r="38" spans="1:15" ht="15.75" customHeight="1">
      <c r="A38" s="22"/>
      <c r="B38" s="336">
        <f t="shared" si="8"/>
        <v>28</v>
      </c>
      <c r="C38" s="1106" t="s">
        <v>234</v>
      </c>
      <c r="D38" s="1107"/>
      <c r="E38" s="1107"/>
      <c r="F38" s="236"/>
      <c r="G38" s="236"/>
      <c r="H38" s="236"/>
      <c r="I38" s="236"/>
      <c r="J38" s="236"/>
      <c r="K38" s="236"/>
      <c r="L38" s="918">
        <f>L39+L45+L46</f>
        <v>3237060</v>
      </c>
      <c r="M38" s="888">
        <f>M39+M45+M46</f>
        <v>7712525</v>
      </c>
      <c r="N38" s="164">
        <f>N39+N45+N46</f>
        <v>7642159</v>
      </c>
      <c r="O38" s="836">
        <f t="shared" si="7"/>
        <v>99.08763991040547</v>
      </c>
    </row>
    <row r="39" spans="1:15" ht="14.25" customHeight="1">
      <c r="A39" s="22"/>
      <c r="B39" s="337">
        <f aca="true" t="shared" si="9" ref="B39:B47">B38+1</f>
        <v>29</v>
      </c>
      <c r="C39" s="161" t="s">
        <v>231</v>
      </c>
      <c r="D39" s="855"/>
      <c r="E39" s="162"/>
      <c r="F39" s="162"/>
      <c r="G39" s="162"/>
      <c r="H39" s="162"/>
      <c r="I39" s="162"/>
      <c r="J39" s="162"/>
      <c r="K39" s="162"/>
      <c r="L39" s="917">
        <f>SUM(L40:L44)</f>
        <v>1915060</v>
      </c>
      <c r="M39" s="889">
        <f>SUM(M40:M44)</f>
        <v>6390525</v>
      </c>
      <c r="N39" s="163">
        <f>SUM(N40:N44)</f>
        <v>6321413</v>
      </c>
      <c r="O39" s="835">
        <f t="shared" si="7"/>
        <v>98.91852390844258</v>
      </c>
    </row>
    <row r="40" spans="1:15" ht="13.5" customHeight="1">
      <c r="A40" s="22"/>
      <c r="B40" s="338">
        <f t="shared" si="9"/>
        <v>30</v>
      </c>
      <c r="C40" s="1100" t="s">
        <v>235</v>
      </c>
      <c r="D40" s="1101"/>
      <c r="E40" s="1101"/>
      <c r="F40" s="149"/>
      <c r="G40" s="149"/>
      <c r="H40" s="149"/>
      <c r="I40" s="149"/>
      <c r="J40" s="149"/>
      <c r="K40" s="149"/>
      <c r="L40" s="915">
        <v>332250</v>
      </c>
      <c r="M40" s="890">
        <f>265800+66450</f>
        <v>332250</v>
      </c>
      <c r="N40" s="148">
        <v>265800</v>
      </c>
      <c r="O40" s="837">
        <f t="shared" si="7"/>
        <v>80</v>
      </c>
    </row>
    <row r="41" spans="1:15" ht="13.5" customHeight="1">
      <c r="A41" s="22"/>
      <c r="B41" s="338">
        <f t="shared" si="9"/>
        <v>31</v>
      </c>
      <c r="C41" s="1100" t="s">
        <v>228</v>
      </c>
      <c r="D41" s="1101"/>
      <c r="E41" s="1101"/>
      <c r="F41" s="149"/>
      <c r="G41" s="149"/>
      <c r="H41" s="149"/>
      <c r="I41" s="149"/>
      <c r="J41" s="149"/>
      <c r="K41" s="149"/>
      <c r="L41" s="915">
        <v>914000</v>
      </c>
      <c r="M41" s="890">
        <f>731200+182800-548000</f>
        <v>366000</v>
      </c>
      <c r="N41" s="148">
        <v>365600</v>
      </c>
      <c r="O41" s="837">
        <f t="shared" si="7"/>
        <v>99.89071038251366</v>
      </c>
    </row>
    <row r="42" spans="1:15" ht="13.5" customHeight="1">
      <c r="A42" s="22"/>
      <c r="B42" s="338">
        <f t="shared" si="9"/>
        <v>32</v>
      </c>
      <c r="C42" s="154" t="s">
        <v>229</v>
      </c>
      <c r="D42" s="854"/>
      <c r="E42" s="149"/>
      <c r="F42" s="149"/>
      <c r="G42" s="149"/>
      <c r="H42" s="149"/>
      <c r="I42" s="149"/>
      <c r="J42" s="149"/>
      <c r="K42" s="149"/>
      <c r="L42" s="915">
        <v>668810</v>
      </c>
      <c r="M42" s="890">
        <v>668810</v>
      </c>
      <c r="N42" s="148">
        <v>668760</v>
      </c>
      <c r="O42" s="837">
        <f t="shared" si="7"/>
        <v>99.99252403522675</v>
      </c>
    </row>
    <row r="43" spans="1:15" ht="13.5" customHeight="1">
      <c r="A43" s="22"/>
      <c r="B43" s="338">
        <f t="shared" si="9"/>
        <v>33</v>
      </c>
      <c r="C43" s="515" t="s">
        <v>552</v>
      </c>
      <c r="D43" s="856"/>
      <c r="E43" s="516"/>
      <c r="F43" s="516"/>
      <c r="G43" s="516"/>
      <c r="H43" s="516"/>
      <c r="I43" s="516"/>
      <c r="J43" s="516"/>
      <c r="K43" s="516"/>
      <c r="L43" s="916"/>
      <c r="M43" s="891">
        <v>548000</v>
      </c>
      <c r="N43" s="517">
        <v>545788</v>
      </c>
      <c r="O43" s="838">
        <f t="shared" si="7"/>
        <v>99.5963503649635</v>
      </c>
    </row>
    <row r="44" spans="1:15" ht="13.5" customHeight="1">
      <c r="A44" s="22"/>
      <c r="B44" s="338">
        <f t="shared" si="9"/>
        <v>34</v>
      </c>
      <c r="C44" s="515" t="s">
        <v>673</v>
      </c>
      <c r="D44" s="856"/>
      <c r="E44" s="516"/>
      <c r="F44" s="516"/>
      <c r="G44" s="516"/>
      <c r="H44" s="516"/>
      <c r="I44" s="516"/>
      <c r="J44" s="516"/>
      <c r="K44" s="516"/>
      <c r="L44" s="916"/>
      <c r="M44" s="891">
        <v>4475465</v>
      </c>
      <c r="N44" s="517">
        <v>4475465</v>
      </c>
      <c r="O44" s="838">
        <f t="shared" si="7"/>
        <v>100</v>
      </c>
    </row>
    <row r="45" spans="1:15" ht="14.25" customHeight="1">
      <c r="A45" s="22"/>
      <c r="B45" s="338">
        <f t="shared" si="9"/>
        <v>35</v>
      </c>
      <c r="C45" s="161" t="s">
        <v>232</v>
      </c>
      <c r="D45" s="855"/>
      <c r="E45" s="162"/>
      <c r="F45" s="162"/>
      <c r="G45" s="162"/>
      <c r="H45" s="162"/>
      <c r="I45" s="162"/>
      <c r="J45" s="162"/>
      <c r="K45" s="162"/>
      <c r="L45" s="917">
        <v>22000</v>
      </c>
      <c r="M45" s="889">
        <v>22000</v>
      </c>
      <c r="N45" s="163">
        <v>20746</v>
      </c>
      <c r="O45" s="835">
        <f t="shared" si="7"/>
        <v>94.3</v>
      </c>
    </row>
    <row r="46" spans="1:15" ht="14.25" customHeight="1">
      <c r="A46" s="22"/>
      <c r="B46" s="338">
        <f t="shared" si="9"/>
        <v>36</v>
      </c>
      <c r="C46" s="161" t="s">
        <v>608</v>
      </c>
      <c r="D46" s="855"/>
      <c r="E46" s="162"/>
      <c r="F46" s="162"/>
      <c r="G46" s="162"/>
      <c r="H46" s="162"/>
      <c r="I46" s="162"/>
      <c r="J46" s="162"/>
      <c r="K46" s="162"/>
      <c r="L46" s="917">
        <f>L47</f>
        <v>1300000</v>
      </c>
      <c r="M46" s="889">
        <f>M47</f>
        <v>1300000</v>
      </c>
      <c r="N46" s="163">
        <f>N47</f>
        <v>1300000</v>
      </c>
      <c r="O46" s="835">
        <f t="shared" si="7"/>
        <v>100</v>
      </c>
    </row>
    <row r="47" spans="1:15" ht="13.5" customHeight="1" thickBot="1">
      <c r="A47" s="22"/>
      <c r="B47" s="338">
        <f t="shared" si="9"/>
        <v>37</v>
      </c>
      <c r="C47" s="154" t="s">
        <v>552</v>
      </c>
      <c r="D47" s="854"/>
      <c r="E47" s="149"/>
      <c r="F47" s="149"/>
      <c r="G47" s="149"/>
      <c r="H47" s="149"/>
      <c r="I47" s="149"/>
      <c r="J47" s="149"/>
      <c r="K47" s="149"/>
      <c r="L47" s="915">
        <v>1300000</v>
      </c>
      <c r="M47" s="890">
        <v>1300000</v>
      </c>
      <c r="N47" s="148">
        <v>1300000</v>
      </c>
      <c r="O47" s="837">
        <f t="shared" si="7"/>
        <v>100</v>
      </c>
    </row>
    <row r="48" spans="1:15" ht="20.25" customHeight="1" thickBot="1" thickTop="1">
      <c r="A48" s="22"/>
      <c r="B48" s="335">
        <f>B47+1</f>
        <v>38</v>
      </c>
      <c r="C48" s="1104" t="s">
        <v>216</v>
      </c>
      <c r="D48" s="1105"/>
      <c r="E48" s="1105"/>
      <c r="F48" s="235"/>
      <c r="G48" s="235"/>
      <c r="H48" s="235"/>
      <c r="I48" s="235"/>
      <c r="J48" s="235"/>
      <c r="K48" s="235"/>
      <c r="L48" s="919">
        <f>L28-L38</f>
        <v>0</v>
      </c>
      <c r="M48" s="892">
        <f>M28+M31-M38</f>
        <v>-0.25</v>
      </c>
      <c r="N48" s="147">
        <f>N28+N31-N38</f>
        <v>537145</v>
      </c>
      <c r="O48" s="839"/>
    </row>
    <row r="49" spans="1:14" ht="39.75" customHeight="1">
      <c r="A49" s="22"/>
      <c r="B49" s="1128" t="s">
        <v>221</v>
      </c>
      <c r="C49" s="1128"/>
      <c r="D49" s="1128"/>
      <c r="E49" s="1128"/>
      <c r="F49" s="1128"/>
      <c r="G49" s="1128"/>
      <c r="H49" s="1128"/>
      <c r="I49" s="1128"/>
      <c r="J49" s="1128"/>
      <c r="K49" s="1128"/>
      <c r="L49" s="1128"/>
      <c r="M49" s="1128"/>
      <c r="N49" s="15"/>
    </row>
    <row r="50" spans="1:14" ht="15.75" customHeight="1">
      <c r="A50" s="22"/>
      <c r="B50" s="1099" t="s">
        <v>607</v>
      </c>
      <c r="C50" s="1099"/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15"/>
    </row>
    <row r="51" spans="2:4" ht="15">
      <c r="B51" s="20"/>
      <c r="C51" s="21"/>
      <c r="D51" s="21"/>
    </row>
    <row r="52" spans="2:4" ht="15">
      <c r="B52" s="20"/>
      <c r="C52" s="21"/>
      <c r="D52" s="21"/>
    </row>
    <row r="53" spans="2:4" ht="15">
      <c r="B53" s="20"/>
      <c r="C53" s="21"/>
      <c r="D53" s="21"/>
    </row>
    <row r="54" spans="2:4" ht="15">
      <c r="B54" s="20"/>
      <c r="C54" s="21"/>
      <c r="D54" s="21"/>
    </row>
    <row r="55" spans="2:4" ht="15">
      <c r="B55" s="20"/>
      <c r="C55" s="21"/>
      <c r="D55" s="21"/>
    </row>
    <row r="56" spans="2:4" ht="15">
      <c r="B56" s="20"/>
      <c r="C56" s="21"/>
      <c r="D56" s="21"/>
    </row>
    <row r="57" spans="2:4" ht="15">
      <c r="B57" s="20"/>
      <c r="C57" s="21"/>
      <c r="D57" s="21"/>
    </row>
    <row r="58" spans="2:4" ht="15">
      <c r="B58" s="20"/>
      <c r="C58" s="21"/>
      <c r="D58" s="21"/>
    </row>
    <row r="59" spans="2:4" ht="15">
      <c r="B59" s="20"/>
      <c r="C59" s="21"/>
      <c r="D59" s="21"/>
    </row>
  </sheetData>
  <sheetProtection/>
  <mergeCells count="30">
    <mergeCell ref="D4:O7"/>
    <mergeCell ref="D24:D25"/>
    <mergeCell ref="H24:H25"/>
    <mergeCell ref="H26:H27"/>
    <mergeCell ref="L26:L27"/>
    <mergeCell ref="B49:M49"/>
    <mergeCell ref="N24:N25"/>
    <mergeCell ref="O24:O25"/>
    <mergeCell ref="N26:N27"/>
    <mergeCell ref="O26:O27"/>
    <mergeCell ref="B50:M50"/>
    <mergeCell ref="C40:E40"/>
    <mergeCell ref="C41:E41"/>
    <mergeCell ref="E24:E25"/>
    <mergeCell ref="C48:E48"/>
    <mergeCell ref="C38:E38"/>
    <mergeCell ref="F24:F25"/>
    <mergeCell ref="G24:G25"/>
    <mergeCell ref="G26:G27"/>
    <mergeCell ref="J26:J27"/>
    <mergeCell ref="B2:M2"/>
    <mergeCell ref="B4:C8"/>
    <mergeCell ref="C24:C25"/>
    <mergeCell ref="C26:C27"/>
    <mergeCell ref="C31:E31"/>
    <mergeCell ref="M24:M25"/>
    <mergeCell ref="M26:M27"/>
    <mergeCell ref="I26:I27"/>
    <mergeCell ref="K24:K25"/>
    <mergeCell ref="K26:K27"/>
  </mergeCells>
  <printOptions/>
  <pageMargins left="0.34" right="0.15748031496062992" top="0.29" bottom="0.1968503937007874" header="0.2362204724409449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zilkova</cp:lastModifiedBy>
  <cp:lastPrinted>2013-05-13T07:16:15Z</cp:lastPrinted>
  <dcterms:created xsi:type="dcterms:W3CDTF">2006-06-21T07:20:26Z</dcterms:created>
  <dcterms:modified xsi:type="dcterms:W3CDTF">2013-05-20T12:34:38Z</dcterms:modified>
  <cp:category/>
  <cp:version/>
  <cp:contentType/>
  <cp:contentStatus/>
</cp:coreProperties>
</file>